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2910" windowWidth="24240" windowHeight="6630" tabRatio="832" firstSheet="4" activeTab="15"/>
  </bookViews>
  <sheets>
    <sheet name="Доходы " sheetId="20" r:id="rId1"/>
    <sheet name="Адм. дох" sheetId="21" r:id="rId2"/>
    <sheet name="Ведомственная 2020" sheetId="10" r:id="rId3"/>
    <sheet name="Ведомственная 2021-2022" sheetId="11" r:id="rId4"/>
    <sheet name="Субвенции 2020" sheetId="1" r:id="rId5"/>
    <sheet name="Субвенции 2021-2022" sheetId="2" r:id="rId6"/>
    <sheet name="Источники 2020" sheetId="8" r:id="rId7"/>
    <sheet name="Источники 2021-2022" sheetId="9" r:id="rId8"/>
    <sheet name="Адм. источ." sheetId="7" state="hidden" r:id="rId9"/>
    <sheet name="Функциональная 2020" sheetId="12" r:id="rId10"/>
    <sheet name="Функциональная 2021-2022" sheetId="13" r:id="rId11"/>
    <sheet name="Целевые 2020" sheetId="14" r:id="rId12"/>
    <sheet name="Целевые 2021-2022" sheetId="15" r:id="rId13"/>
    <sheet name="Заимствования 2020" sheetId="3" r:id="rId14"/>
    <sheet name="Заимствования 2020-2021" sheetId="4" state="hidden" r:id="rId15"/>
    <sheet name="Лист1" sheetId="22" r:id="rId16"/>
  </sheets>
  <externalReferences>
    <externalReference r:id="rId17"/>
  </externalReferences>
  <definedNames>
    <definedName name="_xlnm._FilterDatabase" localSheetId="2" hidden="1">'Ведомственная 2020'!$F$1:$F$1483</definedName>
    <definedName name="_xlnm._FilterDatabase" localSheetId="3" hidden="1">'Ведомственная 2021-2022'!$E$1:$E$1341</definedName>
    <definedName name="_xlnm._FilterDatabase" localSheetId="9" hidden="1">'Функциональная 2020'!$D$1:$D$1364</definedName>
    <definedName name="_xlnm._FilterDatabase" localSheetId="10" hidden="1">'Функциональная 2021-2022'!$D$1:$D$1208</definedName>
    <definedName name="_xlnm._FilterDatabase" localSheetId="11" hidden="1">'Целевые 2020'!$B$1:$B$1103</definedName>
    <definedName name="OLE_LINK10" localSheetId="0">'Доходы '!#REF!</definedName>
    <definedName name="_xlnm.Print_Titles" localSheetId="1">'Адм. дох'!$6:$6</definedName>
    <definedName name="_xlnm.Print_Titles" localSheetId="2">'Ведомственная 2020'!$9:$10</definedName>
    <definedName name="_xlnm.Print_Titles" localSheetId="3">'Ведомственная 2021-2022'!$9:$11</definedName>
    <definedName name="_xlnm.Print_Titles" localSheetId="0">'Доходы '!$5:$5</definedName>
    <definedName name="_xlnm.Print_Titles" localSheetId="4">'Субвенции 2020'!$7:$10</definedName>
    <definedName name="_xlnm.Print_Titles" localSheetId="5">'Субвенции 2021-2022'!$8:$11</definedName>
    <definedName name="_xlnm.Print_Titles" localSheetId="9">'Функциональная 2020'!$8:$10</definedName>
    <definedName name="_xlnm.Print_Titles" localSheetId="10">'Функциональная 2021-2022'!$8:$11</definedName>
    <definedName name="_xlnm.Print_Titles" localSheetId="11">'Целевые 2020'!$7:$8</definedName>
    <definedName name="_xlnm.Print_Titles" localSheetId="12">'Целевые 2021-2022'!$10:$11</definedName>
    <definedName name="_xlnm.Print_Area" localSheetId="0">'Доходы '!$A$1:$E$101</definedName>
  </definedNames>
  <calcPr calcId="145621"/>
</workbook>
</file>

<file path=xl/calcChain.xml><?xml version="1.0" encoding="utf-8"?>
<calcChain xmlns="http://schemas.openxmlformats.org/spreadsheetml/2006/main">
  <c r="H1244" i="10" l="1"/>
  <c r="H1234" i="10"/>
  <c r="H554" i="10"/>
  <c r="H107" i="10"/>
  <c r="H720" i="10"/>
  <c r="H714" i="10"/>
  <c r="H1322" i="10"/>
  <c r="H1321" i="10"/>
  <c r="H876" i="15" l="1"/>
  <c r="E876" i="15"/>
  <c r="K1078" i="11"/>
  <c r="J1078" i="11"/>
  <c r="G1078" i="11"/>
  <c r="H1078" i="11"/>
  <c r="G936" i="11"/>
  <c r="H936" i="11"/>
  <c r="D1019" i="14"/>
  <c r="D1020" i="14"/>
  <c r="I986" i="12"/>
  <c r="I985" i="12" s="1"/>
  <c r="G986" i="12"/>
  <c r="G985" i="12" s="1"/>
  <c r="F985" i="12"/>
  <c r="F986" i="12"/>
  <c r="K987" i="12"/>
  <c r="K986" i="12"/>
  <c r="H987" i="12"/>
  <c r="H986" i="12" s="1"/>
  <c r="J986" i="12" s="1"/>
  <c r="H870" i="10"/>
  <c r="H869" i="10"/>
  <c r="I869" i="10" s="1"/>
  <c r="G870" i="10"/>
  <c r="G869" i="10" s="1"/>
  <c r="I871" i="10"/>
  <c r="I870" i="10"/>
  <c r="H90" i="10"/>
  <c r="D486" i="14"/>
  <c r="D487" i="14"/>
  <c r="D488" i="14"/>
  <c r="D489" i="14"/>
  <c r="I631" i="12"/>
  <c r="I630" i="12" s="1"/>
  <c r="G631" i="12"/>
  <c r="G630" i="12"/>
  <c r="G629" i="12" s="1"/>
  <c r="G628" i="12" s="1"/>
  <c r="F628" i="12"/>
  <c r="F629" i="12"/>
  <c r="F630" i="12"/>
  <c r="F631" i="12"/>
  <c r="K632" i="12"/>
  <c r="K631" i="12"/>
  <c r="H632" i="12"/>
  <c r="H631" i="12" s="1"/>
  <c r="J631" i="12" s="1"/>
  <c r="H1071" i="10"/>
  <c r="H377" i="10"/>
  <c r="H575" i="10"/>
  <c r="H574" i="10" s="1"/>
  <c r="H573" i="10" s="1"/>
  <c r="G575" i="10"/>
  <c r="G574" i="10" s="1"/>
  <c r="I574" i="10" s="1"/>
  <c r="I576" i="10"/>
  <c r="I870" i="12"/>
  <c r="I1041" i="12"/>
  <c r="H349" i="12"/>
  <c r="E685" i="14" s="1"/>
  <c r="H348" i="12"/>
  <c r="H251" i="12"/>
  <c r="H178" i="12"/>
  <c r="H176" i="12"/>
  <c r="H174" i="12"/>
  <c r="H153" i="12"/>
  <c r="M15" i="8"/>
  <c r="I575" i="10" l="1"/>
  <c r="H572" i="10"/>
  <c r="G573" i="10"/>
  <c r="G572" i="10" s="1"/>
  <c r="I572" i="10" s="1"/>
  <c r="J987" i="12"/>
  <c r="E1021" i="14"/>
  <c r="K985" i="12"/>
  <c r="H985" i="12"/>
  <c r="J985" i="12" s="1"/>
  <c r="E490" i="14"/>
  <c r="E489" i="14" s="1"/>
  <c r="E488" i="14" s="1"/>
  <c r="E487" i="14" s="1"/>
  <c r="J632" i="12"/>
  <c r="K630" i="12"/>
  <c r="I629" i="12"/>
  <c r="H630" i="12"/>
  <c r="H629" i="12" s="1"/>
  <c r="E100" i="20"/>
  <c r="E99" i="20"/>
  <c r="E98" i="20"/>
  <c r="E97" i="20"/>
  <c r="E96" i="20"/>
  <c r="E95" i="20"/>
  <c r="E94" i="20"/>
  <c r="D93" i="20"/>
  <c r="C93" i="20"/>
  <c r="E92" i="20"/>
  <c r="D91" i="20"/>
  <c r="E91" i="20" s="1"/>
  <c r="E90" i="20"/>
  <c r="E89" i="20"/>
  <c r="E88" i="20"/>
  <c r="E87" i="20"/>
  <c r="E86" i="20"/>
  <c r="E85" i="20"/>
  <c r="D84" i="20"/>
  <c r="E84" i="20" s="1"/>
  <c r="C84" i="20"/>
  <c r="E83" i="20"/>
  <c r="D82" i="20"/>
  <c r="E82" i="20" s="1"/>
  <c r="C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D57" i="20"/>
  <c r="D52" i="20" s="1"/>
  <c r="E56" i="20"/>
  <c r="E55" i="20"/>
  <c r="E54" i="20"/>
  <c r="E53" i="20"/>
  <c r="C52" i="20"/>
  <c r="E52" i="20" s="1"/>
  <c r="E51" i="20"/>
  <c r="E50" i="20"/>
  <c r="E49" i="20"/>
  <c r="E48" i="20"/>
  <c r="E46" i="20" s="1"/>
  <c r="E47" i="20"/>
  <c r="D46" i="20"/>
  <c r="C46" i="20"/>
  <c r="E45" i="20"/>
  <c r="E44" i="20"/>
  <c r="E43" i="20"/>
  <c r="E42" i="20"/>
  <c r="D41" i="20"/>
  <c r="E41" i="20" s="1"/>
  <c r="C41" i="20"/>
  <c r="E40" i="20"/>
  <c r="E39" i="20" s="1"/>
  <c r="D39" i="20"/>
  <c r="C39" i="20"/>
  <c r="E38" i="20"/>
  <c r="D37" i="20"/>
  <c r="E37" i="20" s="1"/>
  <c r="C37" i="20"/>
  <c r="E36" i="20"/>
  <c r="E35" i="20"/>
  <c r="E34" i="20"/>
  <c r="D33" i="20"/>
  <c r="C33" i="20"/>
  <c r="E33" i="20" s="1"/>
  <c r="E32" i="20"/>
  <c r="E31" i="20"/>
  <c r="E30" i="20"/>
  <c r="E29" i="20"/>
  <c r="E28" i="20"/>
  <c r="E27" i="20"/>
  <c r="E26" i="20"/>
  <c r="D25" i="20"/>
  <c r="E24" i="20"/>
  <c r="E23" i="20"/>
  <c r="E22" i="20"/>
  <c r="D21" i="20"/>
  <c r="C21" i="20"/>
  <c r="E21" i="20" s="1"/>
  <c r="E20" i="20"/>
  <c r="E19" i="20"/>
  <c r="D18" i="20"/>
  <c r="C18" i="20"/>
  <c r="E18" i="20" s="1"/>
  <c r="E17" i="20"/>
  <c r="D16" i="20"/>
  <c r="C16" i="20"/>
  <c r="E15" i="20"/>
  <c r="E14" i="20"/>
  <c r="E13" i="20"/>
  <c r="E12" i="20"/>
  <c r="D11" i="20"/>
  <c r="C11" i="20"/>
  <c r="E11" i="20" s="1"/>
  <c r="E10" i="20"/>
  <c r="E9" i="20" s="1"/>
  <c r="D9" i="20"/>
  <c r="C9" i="20"/>
  <c r="E8" i="20"/>
  <c r="D7" i="20"/>
  <c r="D6" i="20" s="1"/>
  <c r="C7" i="20"/>
  <c r="E7" i="20" s="1"/>
  <c r="G287" i="15"/>
  <c r="G286" i="15" s="1"/>
  <c r="G285" i="15" s="1"/>
  <c r="D287" i="15"/>
  <c r="D286" i="15" s="1"/>
  <c r="D285" i="15" s="1"/>
  <c r="O327" i="13"/>
  <c r="O326" i="13" s="1"/>
  <c r="M327" i="13"/>
  <c r="M326" i="13" s="1"/>
  <c r="M325" i="13" s="1"/>
  <c r="L327" i="13"/>
  <c r="L326" i="13"/>
  <c r="L325" i="13" s="1"/>
  <c r="I327" i="13"/>
  <c r="I326" i="13" s="1"/>
  <c r="G327" i="13"/>
  <c r="G326" i="13" s="1"/>
  <c r="G325" i="13" s="1"/>
  <c r="F327" i="13"/>
  <c r="F326" i="13" s="1"/>
  <c r="F325" i="13" s="1"/>
  <c r="Q328" i="13"/>
  <c r="N328" i="13"/>
  <c r="H288" i="15" s="1"/>
  <c r="K328" i="13"/>
  <c r="H328" i="13"/>
  <c r="E288" i="15" s="1"/>
  <c r="K282" i="11"/>
  <c r="J282" i="11"/>
  <c r="J281" i="11" s="1"/>
  <c r="J280" i="11" s="1"/>
  <c r="L283" i="11"/>
  <c r="H282" i="11"/>
  <c r="H281" i="11" s="1"/>
  <c r="H280" i="11" s="1"/>
  <c r="G282" i="11"/>
  <c r="G281" i="11" s="1"/>
  <c r="G280" i="11" s="1"/>
  <c r="I283" i="11"/>
  <c r="K279" i="11"/>
  <c r="K278" i="11" s="1"/>
  <c r="K277" i="11" s="1"/>
  <c r="K276" i="11" s="1"/>
  <c r="H279" i="11"/>
  <c r="H324" i="13" s="1"/>
  <c r="H803" i="10"/>
  <c r="I573" i="10" l="1"/>
  <c r="E1020" i="14"/>
  <c r="F1021" i="14"/>
  <c r="Q326" i="13"/>
  <c r="O325" i="13"/>
  <c r="Q325" i="13" s="1"/>
  <c r="Q327" i="13"/>
  <c r="L282" i="11"/>
  <c r="N324" i="13"/>
  <c r="N323" i="13" s="1"/>
  <c r="N322" i="13" s="1"/>
  <c r="N321" i="13" s="1"/>
  <c r="H287" i="15"/>
  <c r="I288" i="15"/>
  <c r="E287" i="15"/>
  <c r="F288" i="15"/>
  <c r="H323" i="13"/>
  <c r="H322" i="13" s="1"/>
  <c r="H321" i="13" s="1"/>
  <c r="E284" i="15"/>
  <c r="E283" i="15" s="1"/>
  <c r="E282" i="15" s="1"/>
  <c r="E281" i="15" s="1"/>
  <c r="P328" i="13"/>
  <c r="H278" i="11"/>
  <c r="H277" i="11" s="1"/>
  <c r="H276" i="11" s="1"/>
  <c r="H275" i="11" s="1"/>
  <c r="I282" i="11"/>
  <c r="J328" i="13"/>
  <c r="K281" i="11"/>
  <c r="K280" i="11" s="1"/>
  <c r="L280" i="11" s="1"/>
  <c r="H327" i="13"/>
  <c r="H326" i="13" s="1"/>
  <c r="H325" i="13" s="1"/>
  <c r="J325" i="13" s="1"/>
  <c r="N327" i="13"/>
  <c r="I280" i="11"/>
  <c r="F490" i="14"/>
  <c r="F489" i="14"/>
  <c r="F488" i="14"/>
  <c r="J630" i="12"/>
  <c r="E486" i="14"/>
  <c r="F486" i="14" s="1"/>
  <c r="F487" i="14"/>
  <c r="I628" i="12"/>
  <c r="K628" i="12" s="1"/>
  <c r="K629" i="12"/>
  <c r="H628" i="12"/>
  <c r="J628" i="12" s="1"/>
  <c r="J629" i="12"/>
  <c r="D101" i="20"/>
  <c r="E93" i="20"/>
  <c r="E16" i="20"/>
  <c r="E6" i="20" s="1"/>
  <c r="C25" i="20"/>
  <c r="E25" i="20" s="1"/>
  <c r="K326" i="13"/>
  <c r="I325" i="13"/>
  <c r="K325" i="13" s="1"/>
  <c r="K327" i="13"/>
  <c r="L281" i="11"/>
  <c r="I281" i="11"/>
  <c r="H1165" i="10"/>
  <c r="H1164" i="10"/>
  <c r="H702" i="10"/>
  <c r="H538" i="10"/>
  <c r="E1019" i="14" l="1"/>
  <c r="F1019" i="14" s="1"/>
  <c r="F1020" i="14"/>
  <c r="H284" i="15"/>
  <c r="H283" i="15" s="1"/>
  <c r="H282" i="15" s="1"/>
  <c r="H281" i="15" s="1"/>
  <c r="N326" i="13"/>
  <c r="P327" i="13"/>
  <c r="H320" i="13"/>
  <c r="H286" i="15"/>
  <c r="I287" i="15"/>
  <c r="J327" i="13"/>
  <c r="J326" i="13"/>
  <c r="F287" i="15"/>
  <c r="E286" i="15"/>
  <c r="K275" i="11"/>
  <c r="C6" i="20"/>
  <c r="C101" i="20" s="1"/>
  <c r="E101" i="20" s="1"/>
  <c r="O55" i="1"/>
  <c r="H692" i="10"/>
  <c r="G178" i="15"/>
  <c r="G177" i="15" s="1"/>
  <c r="G176" i="15" s="1"/>
  <c r="D178" i="15"/>
  <c r="D177" i="15" s="1"/>
  <c r="D176" i="15" s="1"/>
  <c r="O864" i="13"/>
  <c r="O863" i="13" s="1"/>
  <c r="M864" i="13"/>
  <c r="L864" i="13"/>
  <c r="L863" i="13" s="1"/>
  <c r="L862" i="13" s="1"/>
  <c r="N865" i="13"/>
  <c r="P865" i="13" s="1"/>
  <c r="Q866" i="13"/>
  <c r="Q865" i="13"/>
  <c r="N866" i="13"/>
  <c r="P866" i="13" s="1"/>
  <c r="I864" i="13"/>
  <c r="I863" i="13" s="1"/>
  <c r="I862" i="13" s="1"/>
  <c r="G864" i="13"/>
  <c r="G863" i="13" s="1"/>
  <c r="G862" i="13" s="1"/>
  <c r="F864" i="13"/>
  <c r="F863" i="13" s="1"/>
  <c r="F862" i="13" s="1"/>
  <c r="H865" i="13"/>
  <c r="E179" i="15" s="1"/>
  <c r="K866" i="13"/>
  <c r="K865" i="13"/>
  <c r="H866" i="13"/>
  <c r="E180" i="15" s="1"/>
  <c r="F180" i="15" s="1"/>
  <c r="L1101" i="11"/>
  <c r="L1100" i="11"/>
  <c r="K1099" i="11"/>
  <c r="K1098" i="11" s="1"/>
  <c r="J1099" i="11"/>
  <c r="J1098" i="11" s="1"/>
  <c r="J1097" i="11" s="1"/>
  <c r="H1099" i="11"/>
  <c r="H1098" i="11" s="1"/>
  <c r="H1097" i="11" s="1"/>
  <c r="G1099" i="11"/>
  <c r="I1099" i="11" s="1"/>
  <c r="I1101" i="11"/>
  <c r="I1100" i="11"/>
  <c r="K1095" i="11"/>
  <c r="N860" i="13" s="1"/>
  <c r="H174" i="15" s="1"/>
  <c r="K1096" i="11"/>
  <c r="N861" i="13" s="1"/>
  <c r="H175" i="15" s="1"/>
  <c r="H1096" i="11"/>
  <c r="H861" i="13" s="1"/>
  <c r="E175" i="15" s="1"/>
  <c r="H748" i="10"/>
  <c r="D902" i="14"/>
  <c r="D901" i="14" s="1"/>
  <c r="I734" i="12"/>
  <c r="I733" i="12" s="1"/>
  <c r="G734" i="12"/>
  <c r="G733" i="12" s="1"/>
  <c r="F734" i="12"/>
  <c r="F733" i="12" s="1"/>
  <c r="K735" i="12"/>
  <c r="H735" i="12"/>
  <c r="H734" i="12" s="1"/>
  <c r="H678" i="10"/>
  <c r="H677" i="10" s="1"/>
  <c r="G678" i="10"/>
  <c r="G677" i="10" s="1"/>
  <c r="I679" i="10"/>
  <c r="H717" i="10"/>
  <c r="H738" i="10"/>
  <c r="H542" i="10"/>
  <c r="H545" i="10"/>
  <c r="K864" i="13" l="1"/>
  <c r="K862" i="13"/>
  <c r="Q864" i="13"/>
  <c r="K1094" i="11"/>
  <c r="K1093" i="11" s="1"/>
  <c r="K1092" i="11" s="1"/>
  <c r="G1098" i="11"/>
  <c r="G1097" i="11" s="1"/>
  <c r="I1097" i="11" s="1"/>
  <c r="P326" i="13"/>
  <c r="N325" i="13"/>
  <c r="H285" i="15"/>
  <c r="I286" i="15"/>
  <c r="F286" i="15"/>
  <c r="E285" i="15"/>
  <c r="K734" i="12"/>
  <c r="J734" i="12"/>
  <c r="I678" i="10"/>
  <c r="E903" i="14"/>
  <c r="J735" i="12"/>
  <c r="I677" i="10"/>
  <c r="H180" i="15"/>
  <c r="I180" i="15" s="1"/>
  <c r="J865" i="13"/>
  <c r="F179" i="15"/>
  <c r="E178" i="15"/>
  <c r="E177" i="15" s="1"/>
  <c r="H864" i="13"/>
  <c r="N864" i="13"/>
  <c r="N863" i="13" s="1"/>
  <c r="P863" i="13" s="1"/>
  <c r="H179" i="15"/>
  <c r="J866" i="13"/>
  <c r="H173" i="15"/>
  <c r="H172" i="15" s="1"/>
  <c r="H171" i="15" s="1"/>
  <c r="O862" i="13"/>
  <c r="M863" i="13"/>
  <c r="M862" i="13" s="1"/>
  <c r="K863" i="13"/>
  <c r="N859" i="13"/>
  <c r="N858" i="13" s="1"/>
  <c r="N857" i="13" s="1"/>
  <c r="K1097" i="11"/>
  <c r="L1098" i="11"/>
  <c r="L1097" i="11"/>
  <c r="L1099" i="11"/>
  <c r="K733" i="12"/>
  <c r="H733" i="12"/>
  <c r="J733" i="12" s="1"/>
  <c r="Q862" i="13" l="1"/>
  <c r="N862" i="13"/>
  <c r="P862" i="13" s="1"/>
  <c r="I285" i="15"/>
  <c r="H280" i="15"/>
  <c r="F285" i="15"/>
  <c r="E280" i="15"/>
  <c r="I1098" i="11"/>
  <c r="P325" i="13"/>
  <c r="N320" i="13"/>
  <c r="E902" i="14"/>
  <c r="F903" i="14"/>
  <c r="P864" i="13"/>
  <c r="I179" i="15"/>
  <c r="H178" i="15"/>
  <c r="F177" i="15"/>
  <c r="E176" i="15"/>
  <c r="F176" i="15" s="1"/>
  <c r="F178" i="15"/>
  <c r="J864" i="13"/>
  <c r="H863" i="13"/>
  <c r="Q863" i="13"/>
  <c r="E901" i="14" l="1"/>
  <c r="F901" i="14" s="1"/>
  <c r="F902" i="14"/>
  <c r="H177" i="15"/>
  <c r="I178" i="15"/>
  <c r="H862" i="13"/>
  <c r="J862" i="13" s="1"/>
  <c r="J863" i="13"/>
  <c r="I177" i="15" l="1"/>
  <c r="H176" i="15"/>
  <c r="I176" i="15" s="1"/>
  <c r="H772" i="10" l="1"/>
  <c r="H770" i="10"/>
  <c r="H390" i="10"/>
  <c r="H673" i="10"/>
  <c r="H1095" i="11"/>
  <c r="D185" i="14"/>
  <c r="D184" i="14" s="1"/>
  <c r="D183" i="14" s="1"/>
  <c r="I1012" i="12"/>
  <c r="I1011" i="12" s="1"/>
  <c r="G1012" i="12"/>
  <c r="G1011" i="12" s="1"/>
  <c r="G1010" i="12" s="1"/>
  <c r="F1012" i="12"/>
  <c r="F1011" i="12" s="1"/>
  <c r="F1010" i="12" s="1"/>
  <c r="H1013" i="12"/>
  <c r="J1013" i="12" s="1"/>
  <c r="K1014" i="12"/>
  <c r="K1013" i="12"/>
  <c r="H1014" i="12"/>
  <c r="J1014" i="12" s="1"/>
  <c r="H1243" i="10"/>
  <c r="H1242" i="10" s="1"/>
  <c r="H1241" i="10" s="1"/>
  <c r="G1243" i="10"/>
  <c r="G1242" i="10" s="1"/>
  <c r="G1241" i="10" s="1"/>
  <c r="I1245" i="10"/>
  <c r="I1244" i="10"/>
  <c r="H1240" i="10"/>
  <c r="H1239" i="10"/>
  <c r="H1094" i="11" l="1"/>
  <c r="H1093" i="11" s="1"/>
  <c r="H1092" i="11" s="1"/>
  <c r="H860" i="13"/>
  <c r="E187" i="14"/>
  <c r="F187" i="14" s="1"/>
  <c r="E186" i="14"/>
  <c r="F186" i="14" s="1"/>
  <c r="H1012" i="12"/>
  <c r="H1011" i="12" s="1"/>
  <c r="H1010" i="12" s="1"/>
  <c r="J1010" i="12" s="1"/>
  <c r="I1010" i="12"/>
  <c r="K1010" i="12" s="1"/>
  <c r="K1011" i="12"/>
  <c r="K1012" i="12"/>
  <c r="I1242" i="10"/>
  <c r="I1241" i="10"/>
  <c r="I1243" i="10"/>
  <c r="G804" i="15"/>
  <c r="G803" i="15" s="1"/>
  <c r="G807" i="15"/>
  <c r="G806" i="15" s="1"/>
  <c r="D804" i="15"/>
  <c r="D803" i="15" s="1"/>
  <c r="D807" i="15"/>
  <c r="D806" i="15" s="1"/>
  <c r="O598" i="13"/>
  <c r="M598" i="13"/>
  <c r="L598" i="13"/>
  <c r="L597" i="13" s="1"/>
  <c r="K598" i="13"/>
  <c r="K597" i="13" s="1"/>
  <c r="O597" i="13"/>
  <c r="M597" i="13"/>
  <c r="G598" i="13"/>
  <c r="G597" i="13" s="1"/>
  <c r="F598" i="13"/>
  <c r="F597" i="13" s="1"/>
  <c r="N599" i="13"/>
  <c r="P599" i="13" s="1"/>
  <c r="Q599" i="13"/>
  <c r="H599" i="13"/>
  <c r="E805" i="15" s="1"/>
  <c r="O601" i="13"/>
  <c r="M601" i="13"/>
  <c r="M600" i="13" s="1"/>
  <c r="L601" i="13"/>
  <c r="L600" i="13" s="1"/>
  <c r="K601" i="13"/>
  <c r="K600" i="13" s="1"/>
  <c r="O600" i="13"/>
  <c r="G601" i="13"/>
  <c r="G600" i="13" s="1"/>
  <c r="F601" i="13"/>
  <c r="F600" i="13" s="1"/>
  <c r="Q602" i="13"/>
  <c r="N602" i="13"/>
  <c r="N601" i="13" s="1"/>
  <c r="N600" i="13" s="1"/>
  <c r="I601" i="13"/>
  <c r="I598" i="13"/>
  <c r="H602" i="13"/>
  <c r="H601" i="13" s="1"/>
  <c r="K552" i="11"/>
  <c r="H552" i="11"/>
  <c r="K549" i="11"/>
  <c r="H549" i="11"/>
  <c r="K542" i="11"/>
  <c r="K541" i="11" s="1"/>
  <c r="J542" i="11"/>
  <c r="J541" i="11" s="1"/>
  <c r="H542" i="11"/>
  <c r="H541" i="11" s="1"/>
  <c r="G542" i="11"/>
  <c r="G541" i="11" s="1"/>
  <c r="K539" i="11"/>
  <c r="K538" i="11" s="1"/>
  <c r="J539" i="11"/>
  <c r="J538" i="11" s="1"/>
  <c r="H539" i="11"/>
  <c r="H538" i="11" s="1"/>
  <c r="G539" i="11"/>
  <c r="G538" i="11" s="1"/>
  <c r="L543" i="11"/>
  <c r="L540" i="11"/>
  <c r="I543" i="11"/>
  <c r="I540" i="11"/>
  <c r="D893" i="14"/>
  <c r="D892" i="14" s="1"/>
  <c r="D896" i="14"/>
  <c r="D895" i="14" s="1"/>
  <c r="I725" i="12"/>
  <c r="I724" i="12" s="1"/>
  <c r="G725" i="12"/>
  <c r="G724" i="12" s="1"/>
  <c r="F725" i="12"/>
  <c r="F724" i="12" s="1"/>
  <c r="H726" i="12"/>
  <c r="J726" i="12" s="1"/>
  <c r="I728" i="12"/>
  <c r="I727" i="12" s="1"/>
  <c r="G728" i="12"/>
  <c r="G727" i="12" s="1"/>
  <c r="F728" i="12"/>
  <c r="F727" i="12" s="1"/>
  <c r="K729" i="12"/>
  <c r="K726" i="12"/>
  <c r="H729" i="12"/>
  <c r="J729" i="12" s="1"/>
  <c r="H669" i="10"/>
  <c r="H668" i="10" s="1"/>
  <c r="G669" i="10"/>
  <c r="G668" i="10" s="1"/>
  <c r="H672" i="10"/>
  <c r="H671" i="10" s="1"/>
  <c r="G672" i="10"/>
  <c r="G671" i="10" s="1"/>
  <c r="I673" i="10"/>
  <c r="I670" i="10"/>
  <c r="H685" i="10"/>
  <c r="H688" i="10"/>
  <c r="G384" i="15"/>
  <c r="G386" i="15"/>
  <c r="D384" i="15"/>
  <c r="D386" i="15"/>
  <c r="D399" i="14"/>
  <c r="D401" i="14"/>
  <c r="O477" i="13"/>
  <c r="M477" i="13"/>
  <c r="L477" i="13"/>
  <c r="O479" i="13"/>
  <c r="O476" i="13" s="1"/>
  <c r="M479" i="13"/>
  <c r="M476" i="13" s="1"/>
  <c r="L479" i="13"/>
  <c r="L476" i="13" s="1"/>
  <c r="Q480" i="13"/>
  <c r="Q478" i="13"/>
  <c r="I477" i="13"/>
  <c r="G477" i="13"/>
  <c r="F477" i="13"/>
  <c r="I479" i="13"/>
  <c r="G479" i="13"/>
  <c r="F479" i="13"/>
  <c r="K480" i="13"/>
  <c r="K478" i="13"/>
  <c r="I553" i="12"/>
  <c r="I551" i="12"/>
  <c r="G551" i="12"/>
  <c r="G553" i="12"/>
  <c r="F553" i="12"/>
  <c r="F551" i="12"/>
  <c r="K554" i="12"/>
  <c r="K552" i="12"/>
  <c r="J418" i="11"/>
  <c r="G418" i="11"/>
  <c r="J420" i="11"/>
  <c r="K421" i="11"/>
  <c r="K420" i="11" s="1"/>
  <c r="G420" i="11"/>
  <c r="H421" i="11"/>
  <c r="I421" i="11" s="1"/>
  <c r="L421" i="11"/>
  <c r="K419" i="11"/>
  <c r="N478" i="13" s="1"/>
  <c r="H385" i="15" s="1"/>
  <c r="H419" i="11"/>
  <c r="H478" i="13" s="1"/>
  <c r="H477" i="13" s="1"/>
  <c r="K410" i="11"/>
  <c r="H410" i="11"/>
  <c r="K408" i="11"/>
  <c r="H408" i="11"/>
  <c r="G495" i="10"/>
  <c r="G494" i="10" s="1"/>
  <c r="G497" i="10"/>
  <c r="H498" i="10"/>
  <c r="H497" i="10" s="1"/>
  <c r="H496" i="10"/>
  <c r="H552" i="12" s="1"/>
  <c r="E400" i="14" s="1"/>
  <c r="H487" i="10"/>
  <c r="H485" i="10"/>
  <c r="G379" i="15"/>
  <c r="D379" i="15"/>
  <c r="G381" i="15"/>
  <c r="D381" i="15"/>
  <c r="M472" i="13"/>
  <c r="M471" i="13" s="1"/>
  <c r="M470" i="13" s="1"/>
  <c r="L472" i="13"/>
  <c r="L471" i="13" s="1"/>
  <c r="L470" i="13" s="1"/>
  <c r="G472" i="13"/>
  <c r="F472" i="13"/>
  <c r="G474" i="13"/>
  <c r="F474" i="13"/>
  <c r="M460" i="13"/>
  <c r="L460" i="13"/>
  <c r="G463" i="13"/>
  <c r="G461" i="13"/>
  <c r="F463" i="13"/>
  <c r="F461" i="13"/>
  <c r="J413" i="11"/>
  <c r="G413" i="11"/>
  <c r="J415" i="11"/>
  <c r="G415" i="11"/>
  <c r="K416" i="11"/>
  <c r="L416" i="11" s="1"/>
  <c r="H416" i="11"/>
  <c r="H475" i="13" s="1"/>
  <c r="J475" i="13" s="1"/>
  <c r="K414" i="11"/>
  <c r="N473" i="13" s="1"/>
  <c r="H380" i="15" s="1"/>
  <c r="H414" i="11"/>
  <c r="H413" i="11" s="1"/>
  <c r="K405" i="11"/>
  <c r="K404" i="11" s="1"/>
  <c r="H405" i="11"/>
  <c r="H464" i="13" s="1"/>
  <c r="I464" i="13" s="1"/>
  <c r="I463" i="13" s="1"/>
  <c r="K403" i="11"/>
  <c r="N462" i="13" s="1"/>
  <c r="O462" i="13" s="1"/>
  <c r="O461" i="13" s="1"/>
  <c r="H403" i="11"/>
  <c r="H462" i="13" s="1"/>
  <c r="H461" i="13" s="1"/>
  <c r="D394" i="14"/>
  <c r="D396" i="14"/>
  <c r="G546" i="12"/>
  <c r="F546" i="12"/>
  <c r="G548" i="12"/>
  <c r="F548" i="12"/>
  <c r="G490" i="10"/>
  <c r="G492" i="10"/>
  <c r="H493" i="10"/>
  <c r="H492" i="10" s="1"/>
  <c r="H491" i="10"/>
  <c r="I491" i="10" s="1"/>
  <c r="I497" i="10" l="1"/>
  <c r="D378" i="15"/>
  <c r="D383" i="15"/>
  <c r="F460" i="13"/>
  <c r="F471" i="13"/>
  <c r="F470" i="13" s="1"/>
  <c r="G476" i="13"/>
  <c r="Q477" i="13"/>
  <c r="J477" i="13"/>
  <c r="K479" i="13"/>
  <c r="J601" i="13"/>
  <c r="G378" i="15"/>
  <c r="F476" i="13"/>
  <c r="Q476" i="13"/>
  <c r="Q479" i="13"/>
  <c r="I476" i="13"/>
  <c r="G460" i="13"/>
  <c r="G471" i="13"/>
  <c r="G470" i="13" s="1"/>
  <c r="G417" i="11"/>
  <c r="H415" i="11"/>
  <c r="H412" i="11" s="1"/>
  <c r="I419" i="11"/>
  <c r="L420" i="11"/>
  <c r="K418" i="11"/>
  <c r="L418" i="11" s="1"/>
  <c r="I416" i="11"/>
  <c r="N480" i="13"/>
  <c r="P480" i="13" s="1"/>
  <c r="H402" i="11"/>
  <c r="H404" i="11"/>
  <c r="N464" i="13"/>
  <c r="N463" i="13" s="1"/>
  <c r="I541" i="11"/>
  <c r="K402" i="11"/>
  <c r="K401" i="11" s="1"/>
  <c r="H418" i="11"/>
  <c r="I418" i="11" s="1"/>
  <c r="E174" i="15"/>
  <c r="E173" i="15" s="1"/>
  <c r="E172" i="15" s="1"/>
  <c r="E171" i="15" s="1"/>
  <c r="H859" i="13"/>
  <c r="H858" i="13" s="1"/>
  <c r="H857" i="13" s="1"/>
  <c r="L419" i="11"/>
  <c r="H420" i="11"/>
  <c r="I420" i="11" s="1"/>
  <c r="J417" i="11"/>
  <c r="H480" i="13"/>
  <c r="J480" i="13" s="1"/>
  <c r="I542" i="11"/>
  <c r="D393" i="14"/>
  <c r="D398" i="14"/>
  <c r="F550" i="12"/>
  <c r="K551" i="12"/>
  <c r="G550" i="12"/>
  <c r="F545" i="12"/>
  <c r="F544" i="12" s="1"/>
  <c r="G545" i="12"/>
  <c r="G544" i="12" s="1"/>
  <c r="K553" i="12"/>
  <c r="I496" i="10"/>
  <c r="H554" i="12"/>
  <c r="E402" i="14" s="1"/>
  <c r="F402" i="14" s="1"/>
  <c r="G489" i="10"/>
  <c r="G488" i="10" s="1"/>
  <c r="I493" i="10"/>
  <c r="I668" i="10"/>
  <c r="H490" i="10"/>
  <c r="H547" i="12"/>
  <c r="J547" i="12" s="1"/>
  <c r="H549" i="12"/>
  <c r="J549" i="12" s="1"/>
  <c r="I498" i="10"/>
  <c r="H495" i="10"/>
  <c r="H494" i="10" s="1"/>
  <c r="I494" i="10" s="1"/>
  <c r="I492" i="10"/>
  <c r="I669" i="10"/>
  <c r="Q601" i="13"/>
  <c r="M596" i="13"/>
  <c r="Q597" i="13"/>
  <c r="L596" i="13"/>
  <c r="Q598" i="13"/>
  <c r="Q600" i="13"/>
  <c r="P600" i="13"/>
  <c r="J599" i="13"/>
  <c r="E808" i="15"/>
  <c r="E807" i="15" s="1"/>
  <c r="E806" i="15" s="1"/>
  <c r="F806" i="15" s="1"/>
  <c r="J602" i="13"/>
  <c r="E804" i="15"/>
  <c r="F805" i="15"/>
  <c r="H808" i="15"/>
  <c r="P602" i="13"/>
  <c r="H805" i="15"/>
  <c r="H598" i="13"/>
  <c r="N598" i="13"/>
  <c r="N597" i="13" s="1"/>
  <c r="P597" i="13" s="1"/>
  <c r="L538" i="11"/>
  <c r="J1011" i="12"/>
  <c r="E185" i="14"/>
  <c r="E184" i="14" s="1"/>
  <c r="E183" i="14" s="1"/>
  <c r="F183" i="14" s="1"/>
  <c r="J1012" i="12"/>
  <c r="I671" i="10"/>
  <c r="K728" i="12"/>
  <c r="K725" i="12"/>
  <c r="K724" i="12"/>
  <c r="H728" i="12"/>
  <c r="H727" i="12" s="1"/>
  <c r="J727" i="12" s="1"/>
  <c r="E897" i="14"/>
  <c r="E894" i="14"/>
  <c r="F894" i="14" s="1"/>
  <c r="H725" i="12"/>
  <c r="H724" i="12" s="1"/>
  <c r="J724" i="12" s="1"/>
  <c r="P601" i="13"/>
  <c r="H600" i="13"/>
  <c r="J600" i="13" s="1"/>
  <c r="G383" i="15"/>
  <c r="L541" i="11"/>
  <c r="L542" i="11"/>
  <c r="L539" i="11"/>
  <c r="I539" i="11"/>
  <c r="I538" i="11"/>
  <c r="I385" i="15"/>
  <c r="H384" i="15"/>
  <c r="J478" i="13"/>
  <c r="E385" i="15"/>
  <c r="P478" i="13"/>
  <c r="N477" i="13"/>
  <c r="K727" i="12"/>
  <c r="I672" i="10"/>
  <c r="E401" i="14"/>
  <c r="F401" i="14" s="1"/>
  <c r="E399" i="14"/>
  <c r="F400" i="14"/>
  <c r="J552" i="12"/>
  <c r="H551" i="12"/>
  <c r="K477" i="13"/>
  <c r="I550" i="12"/>
  <c r="K415" i="11"/>
  <c r="L415" i="11" s="1"/>
  <c r="K413" i="11"/>
  <c r="L413" i="11" s="1"/>
  <c r="N475" i="13"/>
  <c r="H382" i="15" s="1"/>
  <c r="H381" i="15" s="1"/>
  <c r="I381" i="15" s="1"/>
  <c r="L414" i="11"/>
  <c r="I413" i="11"/>
  <c r="G412" i="11"/>
  <c r="G411" i="11" s="1"/>
  <c r="H473" i="13"/>
  <c r="E380" i="15" s="1"/>
  <c r="E379" i="15" s="1"/>
  <c r="F379" i="15" s="1"/>
  <c r="I414" i="11"/>
  <c r="J412" i="11"/>
  <c r="E351" i="15"/>
  <c r="E350" i="15" s="1"/>
  <c r="O473" i="13"/>
  <c r="N472" i="13"/>
  <c r="P472" i="13" s="1"/>
  <c r="H474" i="13"/>
  <c r="J474" i="13" s="1"/>
  <c r="H351" i="15"/>
  <c r="H350" i="15" s="1"/>
  <c r="H379" i="15"/>
  <c r="I380" i="15"/>
  <c r="E353" i="15"/>
  <c r="E352" i="15" s="1"/>
  <c r="E382" i="15"/>
  <c r="P473" i="13"/>
  <c r="I475" i="13"/>
  <c r="I462" i="13"/>
  <c r="I461" i="13" s="1"/>
  <c r="I460" i="13" s="1"/>
  <c r="N461" i="13"/>
  <c r="H463" i="13"/>
  <c r="H460" i="13" s="1"/>
  <c r="H482" i="10"/>
  <c r="H480" i="10"/>
  <c r="K476" i="13" l="1"/>
  <c r="H387" i="15"/>
  <c r="H386" i="15" s="1"/>
  <c r="E387" i="15"/>
  <c r="F387" i="15" s="1"/>
  <c r="K417" i="11"/>
  <c r="I415" i="11"/>
  <c r="N479" i="13"/>
  <c r="P479" i="13" s="1"/>
  <c r="H479" i="13"/>
  <c r="J479" i="13" s="1"/>
  <c r="L417" i="11"/>
  <c r="H353" i="15"/>
  <c r="H352" i="15" s="1"/>
  <c r="H349" i="15" s="1"/>
  <c r="N460" i="13"/>
  <c r="O464" i="13"/>
  <c r="O463" i="13" s="1"/>
  <c r="O460" i="13" s="1"/>
  <c r="I412" i="11"/>
  <c r="H401" i="11"/>
  <c r="H417" i="11"/>
  <c r="I549" i="12"/>
  <c r="I548" i="12" s="1"/>
  <c r="K548" i="12" s="1"/>
  <c r="H553" i="12"/>
  <c r="J553" i="12" s="1"/>
  <c r="H548" i="12"/>
  <c r="J548" i="12" s="1"/>
  <c r="K550" i="12"/>
  <c r="H546" i="12"/>
  <c r="J546" i="12" s="1"/>
  <c r="I547" i="12"/>
  <c r="K547" i="12" s="1"/>
  <c r="E395" i="14"/>
  <c r="E394" i="14" s="1"/>
  <c r="I495" i="10"/>
  <c r="J554" i="12"/>
  <c r="E397" i="14"/>
  <c r="F397" i="14" s="1"/>
  <c r="I490" i="10"/>
  <c r="H489" i="10"/>
  <c r="F808" i="15"/>
  <c r="F807" i="15"/>
  <c r="P598" i="13"/>
  <c r="J598" i="13"/>
  <c r="H597" i="13"/>
  <c r="J597" i="13" s="1"/>
  <c r="H807" i="15"/>
  <c r="I808" i="15"/>
  <c r="I805" i="15"/>
  <c r="H804" i="15"/>
  <c r="F804" i="15"/>
  <c r="E803" i="15"/>
  <c r="F803" i="15" s="1"/>
  <c r="F185" i="14"/>
  <c r="F184" i="14"/>
  <c r="E893" i="14"/>
  <c r="E892" i="14" s="1"/>
  <c r="F892" i="14" s="1"/>
  <c r="E896" i="14"/>
  <c r="F897" i="14"/>
  <c r="J725" i="12"/>
  <c r="J728" i="12"/>
  <c r="O475" i="13"/>
  <c r="O474" i="13" s="1"/>
  <c r="I473" i="13"/>
  <c r="K473" i="13" s="1"/>
  <c r="H476" i="13"/>
  <c r="J476" i="13" s="1"/>
  <c r="P477" i="13"/>
  <c r="I384" i="15"/>
  <c r="E384" i="15"/>
  <c r="F385" i="15"/>
  <c r="F399" i="14"/>
  <c r="E398" i="14"/>
  <c r="F398" i="14" s="1"/>
  <c r="H550" i="12"/>
  <c r="J550" i="12" s="1"/>
  <c r="J551" i="12"/>
  <c r="N474" i="13"/>
  <c r="P474" i="13" s="1"/>
  <c r="P475" i="13"/>
  <c r="F380" i="15"/>
  <c r="J473" i="13"/>
  <c r="I382" i="15"/>
  <c r="H378" i="15"/>
  <c r="I378" i="15" s="1"/>
  <c r="E349" i="15"/>
  <c r="H472" i="13"/>
  <c r="J472" i="13" s="1"/>
  <c r="J411" i="11"/>
  <c r="K412" i="11"/>
  <c r="K411" i="11" s="1"/>
  <c r="I379" i="15"/>
  <c r="O472" i="13"/>
  <c r="Q472" i="13" s="1"/>
  <c r="Q473" i="13"/>
  <c r="I474" i="13"/>
  <c r="K474" i="13" s="1"/>
  <c r="K475" i="13"/>
  <c r="F382" i="15"/>
  <c r="E381" i="15"/>
  <c r="H1131" i="10"/>
  <c r="H969" i="10"/>
  <c r="H779" i="10"/>
  <c r="H777" i="10"/>
  <c r="H622" i="10"/>
  <c r="H424" i="10"/>
  <c r="H402" i="10"/>
  <c r="H238" i="10"/>
  <c r="H636" i="10"/>
  <c r="H1010" i="10"/>
  <c r="H1063" i="10"/>
  <c r="H280" i="10"/>
  <c r="H203" i="10"/>
  <c r="H611" i="10"/>
  <c r="H1026" i="10"/>
  <c r="H1023" i="10"/>
  <c r="H751" i="10"/>
  <c r="H793" i="10"/>
  <c r="H614" i="10"/>
  <c r="H708" i="10"/>
  <c r="H760" i="10"/>
  <c r="H382" i="10"/>
  <c r="H384" i="10"/>
  <c r="H813" i="10"/>
  <c r="I387" i="15" l="1"/>
  <c r="E386" i="15"/>
  <c r="F386" i="15" s="1"/>
  <c r="I386" i="15"/>
  <c r="H383" i="15"/>
  <c r="I383" i="15" s="1"/>
  <c r="N476" i="13"/>
  <c r="P476" i="13" s="1"/>
  <c r="H411" i="11"/>
  <c r="I411" i="11" s="1"/>
  <c r="I417" i="11"/>
  <c r="H545" i="12"/>
  <c r="J545" i="12" s="1"/>
  <c r="K549" i="12"/>
  <c r="F395" i="14"/>
  <c r="I546" i="12"/>
  <c r="I545" i="12" s="1"/>
  <c r="E396" i="14"/>
  <c r="F396" i="14" s="1"/>
  <c r="I489" i="10"/>
  <c r="H488" i="10"/>
  <c r="I488" i="10" s="1"/>
  <c r="H806" i="15"/>
  <c r="I806" i="15" s="1"/>
  <c r="I807" i="15"/>
  <c r="H803" i="15"/>
  <c r="I803" i="15" s="1"/>
  <c r="I804" i="15"/>
  <c r="F893" i="14"/>
  <c r="E895" i="14"/>
  <c r="F895" i="14" s="1"/>
  <c r="F896" i="14"/>
  <c r="Q475" i="13"/>
  <c r="I472" i="13"/>
  <c r="K472" i="13" s="1"/>
  <c r="N471" i="13"/>
  <c r="F384" i="15"/>
  <c r="E383" i="15"/>
  <c r="F383" i="15" s="1"/>
  <c r="L411" i="11"/>
  <c r="H471" i="13"/>
  <c r="H470" i="13" s="1"/>
  <c r="L412" i="11"/>
  <c r="F381" i="15"/>
  <c r="E378" i="15"/>
  <c r="Q474" i="13"/>
  <c r="O471" i="13"/>
  <c r="O470" i="13" s="1"/>
  <c r="F394" i="14"/>
  <c r="D1037" i="14"/>
  <c r="D1036" i="14" s="1"/>
  <c r="I1256" i="12"/>
  <c r="I1255" i="12" s="1"/>
  <c r="G1256" i="12"/>
  <c r="G1255" i="12" s="1"/>
  <c r="F1256" i="12"/>
  <c r="F1255" i="12" s="1"/>
  <c r="K1257" i="12"/>
  <c r="H1257" i="12"/>
  <c r="H1256" i="12" s="1"/>
  <c r="H998" i="10"/>
  <c r="H997" i="10" s="1"/>
  <c r="G998" i="10"/>
  <c r="G997" i="10" s="1"/>
  <c r="I999" i="10"/>
  <c r="H397" i="10"/>
  <c r="D905" i="14"/>
  <c r="D904" i="14" s="1"/>
  <c r="I737" i="12"/>
  <c r="I736" i="12" s="1"/>
  <c r="G737" i="12"/>
  <c r="G736" i="12" s="1"/>
  <c r="F737" i="12"/>
  <c r="F736" i="12" s="1"/>
  <c r="K738" i="12"/>
  <c r="H738" i="12"/>
  <c r="J738" i="12" s="1"/>
  <c r="H681" i="10"/>
  <c r="H680" i="10" s="1"/>
  <c r="G681" i="10"/>
  <c r="G680" i="10" s="1"/>
  <c r="I682" i="10"/>
  <c r="H711" i="10"/>
  <c r="N470" i="13" l="1"/>
  <c r="P470" i="13" s="1"/>
  <c r="K546" i="12"/>
  <c r="H544" i="12"/>
  <c r="J544" i="12" s="1"/>
  <c r="J1256" i="12"/>
  <c r="K1256" i="12"/>
  <c r="E393" i="14"/>
  <c r="F393" i="14" s="1"/>
  <c r="I680" i="10"/>
  <c r="I997" i="10"/>
  <c r="I681" i="10"/>
  <c r="I998" i="10"/>
  <c r="I471" i="13"/>
  <c r="I470" i="13" s="1"/>
  <c r="K470" i="13" s="1"/>
  <c r="K737" i="12"/>
  <c r="P471" i="13"/>
  <c r="J470" i="13"/>
  <c r="J471" i="13"/>
  <c r="Q470" i="13"/>
  <c r="Q471" i="13"/>
  <c r="F378" i="15"/>
  <c r="I544" i="12"/>
  <c r="K544" i="12" s="1"/>
  <c r="K545" i="12"/>
  <c r="J1257" i="12"/>
  <c r="E1038" i="14"/>
  <c r="K1255" i="12"/>
  <c r="H1255" i="12"/>
  <c r="J1255" i="12" s="1"/>
  <c r="H737" i="12"/>
  <c r="J737" i="12" s="1"/>
  <c r="E906" i="14"/>
  <c r="K736" i="12"/>
  <c r="K471" i="13" l="1"/>
  <c r="E1037" i="14"/>
  <c r="F1038" i="14"/>
  <c r="H736" i="12"/>
  <c r="J736" i="12" s="1"/>
  <c r="E905" i="14"/>
  <c r="F906" i="14"/>
  <c r="E1036" i="14" l="1"/>
  <c r="F1036" i="14" s="1"/>
  <c r="F1037" i="14"/>
  <c r="E904" i="14"/>
  <c r="F904" i="14" s="1"/>
  <c r="F905" i="14"/>
  <c r="D473" i="14" l="1"/>
  <c r="D472" i="14" s="1"/>
  <c r="I618" i="12"/>
  <c r="I617" i="12" s="1"/>
  <c r="G618" i="12"/>
  <c r="G617" i="12" s="1"/>
  <c r="G616" i="12" s="1"/>
  <c r="G615" i="12" s="1"/>
  <c r="F618" i="12"/>
  <c r="F617" i="12" s="1"/>
  <c r="F616" i="12" s="1"/>
  <c r="F615" i="12" s="1"/>
  <c r="K619" i="12"/>
  <c r="H619" i="12"/>
  <c r="J619" i="12" s="1"/>
  <c r="H562" i="10"/>
  <c r="H561" i="10" s="1"/>
  <c r="G562" i="10"/>
  <c r="G561" i="10" s="1"/>
  <c r="G560" i="10" s="1"/>
  <c r="G559" i="10" s="1"/>
  <c r="I563" i="10"/>
  <c r="H532" i="10"/>
  <c r="K618" i="12" l="1"/>
  <c r="I562" i="10"/>
  <c r="I561" i="10"/>
  <c r="H560" i="10"/>
  <c r="H559" i="10" s="1"/>
  <c r="E474" i="14"/>
  <c r="H618" i="12"/>
  <c r="H617" i="12" s="1"/>
  <c r="H616" i="12" s="1"/>
  <c r="J616" i="12" s="1"/>
  <c r="K617" i="12"/>
  <c r="I616" i="12"/>
  <c r="J617" i="12" l="1"/>
  <c r="H615" i="12"/>
  <c r="J615" i="12" s="1"/>
  <c r="J618" i="12"/>
  <c r="I560" i="10"/>
  <c r="E473" i="14"/>
  <c r="F474" i="14"/>
  <c r="I559" i="10"/>
  <c r="I615" i="12"/>
  <c r="K615" i="12" s="1"/>
  <c r="K616" i="12"/>
  <c r="E472" i="14" l="1"/>
  <c r="F472" i="14" s="1"/>
  <c r="F473" i="14"/>
  <c r="H1260" i="10"/>
  <c r="H1140" i="10"/>
  <c r="H1139" i="10"/>
  <c r="H1268" i="10"/>
  <c r="H1190" i="10"/>
  <c r="H1176" i="10"/>
  <c r="H1175" i="10"/>
  <c r="H223" i="10"/>
  <c r="H418" i="10" l="1"/>
  <c r="D805" i="14"/>
  <c r="D804" i="14" s="1"/>
  <c r="I475" i="12"/>
  <c r="I474" i="12" s="1"/>
  <c r="G475" i="12"/>
  <c r="G474" i="12" s="1"/>
  <c r="F475" i="12"/>
  <c r="F474" i="12" s="1"/>
  <c r="K476" i="12"/>
  <c r="H476" i="12"/>
  <c r="H475" i="12" s="1"/>
  <c r="H432" i="10"/>
  <c r="H431" i="10" s="1"/>
  <c r="G432" i="10"/>
  <c r="I433" i="10"/>
  <c r="I432" i="10" l="1"/>
  <c r="G431" i="10"/>
  <c r="I431" i="10"/>
  <c r="K475" i="12"/>
  <c r="J475" i="12"/>
  <c r="H474" i="12"/>
  <c r="J474" i="12" s="1"/>
  <c r="J476" i="12"/>
  <c r="E806" i="14"/>
  <c r="K474" i="12"/>
  <c r="H352" i="10"/>
  <c r="H355" i="10"/>
  <c r="H1115" i="10"/>
  <c r="H1105" i="10"/>
  <c r="E805" i="14" l="1"/>
  <c r="F806" i="14"/>
  <c r="H1344" i="10"/>
  <c r="E804" i="14" l="1"/>
  <c r="F804" i="14" s="1"/>
  <c r="F805" i="14"/>
  <c r="H548" i="10"/>
  <c r="H976" i="10"/>
  <c r="H1444" i="10"/>
  <c r="H1472" i="10"/>
  <c r="H1339" i="10" l="1"/>
  <c r="H1338" i="10"/>
  <c r="H1312" i="10"/>
  <c r="H1346" i="10"/>
  <c r="D676" i="14" l="1"/>
  <c r="D675" i="14" s="1"/>
  <c r="D673" i="14"/>
  <c r="D672" i="14" s="1"/>
  <c r="D670" i="14"/>
  <c r="D669" i="14" s="1"/>
  <c r="I1343" i="12"/>
  <c r="I1342" i="12" s="1"/>
  <c r="G1343" i="12"/>
  <c r="G1342" i="12" s="1"/>
  <c r="G1341" i="12" s="1"/>
  <c r="G1340" i="12" s="1"/>
  <c r="F1343" i="12"/>
  <c r="F1342" i="12" s="1"/>
  <c r="F1341" i="12" s="1"/>
  <c r="F1340" i="12" s="1"/>
  <c r="K1344" i="12"/>
  <c r="H1344" i="12"/>
  <c r="H1343" i="12" s="1"/>
  <c r="I713" i="12"/>
  <c r="I712" i="12" s="1"/>
  <c r="G713" i="12"/>
  <c r="F713" i="12"/>
  <c r="F712" i="12" s="1"/>
  <c r="H714" i="12"/>
  <c r="J714" i="12" s="1"/>
  <c r="I710" i="12"/>
  <c r="I709" i="12" s="1"/>
  <c r="G710" i="12"/>
  <c r="G709" i="12" s="1"/>
  <c r="F710" i="12"/>
  <c r="F709" i="12" s="1"/>
  <c r="F708" i="12" s="1"/>
  <c r="F707" i="12" s="1"/>
  <c r="K714" i="12"/>
  <c r="K711" i="12"/>
  <c r="H711" i="12"/>
  <c r="H710" i="12" s="1"/>
  <c r="H1056" i="10"/>
  <c r="H1055" i="10" s="1"/>
  <c r="H1054" i="10" s="1"/>
  <c r="H1053" i="10" s="1"/>
  <c r="G1056" i="10"/>
  <c r="I1057" i="10"/>
  <c r="H654" i="10"/>
  <c r="H653" i="10" s="1"/>
  <c r="G654" i="10"/>
  <c r="G653" i="10" s="1"/>
  <c r="H657" i="10"/>
  <c r="H656" i="10" s="1"/>
  <c r="G657" i="10"/>
  <c r="G656" i="10" s="1"/>
  <c r="I658" i="10"/>
  <c r="I655" i="10"/>
  <c r="O35" i="1"/>
  <c r="P64" i="1"/>
  <c r="H695" i="10"/>
  <c r="D1003" i="14"/>
  <c r="D1002" i="14" s="1"/>
  <c r="I603" i="12"/>
  <c r="I602" i="12" s="1"/>
  <c r="G603" i="12"/>
  <c r="G602" i="12" s="1"/>
  <c r="F603" i="12"/>
  <c r="F602" i="12" s="1"/>
  <c r="K604" i="12"/>
  <c r="H604" i="12"/>
  <c r="E1004" i="14" s="1"/>
  <c r="H547" i="10"/>
  <c r="H546" i="10" s="1"/>
  <c r="G547" i="10"/>
  <c r="I548" i="10"/>
  <c r="D668" i="14" l="1"/>
  <c r="D667" i="14" s="1"/>
  <c r="K713" i="12"/>
  <c r="I653" i="10"/>
  <c r="I654" i="10"/>
  <c r="J1344" i="12"/>
  <c r="I547" i="10"/>
  <c r="I657" i="10"/>
  <c r="E671" i="14"/>
  <c r="I1056" i="10"/>
  <c r="K603" i="12"/>
  <c r="K1343" i="12"/>
  <c r="J1343" i="12"/>
  <c r="I656" i="10"/>
  <c r="G652" i="10"/>
  <c r="G651" i="10" s="1"/>
  <c r="G650" i="10" s="1"/>
  <c r="H652" i="10"/>
  <c r="G1055" i="10"/>
  <c r="E674" i="14"/>
  <c r="G546" i="10"/>
  <c r="I546" i="10" s="1"/>
  <c r="E677" i="14"/>
  <c r="H1342" i="12"/>
  <c r="H1341" i="12" s="1"/>
  <c r="H1340" i="12" s="1"/>
  <c r="J1340" i="12" s="1"/>
  <c r="I1341" i="12"/>
  <c r="K1342" i="12"/>
  <c r="H709" i="12"/>
  <c r="J709" i="12" s="1"/>
  <c r="J710" i="12"/>
  <c r="J711" i="12"/>
  <c r="H713" i="12"/>
  <c r="G712" i="12"/>
  <c r="G708" i="12" s="1"/>
  <c r="G707" i="12" s="1"/>
  <c r="G706" i="12" s="1"/>
  <c r="K709" i="12"/>
  <c r="I708" i="12"/>
  <c r="K710" i="12"/>
  <c r="F706" i="12"/>
  <c r="H603" i="12"/>
  <c r="H602" i="12" s="1"/>
  <c r="J602" i="12" s="1"/>
  <c r="E1003" i="14"/>
  <c r="F1004" i="14"/>
  <c r="J604" i="12"/>
  <c r="K602" i="12"/>
  <c r="H235" i="10"/>
  <c r="H266" i="10"/>
  <c r="G376" i="15"/>
  <c r="G375" i="15" s="1"/>
  <c r="D375" i="15"/>
  <c r="D376" i="15"/>
  <c r="E377" i="15"/>
  <c r="E376" i="15" s="1"/>
  <c r="E375" i="15" s="1"/>
  <c r="E359" i="15" s="1"/>
  <c r="F671" i="14" l="1"/>
  <c r="E670" i="14"/>
  <c r="F377" i="15"/>
  <c r="F375" i="15"/>
  <c r="I652" i="10"/>
  <c r="H651" i="10"/>
  <c r="F674" i="14"/>
  <c r="E673" i="14"/>
  <c r="J1341" i="12"/>
  <c r="G1054" i="10"/>
  <c r="I1055" i="10"/>
  <c r="F677" i="14"/>
  <c r="E676" i="14"/>
  <c r="J1342" i="12"/>
  <c r="I1340" i="12"/>
  <c r="K1340" i="12" s="1"/>
  <c r="K1341" i="12"/>
  <c r="H712" i="12"/>
  <c r="J713" i="12"/>
  <c r="K712" i="12"/>
  <c r="I707" i="12"/>
  <c r="K708" i="12"/>
  <c r="J603" i="12"/>
  <c r="E1002" i="14"/>
  <c r="F1002" i="14" s="1"/>
  <c r="F1003" i="14"/>
  <c r="F376" i="15"/>
  <c r="O586" i="13"/>
  <c r="M586" i="13"/>
  <c r="M585" i="13" s="1"/>
  <c r="L586" i="13"/>
  <c r="L585" i="13" s="1"/>
  <c r="Q587" i="13"/>
  <c r="N587" i="13"/>
  <c r="I586" i="13"/>
  <c r="I585" i="13" s="1"/>
  <c r="H586" i="13"/>
  <c r="G586" i="13"/>
  <c r="G585" i="13" s="1"/>
  <c r="F586" i="13"/>
  <c r="F585" i="13" s="1"/>
  <c r="K587" i="13"/>
  <c r="J587" i="13"/>
  <c r="K80" i="11"/>
  <c r="K527" i="11"/>
  <c r="K526" i="11" s="1"/>
  <c r="K510" i="11" s="1"/>
  <c r="J527" i="11"/>
  <c r="J526" i="11" s="1"/>
  <c r="I527" i="11"/>
  <c r="I526" i="11" s="1"/>
  <c r="H527" i="11"/>
  <c r="H526" i="11"/>
  <c r="H510" i="11" s="1"/>
  <c r="G527" i="11"/>
  <c r="G526" i="11" s="1"/>
  <c r="L528" i="11"/>
  <c r="L526" i="11" l="1"/>
  <c r="E669" i="14"/>
  <c r="F669" i="14" s="1"/>
  <c r="F670" i="14"/>
  <c r="K586" i="13"/>
  <c r="J586" i="13"/>
  <c r="Q586" i="13"/>
  <c r="P587" i="13"/>
  <c r="H377" i="15"/>
  <c r="N586" i="13"/>
  <c r="P586" i="13" s="1"/>
  <c r="G1053" i="10"/>
  <c r="I1053" i="10" s="1"/>
  <c r="I1054" i="10"/>
  <c r="H650" i="10"/>
  <c r="I650" i="10" s="1"/>
  <c r="I651" i="10"/>
  <c r="E675" i="14"/>
  <c r="F675" i="14" s="1"/>
  <c r="F676" i="14"/>
  <c r="E672" i="14"/>
  <c r="F673" i="14"/>
  <c r="J712" i="12"/>
  <c r="H708" i="12"/>
  <c r="K707" i="12"/>
  <c r="I706" i="12"/>
  <c r="K706" i="12" s="1"/>
  <c r="L527" i="11"/>
  <c r="O585" i="13"/>
  <c r="Q585" i="13" s="1"/>
  <c r="K585" i="13"/>
  <c r="H585" i="13"/>
  <c r="G475" i="15"/>
  <c r="G474" i="15" s="1"/>
  <c r="D475" i="15"/>
  <c r="D474" i="15" s="1"/>
  <c r="G472" i="15"/>
  <c r="G471" i="15" s="1"/>
  <c r="D472" i="15"/>
  <c r="D471" i="15" s="1"/>
  <c r="O533" i="13"/>
  <c r="M533" i="13"/>
  <c r="M532" i="13" s="1"/>
  <c r="L533" i="13"/>
  <c r="L532" i="13" s="1"/>
  <c r="N534" i="13"/>
  <c r="P534" i="13" s="1"/>
  <c r="O536" i="13"/>
  <c r="O535" i="13" s="1"/>
  <c r="M536" i="13"/>
  <c r="M535" i="13" s="1"/>
  <c r="L536" i="13"/>
  <c r="L535" i="13" s="1"/>
  <c r="Q537" i="13"/>
  <c r="Q534" i="13"/>
  <c r="N537" i="13"/>
  <c r="H476" i="15" s="1"/>
  <c r="I533" i="13"/>
  <c r="I532" i="13" s="1"/>
  <c r="G533" i="13"/>
  <c r="G532" i="13" s="1"/>
  <c r="F533" i="13"/>
  <c r="F532" i="13" s="1"/>
  <c r="I536" i="13"/>
  <c r="I535" i="13" s="1"/>
  <c r="G536" i="13"/>
  <c r="G535" i="13" s="1"/>
  <c r="F536" i="13"/>
  <c r="F535" i="13" s="1"/>
  <c r="H537" i="13"/>
  <c r="H536" i="13" s="1"/>
  <c r="H535" i="13" s="1"/>
  <c r="K537" i="13"/>
  <c r="K534" i="13"/>
  <c r="H534" i="13"/>
  <c r="J534" i="13" s="1"/>
  <c r="H80" i="11"/>
  <c r="K474" i="11"/>
  <c r="K473" i="11" s="1"/>
  <c r="J474" i="11"/>
  <c r="J473" i="11" s="1"/>
  <c r="H474" i="11"/>
  <c r="H473" i="11" s="1"/>
  <c r="G474" i="11"/>
  <c r="G473" i="11" s="1"/>
  <c r="K477" i="11"/>
  <c r="K476" i="11" s="1"/>
  <c r="J477" i="11"/>
  <c r="J476" i="11" s="1"/>
  <c r="H477" i="11"/>
  <c r="H476" i="11" s="1"/>
  <c r="G477" i="11"/>
  <c r="G476" i="11" s="1"/>
  <c r="L478" i="11"/>
  <c r="L475" i="11"/>
  <c r="I478" i="11"/>
  <c r="I475" i="11"/>
  <c r="H668" i="11"/>
  <c r="H727" i="13" s="1"/>
  <c r="D470" i="15" l="1"/>
  <c r="D469" i="15" s="1"/>
  <c r="G470" i="15"/>
  <c r="G469" i="15" s="1"/>
  <c r="L531" i="13"/>
  <c r="L530" i="13" s="1"/>
  <c r="Q533" i="13"/>
  <c r="J537" i="13"/>
  <c r="I477" i="11"/>
  <c r="N585" i="13"/>
  <c r="N569" i="13" s="1"/>
  <c r="F531" i="13"/>
  <c r="F530" i="13" s="1"/>
  <c r="J585" i="13"/>
  <c r="H569" i="13"/>
  <c r="O532" i="13"/>
  <c r="Q532" i="13" s="1"/>
  <c r="J535" i="13"/>
  <c r="I377" i="15"/>
  <c r="H376" i="15"/>
  <c r="F672" i="14"/>
  <c r="E668" i="14"/>
  <c r="H707" i="12"/>
  <c r="J708" i="12"/>
  <c r="I476" i="11"/>
  <c r="L474" i="11"/>
  <c r="G531" i="13"/>
  <c r="G530" i="13" s="1"/>
  <c r="Q536" i="13"/>
  <c r="K533" i="13"/>
  <c r="G472" i="11"/>
  <c r="G471" i="11" s="1"/>
  <c r="N536" i="13"/>
  <c r="N535" i="13" s="1"/>
  <c r="P535" i="13" s="1"/>
  <c r="H473" i="15"/>
  <c r="I473" i="15" s="1"/>
  <c r="K472" i="11"/>
  <c r="K471" i="11" s="1"/>
  <c r="N533" i="13"/>
  <c r="N532" i="13" s="1"/>
  <c r="P532" i="13" s="1"/>
  <c r="E476" i="15"/>
  <c r="F476" i="15" s="1"/>
  <c r="I473" i="11"/>
  <c r="H472" i="11"/>
  <c r="I476" i="15"/>
  <c r="H475" i="15"/>
  <c r="L476" i="11"/>
  <c r="L477" i="11"/>
  <c r="J472" i="11"/>
  <c r="J471" i="11" s="1"/>
  <c r="H533" i="13"/>
  <c r="J533" i="13" s="1"/>
  <c r="E473" i="15"/>
  <c r="I474" i="11"/>
  <c r="L473" i="11"/>
  <c r="P537" i="13"/>
  <c r="M531" i="13"/>
  <c r="M530" i="13" s="1"/>
  <c r="Q535" i="13"/>
  <c r="K532" i="13"/>
  <c r="I531" i="13"/>
  <c r="K535" i="13"/>
  <c r="J536" i="13"/>
  <c r="K536" i="13"/>
  <c r="O531" i="13" l="1"/>
  <c r="O530" i="13" s="1"/>
  <c r="P585" i="13"/>
  <c r="I376" i="15"/>
  <c r="H375" i="15"/>
  <c r="H359" i="15" s="1"/>
  <c r="E667" i="14"/>
  <c r="F667" i="14" s="1"/>
  <c r="F668" i="14"/>
  <c r="H706" i="12"/>
  <c r="J706" i="12" s="1"/>
  <c r="J707" i="12"/>
  <c r="L471" i="11"/>
  <c r="N531" i="13"/>
  <c r="N530" i="13" s="1"/>
  <c r="P530" i="13" s="1"/>
  <c r="Q530" i="13"/>
  <c r="E475" i="15"/>
  <c r="E474" i="15" s="1"/>
  <c r="H472" i="15"/>
  <c r="I472" i="15" s="1"/>
  <c r="P536" i="13"/>
  <c r="P533" i="13"/>
  <c r="I472" i="11"/>
  <c r="H471" i="11"/>
  <c r="L472" i="11"/>
  <c r="H474" i="15"/>
  <c r="I474" i="15" s="1"/>
  <c r="I475" i="15"/>
  <c r="H532" i="13"/>
  <c r="H531" i="13" s="1"/>
  <c r="E472" i="15"/>
  <c r="F473" i="15"/>
  <c r="I530" i="13"/>
  <c r="K530" i="13" s="1"/>
  <c r="K531" i="13"/>
  <c r="H438" i="15"/>
  <c r="H437" i="15" s="1"/>
  <c r="H436" i="15" s="1"/>
  <c r="H435" i="15" s="1"/>
  <c r="H427" i="15" s="1"/>
  <c r="N1077" i="13"/>
  <c r="N1076" i="13" s="1"/>
  <c r="N1075" i="13" s="1"/>
  <c r="N1074" i="13" s="1"/>
  <c r="N1073" i="13" s="1"/>
  <c r="N1072" i="13" s="1"/>
  <c r="N1063" i="13" s="1"/>
  <c r="N1010" i="13" s="1"/>
  <c r="K832" i="11"/>
  <c r="K831" i="11" s="1"/>
  <c r="K830" i="11" s="1"/>
  <c r="K829" i="11" s="1"/>
  <c r="K828" i="11" s="1"/>
  <c r="K775" i="11" s="1"/>
  <c r="H834" i="11"/>
  <c r="H1077" i="13" s="1"/>
  <c r="E439" i="15" s="1"/>
  <c r="E438" i="15" s="1"/>
  <c r="E437" i="15" s="1"/>
  <c r="E436" i="15" s="1"/>
  <c r="E435" i="15" s="1"/>
  <c r="E427" i="15" s="1"/>
  <c r="O13" i="1"/>
  <c r="O14" i="1"/>
  <c r="O19" i="1"/>
  <c r="H1198" i="10"/>
  <c r="H1206" i="10"/>
  <c r="H1216" i="10"/>
  <c r="Q531" i="13" l="1"/>
  <c r="P531" i="13"/>
  <c r="I375" i="15"/>
  <c r="H833" i="11"/>
  <c r="H832" i="11" s="1"/>
  <c r="H831" i="11" s="1"/>
  <c r="H830" i="11" s="1"/>
  <c r="H829" i="11" s="1"/>
  <c r="H828" i="11" s="1"/>
  <c r="H775" i="11" s="1"/>
  <c r="H471" i="15"/>
  <c r="H470" i="15" s="1"/>
  <c r="F475" i="15"/>
  <c r="J532" i="13"/>
  <c r="F472" i="15"/>
  <c r="E471" i="15"/>
  <c r="F471" i="15" s="1"/>
  <c r="F474" i="15"/>
  <c r="I471" i="11"/>
  <c r="H1076" i="13"/>
  <c r="H1075" i="13" s="1"/>
  <c r="H1074" i="13" s="1"/>
  <c r="H1073" i="13" s="1"/>
  <c r="H1072" i="13" s="1"/>
  <c r="H1063" i="13" s="1"/>
  <c r="H1010" i="13" s="1"/>
  <c r="H530" i="13"/>
  <c r="J530" i="13" s="1"/>
  <c r="J531" i="13"/>
  <c r="I471" i="15" l="1"/>
  <c r="E470" i="15"/>
  <c r="E469" i="15" s="1"/>
  <c r="F469" i="15" s="1"/>
  <c r="I470" i="15"/>
  <c r="H469" i="15"/>
  <c r="I469" i="15" s="1"/>
  <c r="H206" i="10"/>
  <c r="F470" i="15" l="1"/>
  <c r="H1299" i="10"/>
  <c r="H933" i="10"/>
  <c r="D26" i="14" l="1"/>
  <c r="H1099" i="12"/>
  <c r="H1098" i="12" s="1"/>
  <c r="J1098" i="12" s="1"/>
  <c r="I1098" i="12"/>
  <c r="G1098" i="12"/>
  <c r="F1098" i="12"/>
  <c r="K1099" i="12"/>
  <c r="K1098" i="12" l="1"/>
  <c r="J1099" i="12"/>
  <c r="E27" i="14"/>
  <c r="F27" i="14" s="1"/>
  <c r="E26" i="14" l="1"/>
  <c r="F26" i="14" s="1"/>
  <c r="H1311" i="10"/>
  <c r="H1310" i="10" s="1"/>
  <c r="G1311" i="10"/>
  <c r="G1310" i="10" s="1"/>
  <c r="I1312" i="10"/>
  <c r="I1310" i="10" l="1"/>
  <c r="I1311" i="10"/>
  <c r="H556" i="10"/>
  <c r="F54" i="2" l="1"/>
  <c r="K565" i="11"/>
  <c r="D921" i="14"/>
  <c r="D920" i="14" s="1"/>
  <c r="I493" i="12"/>
  <c r="I492" i="12" s="1"/>
  <c r="G493" i="12"/>
  <c r="G492" i="12" s="1"/>
  <c r="G491" i="12" s="1"/>
  <c r="G490" i="12" s="1"/>
  <c r="G489" i="12" s="1"/>
  <c r="F493" i="12"/>
  <c r="F492" i="12" s="1"/>
  <c r="F491" i="12" s="1"/>
  <c r="F490" i="12" s="1"/>
  <c r="F489" i="12" s="1"/>
  <c r="K494" i="12"/>
  <c r="P63" i="1"/>
  <c r="G450" i="10"/>
  <c r="G449" i="10" s="1"/>
  <c r="G448" i="10" s="1"/>
  <c r="G447" i="10" s="1"/>
  <c r="G446" i="10" s="1"/>
  <c r="H451" i="10"/>
  <c r="H494" i="12" s="1"/>
  <c r="E922" i="14" s="1"/>
  <c r="O43" i="1"/>
  <c r="O44" i="1"/>
  <c r="H450" i="10" l="1"/>
  <c r="H449" i="10" s="1"/>
  <c r="I451" i="10"/>
  <c r="I449" i="10"/>
  <c r="H448" i="10"/>
  <c r="H447" i="10" s="1"/>
  <c r="H446" i="10" s="1"/>
  <c r="I450" i="10"/>
  <c r="K493" i="12"/>
  <c r="H493" i="12"/>
  <c r="H492" i="12" s="1"/>
  <c r="H491" i="12" s="1"/>
  <c r="J491" i="12" s="1"/>
  <c r="E921" i="14"/>
  <c r="F922" i="14"/>
  <c r="J494" i="12"/>
  <c r="K492" i="12"/>
  <c r="I491" i="12"/>
  <c r="H490" i="12" l="1"/>
  <c r="H489" i="12" s="1"/>
  <c r="J489" i="12" s="1"/>
  <c r="I448" i="10"/>
  <c r="I447" i="10"/>
  <c r="I446" i="10"/>
  <c r="J493" i="12"/>
  <c r="J492" i="12"/>
  <c r="E920" i="14"/>
  <c r="F920" i="14" s="1"/>
  <c r="F921" i="14"/>
  <c r="I490" i="12"/>
  <c r="K491" i="12"/>
  <c r="D215" i="14"/>
  <c r="D214" i="14" s="1"/>
  <c r="D213" i="14" s="1"/>
  <c r="I1140" i="12"/>
  <c r="I1139" i="12" s="1"/>
  <c r="G1140" i="12"/>
  <c r="G1139" i="12" s="1"/>
  <c r="G1138" i="12" s="1"/>
  <c r="G1137" i="12" s="1"/>
  <c r="F1140" i="12"/>
  <c r="F1139" i="12" s="1"/>
  <c r="F1138" i="12" s="1"/>
  <c r="F1137" i="12" s="1"/>
  <c r="K1141" i="12"/>
  <c r="H1141" i="12"/>
  <c r="J1141" i="12" s="1"/>
  <c r="P65" i="1"/>
  <c r="O65" i="1"/>
  <c r="B65" i="1"/>
  <c r="P66" i="1"/>
  <c r="H1351" i="10"/>
  <c r="H1350" i="10" s="1"/>
  <c r="H1349" i="10" s="1"/>
  <c r="H1348" i="10" s="1"/>
  <c r="G1351" i="10"/>
  <c r="I1352" i="10"/>
  <c r="K238" i="12"/>
  <c r="H238" i="12"/>
  <c r="J238" i="12" s="1"/>
  <c r="I202" i="10"/>
  <c r="H183" i="10"/>
  <c r="H177" i="10"/>
  <c r="H180" i="10"/>
  <c r="O54" i="1"/>
  <c r="O24" i="1"/>
  <c r="J490" i="12" l="1"/>
  <c r="I1351" i="10"/>
  <c r="G1350" i="10"/>
  <c r="I489" i="12"/>
  <c r="K489" i="12" s="1"/>
  <c r="K490" i="12"/>
  <c r="E216" i="14"/>
  <c r="E215" i="14" s="1"/>
  <c r="E214" i="14" s="1"/>
  <c r="H1140" i="12"/>
  <c r="K1139" i="12"/>
  <c r="I1138" i="12"/>
  <c r="K1140" i="12"/>
  <c r="O23" i="1"/>
  <c r="H43" i="10"/>
  <c r="H41" i="10"/>
  <c r="H981" i="10"/>
  <c r="O36" i="1"/>
  <c r="H880" i="10"/>
  <c r="F56" i="2"/>
  <c r="C56" i="2"/>
  <c r="K704" i="11"/>
  <c r="H704" i="11"/>
  <c r="O58" i="1"/>
  <c r="H850" i="10"/>
  <c r="F38" i="2"/>
  <c r="C38" i="2"/>
  <c r="K701" i="11"/>
  <c r="H701" i="11"/>
  <c r="O38" i="1"/>
  <c r="H847" i="10"/>
  <c r="F37" i="2"/>
  <c r="C37" i="2"/>
  <c r="K721" i="11"/>
  <c r="H721" i="11"/>
  <c r="O37" i="1"/>
  <c r="H877" i="10"/>
  <c r="O48" i="1"/>
  <c r="H439" i="10"/>
  <c r="H445" i="10"/>
  <c r="H442" i="10"/>
  <c r="H201" i="10"/>
  <c r="D829" i="14"/>
  <c r="D828" i="14" s="1"/>
  <c r="I218" i="12"/>
  <c r="I217" i="12" s="1"/>
  <c r="G218" i="12"/>
  <c r="G217" i="12" s="1"/>
  <c r="F218" i="12"/>
  <c r="F217" i="12" s="1"/>
  <c r="K219" i="12"/>
  <c r="H219" i="12"/>
  <c r="E830" i="14" s="1"/>
  <c r="P62" i="1"/>
  <c r="H182" i="10"/>
  <c r="H181" i="10" s="1"/>
  <c r="G182" i="10"/>
  <c r="G181" i="10" s="1"/>
  <c r="I183" i="10"/>
  <c r="G1349" i="10" l="1"/>
  <c r="I1350" i="10"/>
  <c r="F215" i="14"/>
  <c r="F216" i="14"/>
  <c r="H1139" i="12"/>
  <c r="J1140" i="12"/>
  <c r="F214" i="14"/>
  <c r="E213" i="14"/>
  <c r="F213" i="14" s="1"/>
  <c r="I1137" i="12"/>
  <c r="K1137" i="12" s="1"/>
  <c r="K1138" i="12"/>
  <c r="H218" i="12"/>
  <c r="J218" i="12" s="1"/>
  <c r="I181" i="10"/>
  <c r="K218" i="12"/>
  <c r="J219" i="12"/>
  <c r="E829" i="14"/>
  <c r="F830" i="14"/>
  <c r="K217" i="12"/>
  <c r="I182" i="10"/>
  <c r="I468" i="15"/>
  <c r="H467" i="15"/>
  <c r="G467" i="15"/>
  <c r="G466" i="15" s="1"/>
  <c r="G465" i="15" s="1"/>
  <c r="G464" i="15" s="1"/>
  <c r="D467" i="15"/>
  <c r="D466" i="15" s="1"/>
  <c r="D465" i="15" s="1"/>
  <c r="D464" i="15" s="1"/>
  <c r="E468" i="15"/>
  <c r="F468" i="15" s="1"/>
  <c r="O726" i="13"/>
  <c r="O725" i="13" s="1"/>
  <c r="O724" i="13" s="1"/>
  <c r="O723" i="13" s="1"/>
  <c r="O722" i="13" s="1"/>
  <c r="O721" i="13" s="1"/>
  <c r="N726" i="13"/>
  <c r="M726" i="13"/>
  <c r="M725" i="13" s="1"/>
  <c r="M724" i="13" s="1"/>
  <c r="M723" i="13" s="1"/>
  <c r="M722" i="13" s="1"/>
  <c r="M721" i="13" s="1"/>
  <c r="L726" i="13"/>
  <c r="P726" i="13" s="1"/>
  <c r="N725" i="13"/>
  <c r="N724" i="13" s="1"/>
  <c r="N723" i="13" s="1"/>
  <c r="N722" i="13" s="1"/>
  <c r="N721" i="13" s="1"/>
  <c r="I726" i="13"/>
  <c r="I725" i="13" s="1"/>
  <c r="H726" i="13"/>
  <c r="H725" i="13" s="1"/>
  <c r="G726" i="13"/>
  <c r="F726" i="13"/>
  <c r="F725" i="13" s="1"/>
  <c r="F724" i="13" s="1"/>
  <c r="F723" i="13" s="1"/>
  <c r="F722" i="13" s="1"/>
  <c r="F721" i="13" s="1"/>
  <c r="Q727" i="13"/>
  <c r="P727" i="13"/>
  <c r="K727" i="13"/>
  <c r="J727" i="13"/>
  <c r="F36" i="2"/>
  <c r="C36" i="2"/>
  <c r="G59" i="2"/>
  <c r="D59" i="2"/>
  <c r="K667" i="11"/>
  <c r="K666" i="11" s="1"/>
  <c r="K665" i="11" s="1"/>
  <c r="J667" i="11"/>
  <c r="J666" i="11" s="1"/>
  <c r="H667" i="11"/>
  <c r="H666" i="11" s="1"/>
  <c r="H665" i="11" s="1"/>
  <c r="G667" i="11"/>
  <c r="G666" i="11" s="1"/>
  <c r="G665" i="11" s="1"/>
  <c r="G664" i="11" s="1"/>
  <c r="G663" i="11" s="1"/>
  <c r="G662" i="11" s="1"/>
  <c r="L668" i="11"/>
  <c r="I668" i="11"/>
  <c r="P61" i="1"/>
  <c r="L725" i="13" l="1"/>
  <c r="P725" i="13" s="1"/>
  <c r="L724" i="13"/>
  <c r="P724" i="13" s="1"/>
  <c r="Q721" i="13"/>
  <c r="Q722" i="13"/>
  <c r="Q723" i="13"/>
  <c r="Q724" i="13"/>
  <c r="G1348" i="10"/>
  <c r="I1348" i="10" s="1"/>
  <c r="I1349" i="10"/>
  <c r="Q725" i="13"/>
  <c r="Q726" i="13"/>
  <c r="K726" i="13"/>
  <c r="O720" i="13"/>
  <c r="L667" i="11"/>
  <c r="I667" i="11"/>
  <c r="J726" i="13"/>
  <c r="E467" i="15"/>
  <c r="H217" i="12"/>
  <c r="J217" i="12" s="1"/>
  <c r="H1138" i="12"/>
  <c r="J1139" i="12"/>
  <c r="F829" i="14"/>
  <c r="E828" i="14"/>
  <c r="F828" i="14" s="1"/>
  <c r="I467" i="15"/>
  <c r="H466" i="15"/>
  <c r="H724" i="13"/>
  <c r="J725" i="13"/>
  <c r="I724" i="13"/>
  <c r="G725" i="13"/>
  <c r="G724" i="13" s="1"/>
  <c r="G723" i="13" s="1"/>
  <c r="G722" i="13" s="1"/>
  <c r="G721" i="13" s="1"/>
  <c r="K664" i="11"/>
  <c r="J665" i="11"/>
  <c r="J664" i="11" s="1"/>
  <c r="J663" i="11" s="1"/>
  <c r="J662" i="11" s="1"/>
  <c r="L666" i="11"/>
  <c r="H664" i="11"/>
  <c r="I665" i="11"/>
  <c r="I666" i="11"/>
  <c r="G151" i="15"/>
  <c r="D151" i="15"/>
  <c r="D150" i="15" s="1"/>
  <c r="G153" i="15"/>
  <c r="D153" i="15"/>
  <c r="I825" i="13"/>
  <c r="G825" i="13"/>
  <c r="F825" i="13"/>
  <c r="N826" i="13"/>
  <c r="N825" i="13" s="1"/>
  <c r="H826" i="13"/>
  <c r="J826" i="13" s="1"/>
  <c r="O825" i="13"/>
  <c r="M825" i="13"/>
  <c r="L825" i="13"/>
  <c r="O827" i="13"/>
  <c r="M827" i="13"/>
  <c r="L827" i="13"/>
  <c r="Q828" i="13"/>
  <c r="Q826" i="13"/>
  <c r="N828" i="13"/>
  <c r="H154" i="15" s="1"/>
  <c r="I827" i="13"/>
  <c r="G827" i="13"/>
  <c r="F827" i="13"/>
  <c r="K828" i="13"/>
  <c r="K826" i="13"/>
  <c r="H828" i="13"/>
  <c r="E154" i="15" s="1"/>
  <c r="G58" i="2"/>
  <c r="D58" i="2"/>
  <c r="L1076" i="11"/>
  <c r="I1076" i="11"/>
  <c r="K1075" i="11"/>
  <c r="J1075" i="11"/>
  <c r="H1075" i="11"/>
  <c r="G1075" i="11"/>
  <c r="L1074" i="11"/>
  <c r="I1074" i="11"/>
  <c r="K1073" i="11"/>
  <c r="J1073" i="11"/>
  <c r="H1073" i="11"/>
  <c r="G1073" i="11"/>
  <c r="D166" i="14"/>
  <c r="I972" i="12"/>
  <c r="G972" i="12"/>
  <c r="F972" i="12"/>
  <c r="K973" i="12"/>
  <c r="P60" i="1"/>
  <c r="G1226" i="10"/>
  <c r="H1227" i="10"/>
  <c r="H973" i="12" s="1"/>
  <c r="H1225" i="10"/>
  <c r="G150" i="15" l="1"/>
  <c r="Q825" i="13"/>
  <c r="L723" i="13"/>
  <c r="P723" i="13" s="1"/>
  <c r="K827" i="13"/>
  <c r="Q827" i="13"/>
  <c r="O824" i="13"/>
  <c r="K825" i="13"/>
  <c r="K972" i="12"/>
  <c r="H1226" i="10"/>
  <c r="L1073" i="11"/>
  <c r="I1226" i="10"/>
  <c r="I824" i="13"/>
  <c r="L824" i="13"/>
  <c r="M824" i="13"/>
  <c r="F824" i="13"/>
  <c r="P825" i="13"/>
  <c r="G824" i="13"/>
  <c r="L1075" i="11"/>
  <c r="G1072" i="11"/>
  <c r="J1072" i="11"/>
  <c r="K1072" i="11"/>
  <c r="L1072" i="11" s="1"/>
  <c r="P826" i="13"/>
  <c r="F467" i="15"/>
  <c r="E466" i="15"/>
  <c r="J1138" i="12"/>
  <c r="H1137" i="12"/>
  <c r="J1137" i="12" s="1"/>
  <c r="E167" i="14"/>
  <c r="E166" i="14" s="1"/>
  <c r="F166" i="14" s="1"/>
  <c r="H972" i="12"/>
  <c r="J972" i="12" s="1"/>
  <c r="J973" i="12"/>
  <c r="I1227" i="10"/>
  <c r="I466" i="15"/>
  <c r="H465" i="15"/>
  <c r="J724" i="13"/>
  <c r="H723" i="13"/>
  <c r="K725" i="13"/>
  <c r="K724" i="13"/>
  <c r="I723" i="13"/>
  <c r="K663" i="11"/>
  <c r="L664" i="11"/>
  <c r="L665" i="11"/>
  <c r="I664" i="11"/>
  <c r="H663" i="11"/>
  <c r="H152" i="15"/>
  <c r="I152" i="15" s="1"/>
  <c r="H153" i="15"/>
  <c r="I153" i="15" s="1"/>
  <c r="I154" i="15"/>
  <c r="E153" i="15"/>
  <c r="F153" i="15" s="1"/>
  <c r="F154" i="15"/>
  <c r="J828" i="13"/>
  <c r="H827" i="13"/>
  <c r="J827" i="13" s="1"/>
  <c r="E152" i="15"/>
  <c r="P828" i="13"/>
  <c r="N827" i="13"/>
  <c r="H825" i="13"/>
  <c r="I1075" i="11"/>
  <c r="H1072" i="11"/>
  <c r="I1072" i="11" s="1"/>
  <c r="I1073" i="11"/>
  <c r="G135" i="15"/>
  <c r="D138" i="15"/>
  <c r="M810" i="13"/>
  <c r="L810" i="13"/>
  <c r="G810" i="13"/>
  <c r="F810" i="13"/>
  <c r="N811" i="13"/>
  <c r="P811" i="13" s="1"/>
  <c r="H811" i="13"/>
  <c r="J811" i="13" s="1"/>
  <c r="M812" i="13"/>
  <c r="L812" i="13"/>
  <c r="G812" i="13"/>
  <c r="F812" i="13"/>
  <c r="N813" i="13"/>
  <c r="H813" i="13"/>
  <c r="J813" i="13" s="1"/>
  <c r="N814" i="13"/>
  <c r="P814" i="13" s="1"/>
  <c r="H814" i="13"/>
  <c r="I814" i="13" s="1"/>
  <c r="K814" i="13" s="1"/>
  <c r="F12" i="2"/>
  <c r="C12" i="2"/>
  <c r="G35" i="2"/>
  <c r="D35" i="2"/>
  <c r="K1058" i="11"/>
  <c r="H1058" i="11"/>
  <c r="I1058" i="11" s="1"/>
  <c r="K1060" i="11"/>
  <c r="L1060" i="11" s="1"/>
  <c r="H1060" i="11"/>
  <c r="I1060" i="11" s="1"/>
  <c r="L1062" i="11"/>
  <c r="L1061" i="11"/>
  <c r="L1059" i="11"/>
  <c r="L1058" i="11"/>
  <c r="I1062" i="11"/>
  <c r="I1061" i="11"/>
  <c r="I1059" i="11"/>
  <c r="G955" i="12"/>
  <c r="F955" i="12"/>
  <c r="H956" i="12"/>
  <c r="J956" i="12" s="1"/>
  <c r="H958" i="12"/>
  <c r="J958" i="12" s="1"/>
  <c r="H959" i="12"/>
  <c r="J959" i="12" s="1"/>
  <c r="P34" i="1"/>
  <c r="H1209" i="10"/>
  <c r="G1209" i="10"/>
  <c r="I1213" i="10"/>
  <c r="I1212" i="10"/>
  <c r="I1210" i="10"/>
  <c r="H1211" i="10"/>
  <c r="I1211" i="10" s="1"/>
  <c r="L722" i="13" l="1"/>
  <c r="L721" i="13" s="1"/>
  <c r="P721" i="13" s="1"/>
  <c r="P722" i="13"/>
  <c r="Q824" i="13"/>
  <c r="G809" i="13"/>
  <c r="K824" i="13"/>
  <c r="F809" i="13"/>
  <c r="L809" i="13"/>
  <c r="M809" i="13"/>
  <c r="H1057" i="11"/>
  <c r="I1057" i="11" s="1"/>
  <c r="K1057" i="11"/>
  <c r="L1057" i="11" s="1"/>
  <c r="F466" i="15"/>
  <c r="E465" i="15"/>
  <c r="F167" i="14"/>
  <c r="I1209" i="10"/>
  <c r="I465" i="15"/>
  <c r="H464" i="15"/>
  <c r="I464" i="15" s="1"/>
  <c r="H722" i="13"/>
  <c r="J723" i="13"/>
  <c r="I722" i="13"/>
  <c r="K723" i="13"/>
  <c r="L663" i="11"/>
  <c r="K662" i="11"/>
  <c r="I663" i="11"/>
  <c r="H662" i="11"/>
  <c r="H151" i="15"/>
  <c r="H150" i="15" s="1"/>
  <c r="I150" i="15" s="1"/>
  <c r="N824" i="13"/>
  <c r="P824" i="13" s="1"/>
  <c r="P827" i="13"/>
  <c r="F152" i="15"/>
  <c r="E151" i="15"/>
  <c r="H824" i="13"/>
  <c r="J824" i="13" s="1"/>
  <c r="J825" i="13"/>
  <c r="E137" i="15"/>
  <c r="F137" i="15" s="1"/>
  <c r="J814" i="13"/>
  <c r="H812" i="13"/>
  <c r="J812" i="13" s="1"/>
  <c r="N812" i="13"/>
  <c r="P812" i="13" s="1"/>
  <c r="H140" i="15"/>
  <c r="I140" i="15" s="1"/>
  <c r="O814" i="13"/>
  <c r="Q814" i="13" s="1"/>
  <c r="E140" i="15"/>
  <c r="F140" i="15" s="1"/>
  <c r="H810" i="13"/>
  <c r="J810" i="13" s="1"/>
  <c r="O813" i="13"/>
  <c r="O811" i="13"/>
  <c r="Q811" i="13" s="1"/>
  <c r="P813" i="13"/>
  <c r="I813" i="13"/>
  <c r="I811" i="13"/>
  <c r="K811" i="13" s="1"/>
  <c r="E139" i="15"/>
  <c r="H139" i="15"/>
  <c r="N810" i="13"/>
  <c r="H137" i="15"/>
  <c r="E150" i="14"/>
  <c r="F150" i="14" s="1"/>
  <c r="H1208" i="10"/>
  <c r="I1208" i="10" s="1"/>
  <c r="I959" i="12"/>
  <c r="K959" i="12" s="1"/>
  <c r="H955" i="12"/>
  <c r="I956" i="12"/>
  <c r="K956" i="12" s="1"/>
  <c r="E153" i="14"/>
  <c r="F153" i="14" s="1"/>
  <c r="H957" i="12"/>
  <c r="E152" i="14"/>
  <c r="I958" i="12"/>
  <c r="K958" i="12" s="1"/>
  <c r="F29" i="2"/>
  <c r="C29" i="2"/>
  <c r="K293" i="11"/>
  <c r="N338" i="13" s="1"/>
  <c r="O338" i="13" s="1"/>
  <c r="O337" i="13" s="1"/>
  <c r="O336" i="13" s="1"/>
  <c r="O335" i="13" s="1"/>
  <c r="O334" i="13" s="1"/>
  <c r="O319" i="13" s="1"/>
  <c r="O318" i="13" s="1"/>
  <c r="H293" i="11"/>
  <c r="H338" i="13" s="1"/>
  <c r="E300" i="15" s="1"/>
  <c r="E299" i="15" s="1"/>
  <c r="E296" i="15" s="1"/>
  <c r="E295" i="15" s="1"/>
  <c r="E294" i="15" s="1"/>
  <c r="E279" i="15" s="1"/>
  <c r="O25" i="1"/>
  <c r="E464" i="15" l="1"/>
  <c r="F465" i="15"/>
  <c r="I662" i="11"/>
  <c r="E149" i="14"/>
  <c r="F149" i="14" s="1"/>
  <c r="I721" i="13"/>
  <c r="K721" i="13" s="1"/>
  <c r="K722" i="13"/>
  <c r="H721" i="13"/>
  <c r="J722" i="13"/>
  <c r="L662" i="11"/>
  <c r="I151" i="15"/>
  <c r="F151" i="15"/>
  <c r="E150" i="15"/>
  <c r="F150" i="15" s="1"/>
  <c r="H292" i="11"/>
  <c r="H291" i="11" s="1"/>
  <c r="H290" i="11" s="1"/>
  <c r="H289" i="11" s="1"/>
  <c r="H274" i="11" s="1"/>
  <c r="H273" i="11" s="1"/>
  <c r="K292" i="11"/>
  <c r="K291" i="11" s="1"/>
  <c r="K290" i="11" s="1"/>
  <c r="K289" i="11" s="1"/>
  <c r="K274" i="11" s="1"/>
  <c r="K273" i="11" s="1"/>
  <c r="E136" i="15"/>
  <c r="F136" i="15" s="1"/>
  <c r="I810" i="13"/>
  <c r="H809" i="13"/>
  <c r="J809" i="13" s="1"/>
  <c r="I137" i="15"/>
  <c r="H136" i="15"/>
  <c r="I139" i="15"/>
  <c r="H138" i="15"/>
  <c r="I138" i="15" s="1"/>
  <c r="E138" i="15"/>
  <c r="F138" i="15" s="1"/>
  <c r="F139" i="15"/>
  <c r="K813" i="13"/>
  <c r="I812" i="13"/>
  <c r="K812" i="13" s="1"/>
  <c r="O812" i="13"/>
  <c r="Q812" i="13" s="1"/>
  <c r="Q813" i="13"/>
  <c r="K810" i="13"/>
  <c r="O810" i="13"/>
  <c r="N809" i="13"/>
  <c r="P809" i="13" s="1"/>
  <c r="P810" i="13"/>
  <c r="E151" i="14"/>
  <c r="F151" i="14" s="1"/>
  <c r="F152" i="14"/>
  <c r="J957" i="12"/>
  <c r="I957" i="12"/>
  <c r="K957" i="12" s="1"/>
  <c r="H954" i="12"/>
  <c r="J955" i="12"/>
  <c r="I955" i="12"/>
  <c r="K955" i="12" s="1"/>
  <c r="H300" i="15"/>
  <c r="H299" i="15" s="1"/>
  <c r="H296" i="15" s="1"/>
  <c r="H295" i="15" s="1"/>
  <c r="H294" i="15" s="1"/>
  <c r="H279" i="15" s="1"/>
  <c r="H337" i="13"/>
  <c r="H336" i="13" s="1"/>
  <c r="H335" i="13" s="1"/>
  <c r="H334" i="13" s="1"/>
  <c r="H319" i="13" s="1"/>
  <c r="H318" i="13" s="1"/>
  <c r="I338" i="13"/>
  <c r="I337" i="13" s="1"/>
  <c r="I336" i="13" s="1"/>
  <c r="I335" i="13" s="1"/>
  <c r="I334" i="13" s="1"/>
  <c r="I319" i="13" s="1"/>
  <c r="I318" i="13" s="1"/>
  <c r="N337" i="13"/>
  <c r="N336" i="13" s="1"/>
  <c r="N335" i="13" s="1"/>
  <c r="N334" i="13" s="1"/>
  <c r="N319" i="13" s="1"/>
  <c r="N318" i="13" s="1"/>
  <c r="H342" i="10"/>
  <c r="O20" i="1"/>
  <c r="H1172" i="10"/>
  <c r="O16" i="1"/>
  <c r="H1202" i="10"/>
  <c r="O21" i="1"/>
  <c r="H1169" i="10"/>
  <c r="H1168" i="10"/>
  <c r="F60" i="2"/>
  <c r="C60" i="2"/>
  <c r="G34" i="2"/>
  <c r="D34" i="2"/>
  <c r="J721" i="13" l="1"/>
  <c r="F464" i="15"/>
  <c r="I809" i="13"/>
  <c r="K809" i="13" s="1"/>
  <c r="E135" i="15"/>
  <c r="F135" i="15" s="1"/>
  <c r="I136" i="15"/>
  <c r="H135" i="15"/>
  <c r="I135" i="15" s="1"/>
  <c r="O809" i="13"/>
  <c r="Q809" i="13" s="1"/>
  <c r="Q810" i="13"/>
  <c r="J954" i="12"/>
  <c r="I954" i="12"/>
  <c r="K954" i="12" s="1"/>
  <c r="E148" i="14"/>
  <c r="F148" i="14" s="1"/>
  <c r="P33" i="1"/>
  <c r="H1199" i="10" l="1"/>
  <c r="H1183" i="10"/>
  <c r="P59" i="1"/>
  <c r="O15" i="1" l="1"/>
  <c r="H1285" i="10"/>
  <c r="H1283" i="10"/>
  <c r="G115" i="15"/>
  <c r="G114" i="15" s="1"/>
  <c r="D115" i="15"/>
  <c r="D114" i="15" s="1"/>
  <c r="D128" i="14"/>
  <c r="D127" i="14" s="1"/>
  <c r="M794" i="13"/>
  <c r="L794" i="13"/>
  <c r="L793" i="13" s="1"/>
  <c r="N795" i="13"/>
  <c r="H116" i="15" s="1"/>
  <c r="N796" i="13"/>
  <c r="O796" i="13" s="1"/>
  <c r="Q796" i="13" s="1"/>
  <c r="H795" i="13"/>
  <c r="G795" i="13"/>
  <c r="G794" i="13" s="1"/>
  <c r="G793" i="13" s="1"/>
  <c r="F795" i="13"/>
  <c r="F794" i="13" s="1"/>
  <c r="F793" i="13" s="1"/>
  <c r="H796" i="13"/>
  <c r="I796" i="13" s="1"/>
  <c r="K796" i="13" s="1"/>
  <c r="G939" i="12"/>
  <c r="G938" i="12" s="1"/>
  <c r="F939" i="12"/>
  <c r="F938" i="12" s="1"/>
  <c r="H940" i="12"/>
  <c r="I940" i="12" s="1"/>
  <c r="H941" i="12"/>
  <c r="I941" i="12" s="1"/>
  <c r="K941" i="12" s="1"/>
  <c r="L1044" i="11"/>
  <c r="L1043" i="11"/>
  <c r="K1042" i="11"/>
  <c r="J1042" i="11"/>
  <c r="J1041" i="11" s="1"/>
  <c r="I1044" i="11"/>
  <c r="I1043" i="11"/>
  <c r="H1042" i="11"/>
  <c r="H1041" i="11" s="1"/>
  <c r="G1042" i="11"/>
  <c r="G1041" i="11" s="1"/>
  <c r="H794" i="13" l="1"/>
  <c r="J794" i="13" s="1"/>
  <c r="N794" i="13"/>
  <c r="N793" i="13" s="1"/>
  <c r="P793" i="13" s="1"/>
  <c r="L1042" i="11"/>
  <c r="K1041" i="11"/>
  <c r="L1041" i="11" s="1"/>
  <c r="J796" i="13"/>
  <c r="P796" i="13"/>
  <c r="H117" i="15" s="1"/>
  <c r="I117" i="15" s="1"/>
  <c r="E117" i="15"/>
  <c r="F117" i="15" s="1"/>
  <c r="I1041" i="11"/>
  <c r="I116" i="15"/>
  <c r="I1042" i="11"/>
  <c r="P795" i="13"/>
  <c r="O795" i="13"/>
  <c r="J795" i="13"/>
  <c r="I795" i="13"/>
  <c r="E116" i="15"/>
  <c r="I939" i="12"/>
  <c r="I938" i="12" s="1"/>
  <c r="K938" i="12" s="1"/>
  <c r="J940" i="12"/>
  <c r="K940" i="12"/>
  <c r="E130" i="14"/>
  <c r="F130" i="14" s="1"/>
  <c r="E129" i="14"/>
  <c r="F129" i="14" s="1"/>
  <c r="J941" i="12"/>
  <c r="H939" i="12"/>
  <c r="H938" i="12" s="1"/>
  <c r="J938" i="12" s="1"/>
  <c r="M793" i="13"/>
  <c r="I1195" i="10"/>
  <c r="I1194" i="10"/>
  <c r="G1193" i="10"/>
  <c r="G1192" i="10" s="1"/>
  <c r="H1193" i="10"/>
  <c r="O53" i="1"/>
  <c r="H1156" i="10"/>
  <c r="L787" i="13"/>
  <c r="L786" i="13" s="1"/>
  <c r="L785" i="13" s="1"/>
  <c r="L747" i="13" s="1"/>
  <c r="L1205" i="13" s="1"/>
  <c r="F787" i="13"/>
  <c r="F786" i="13" s="1"/>
  <c r="F785" i="13" s="1"/>
  <c r="F747" i="13" s="1"/>
  <c r="F1205" i="13" s="1"/>
  <c r="M808" i="13"/>
  <c r="M787" i="13" s="1"/>
  <c r="M786" i="13" s="1"/>
  <c r="M785" i="13" s="1"/>
  <c r="M747" i="13" s="1"/>
  <c r="M1205" i="13" s="1"/>
  <c r="M815" i="13"/>
  <c r="M816" i="13"/>
  <c r="G808" i="13"/>
  <c r="G787" i="13" s="1"/>
  <c r="G786" i="13" s="1"/>
  <c r="G785" i="13" s="1"/>
  <c r="G747" i="13" s="1"/>
  <c r="G1205" i="13" s="1"/>
  <c r="G815" i="13"/>
  <c r="G816" i="13"/>
  <c r="F14" i="2"/>
  <c r="C14" i="2"/>
  <c r="K1067" i="11"/>
  <c r="N819" i="13" s="1"/>
  <c r="K1066" i="11"/>
  <c r="N818" i="13" s="1"/>
  <c r="O818" i="13" s="1"/>
  <c r="K1065" i="11"/>
  <c r="N817" i="13" s="1"/>
  <c r="H143" i="15" s="1"/>
  <c r="H1067" i="11"/>
  <c r="H819" i="13" s="1"/>
  <c r="I819" i="13" s="1"/>
  <c r="H1066" i="11"/>
  <c r="H818" i="13" s="1"/>
  <c r="E144" i="15" s="1"/>
  <c r="H1065" i="11"/>
  <c r="H817" i="13" s="1"/>
  <c r="O11" i="1"/>
  <c r="O67" i="1" s="1"/>
  <c r="H1218" i="10"/>
  <c r="H1217" i="10"/>
  <c r="O23" i="9"/>
  <c r="O22" i="9" s="1"/>
  <c r="O21" i="9" s="1"/>
  <c r="O19" i="9"/>
  <c r="O18" i="9"/>
  <c r="O17" i="9" s="1"/>
  <c r="O16" i="9" s="1"/>
  <c r="O11" i="9"/>
  <c r="J23" i="9"/>
  <c r="J22" i="9" s="1"/>
  <c r="J21" i="9" s="1"/>
  <c r="J19" i="9"/>
  <c r="J18" i="9"/>
  <c r="J17" i="9" s="1"/>
  <c r="J16" i="9" s="1"/>
  <c r="J11" i="9"/>
  <c r="J23" i="8"/>
  <c r="J22" i="8" s="1"/>
  <c r="J21" i="8" s="1"/>
  <c r="J19" i="8"/>
  <c r="J18" i="8"/>
  <c r="J17" i="8" s="1"/>
  <c r="J16" i="8" s="1"/>
  <c r="J25" i="8" s="1"/>
  <c r="J14" i="8"/>
  <c r="J12" i="8"/>
  <c r="J11" i="8" s="1"/>
  <c r="E60" i="2"/>
  <c r="E55" i="2"/>
  <c r="E45" i="2"/>
  <c r="E40" i="2"/>
  <c r="E37" i="2"/>
  <c r="E36" i="2" s="1"/>
  <c r="E20" i="2"/>
  <c r="E12" i="2" s="1"/>
  <c r="E17" i="2"/>
  <c r="B60" i="2"/>
  <c r="B57" i="2"/>
  <c r="B54" i="2"/>
  <c r="B52" i="2"/>
  <c r="B45" i="2"/>
  <c r="B44" i="2"/>
  <c r="B41" i="2"/>
  <c r="B40" i="2"/>
  <c r="B38" i="2"/>
  <c r="B37" i="2"/>
  <c r="B36" i="2" s="1"/>
  <c r="B20" i="2"/>
  <c r="B17" i="2"/>
  <c r="B58" i="1"/>
  <c r="B35" i="1" s="1"/>
  <c r="B56" i="1"/>
  <c r="B45" i="1"/>
  <c r="B44" i="1"/>
  <c r="B41" i="1"/>
  <c r="B40" i="1"/>
  <c r="B39" i="1"/>
  <c r="B38" i="1"/>
  <c r="B37" i="1"/>
  <c r="B19" i="1"/>
  <c r="B11" i="1" s="1"/>
  <c r="B16" i="1"/>
  <c r="J1268" i="11"/>
  <c r="J1222" i="11"/>
  <c r="J1220" i="11"/>
  <c r="J1219" i="11" s="1"/>
  <c r="J1218" i="11" s="1"/>
  <c r="J1216" i="11"/>
  <c r="J1215" i="11" s="1"/>
  <c r="J1214" i="11" s="1"/>
  <c r="J1209" i="11"/>
  <c r="J1208" i="11" s="1"/>
  <c r="J1207" i="11" s="1"/>
  <c r="J1206" i="11" s="1"/>
  <c r="J1205" i="11" s="1"/>
  <c r="J1193" i="11"/>
  <c r="J1192" i="11" s="1"/>
  <c r="J1191" i="11" s="1"/>
  <c r="J1187" i="11"/>
  <c r="J1186" i="11"/>
  <c r="J1181" i="11"/>
  <c r="J1180" i="11"/>
  <c r="J1167" i="11"/>
  <c r="J1166" i="11"/>
  <c r="J1153" i="11"/>
  <c r="J1152" i="11" s="1"/>
  <c r="J1151" i="11" s="1"/>
  <c r="J1150" i="11" s="1"/>
  <c r="J1149" i="11" s="1"/>
  <c r="J1148" i="11" s="1"/>
  <c r="J1147" i="11" s="1"/>
  <c r="J1146" i="11" s="1"/>
  <c r="J1104" i="11"/>
  <c r="J1103" i="11" s="1"/>
  <c r="J1102" i="11" s="1"/>
  <c r="J1086" i="11" s="1"/>
  <c r="J1085" i="11" s="1"/>
  <c r="J1084" i="11" s="1"/>
  <c r="J1083" i="11"/>
  <c r="J1082" i="11" s="1"/>
  <c r="J1081" i="11" s="1"/>
  <c r="J1080" i="11"/>
  <c r="J1079" i="11" s="1"/>
  <c r="J1051" i="11"/>
  <c r="J1050" i="11" s="1"/>
  <c r="J1049" i="11" s="1"/>
  <c r="J1047" i="11"/>
  <c r="J1046" i="11" s="1"/>
  <c r="J1045" i="11" s="1"/>
  <c r="J1019" i="11"/>
  <c r="J1018" i="11"/>
  <c r="J1014" i="11"/>
  <c r="J1013" i="11" s="1"/>
  <c r="J1012" i="11" s="1"/>
  <c r="J1006" i="11"/>
  <c r="J1005" i="11" s="1"/>
  <c r="J1004" i="11" s="1"/>
  <c r="J1002" i="11"/>
  <c r="J1001" i="11" s="1"/>
  <c r="J999" i="11"/>
  <c r="J996" i="11"/>
  <c r="J995" i="11" s="1"/>
  <c r="J994" i="11" s="1"/>
  <c r="J993" i="11" s="1"/>
  <c r="J964" i="11"/>
  <c r="J963" i="11" s="1"/>
  <c r="J962" i="11" s="1"/>
  <c r="J957" i="11"/>
  <c r="J956" i="11" s="1"/>
  <c r="J955" i="11" s="1"/>
  <c r="J943" i="11"/>
  <c r="J942" i="11" s="1"/>
  <c r="J941" i="11" s="1"/>
  <c r="J940" i="11" s="1"/>
  <c r="J939" i="11" s="1"/>
  <c r="J938" i="11" s="1"/>
  <c r="J937" i="11" s="1"/>
  <c r="J936" i="11" s="1"/>
  <c r="J930" i="11"/>
  <c r="J929" i="11" s="1"/>
  <c r="J928" i="11" s="1"/>
  <c r="J927" i="11"/>
  <c r="J926" i="11" s="1"/>
  <c r="J925" i="11" s="1"/>
  <c r="J924" i="11"/>
  <c r="J923" i="11" s="1"/>
  <c r="J922" i="11" s="1"/>
  <c r="J896" i="11"/>
  <c r="J895" i="11" s="1"/>
  <c r="J859" i="11"/>
  <c r="J858" i="11" s="1"/>
  <c r="J857" i="11" s="1"/>
  <c r="J856" i="11" s="1"/>
  <c r="J855" i="11" s="1"/>
  <c r="J854" i="11" s="1"/>
  <c r="J853" i="11" s="1"/>
  <c r="J852" i="11" s="1"/>
  <c r="J742" i="11"/>
  <c r="J741" i="11" s="1"/>
  <c r="J740" i="11" s="1"/>
  <c r="J739" i="11" s="1"/>
  <c r="J738" i="11" s="1"/>
  <c r="J737" i="11" s="1"/>
  <c r="J736" i="11" s="1"/>
  <c r="J721" i="11"/>
  <c r="J720" i="11" s="1"/>
  <c r="J719" i="11" s="1"/>
  <c r="J718" i="11" s="1"/>
  <c r="J717" i="11"/>
  <c r="J716" i="11" s="1"/>
  <c r="J715" i="11" s="1"/>
  <c r="J714" i="11" s="1"/>
  <c r="J710" i="11"/>
  <c r="J709" i="11" s="1"/>
  <c r="J708" i="11" s="1"/>
  <c r="J703" i="11"/>
  <c r="J702" i="11" s="1"/>
  <c r="J701" i="11"/>
  <c r="J700" i="11" s="1"/>
  <c r="J699" i="11" s="1"/>
  <c r="J686" i="11"/>
  <c r="J685" i="11" s="1"/>
  <c r="J684" i="11" s="1"/>
  <c r="J683" i="11" s="1"/>
  <c r="J682" i="11"/>
  <c r="J681" i="11" s="1"/>
  <c r="J680" i="11" s="1"/>
  <c r="J679" i="11" s="1"/>
  <c r="J677" i="11"/>
  <c r="J676" i="11" s="1"/>
  <c r="J674" i="11"/>
  <c r="J673" i="11" s="1"/>
  <c r="J626" i="11"/>
  <c r="J613" i="11"/>
  <c r="J612" i="11" s="1"/>
  <c r="J611" i="11" s="1"/>
  <c r="J594" i="11"/>
  <c r="J593" i="11" s="1"/>
  <c r="J592" i="11" s="1"/>
  <c r="J573" i="11"/>
  <c r="J572" i="11" s="1"/>
  <c r="J571" i="11" s="1"/>
  <c r="J567" i="11"/>
  <c r="J566" i="11" s="1"/>
  <c r="J564" i="11"/>
  <c r="J563" i="11" s="1"/>
  <c r="J562" i="11"/>
  <c r="J561" i="11" s="1"/>
  <c r="J560" i="11" s="1"/>
  <c r="J558" i="11"/>
  <c r="J557" i="11" s="1"/>
  <c r="J556" i="11"/>
  <c r="J555" i="11" s="1"/>
  <c r="J554" i="11" s="1"/>
  <c r="J551" i="11"/>
  <c r="J550" i="11" s="1"/>
  <c r="J548" i="11"/>
  <c r="J547" i="11" s="1"/>
  <c r="J546" i="11"/>
  <c r="J545" i="11" s="1"/>
  <c r="J544" i="11" s="1"/>
  <c r="J509" i="11"/>
  <c r="J508" i="11" s="1"/>
  <c r="J506" i="11"/>
  <c r="J505" i="11" s="1"/>
  <c r="J504" i="11" s="1"/>
  <c r="J503" i="11" s="1"/>
  <c r="J502" i="11" s="1"/>
  <c r="J491" i="11"/>
  <c r="J490" i="11" s="1"/>
  <c r="J488" i="11"/>
  <c r="J487" i="11" s="1"/>
  <c r="J485" i="11"/>
  <c r="J484" i="11" s="1"/>
  <c r="J482" i="11"/>
  <c r="J481" i="11" s="1"/>
  <c r="J460" i="11"/>
  <c r="J459" i="11" s="1"/>
  <c r="J458" i="11" s="1"/>
  <c r="J457" i="11" s="1"/>
  <c r="J456" i="11" s="1"/>
  <c r="J440" i="11" s="1"/>
  <c r="J410" i="11"/>
  <c r="J409" i="11" s="1"/>
  <c r="J408" i="11"/>
  <c r="J407" i="11" s="1"/>
  <c r="J363" i="11"/>
  <c r="J362" i="11" s="1"/>
  <c r="J361" i="11" s="1"/>
  <c r="J341" i="11"/>
  <c r="J340" i="11" s="1"/>
  <c r="J339" i="11" s="1"/>
  <c r="J306" i="11"/>
  <c r="J305" i="11" s="1"/>
  <c r="J304" i="11" s="1"/>
  <c r="J297" i="11" s="1"/>
  <c r="J296" i="11" s="1"/>
  <c r="J295" i="11" s="1"/>
  <c r="J294" i="11" s="1"/>
  <c r="J271" i="11"/>
  <c r="J270" i="11" s="1"/>
  <c r="J268" i="11"/>
  <c r="J267" i="11" s="1"/>
  <c r="J244" i="11"/>
  <c r="J243" i="11" s="1"/>
  <c r="J241" i="11"/>
  <c r="J240" i="11" s="1"/>
  <c r="J237" i="11"/>
  <c r="J236" i="11" s="1"/>
  <c r="J235" i="11" s="1"/>
  <c r="J233" i="11"/>
  <c r="J232" i="11" s="1"/>
  <c r="J230" i="11"/>
  <c r="J229" i="11" s="1"/>
  <c r="J227" i="11"/>
  <c r="J226" i="11" s="1"/>
  <c r="J224" i="11"/>
  <c r="J223" i="11" s="1"/>
  <c r="J221" i="11"/>
  <c r="J220" i="11" s="1"/>
  <c r="J214" i="11"/>
  <c r="J212" i="11"/>
  <c r="J207" i="11"/>
  <c r="J206" i="11" s="1"/>
  <c r="J205" i="11" s="1"/>
  <c r="J204" i="11" s="1"/>
  <c r="J202" i="11"/>
  <c r="J201" i="11" s="1"/>
  <c r="J199" i="11"/>
  <c r="J198" i="11" s="1"/>
  <c r="J196" i="11"/>
  <c r="J194" i="11"/>
  <c r="J189" i="11"/>
  <c r="J188" i="11" s="1"/>
  <c r="J187" i="11" s="1"/>
  <c r="J186" i="11" s="1"/>
  <c r="J184" i="11"/>
  <c r="J183" i="11" s="1"/>
  <c r="J180" i="11"/>
  <c r="J179" i="11" s="1"/>
  <c r="J178" i="11" s="1"/>
  <c r="J168" i="11"/>
  <c r="J167" i="11" s="1"/>
  <c r="J166" i="11" s="1"/>
  <c r="J165" i="11" s="1"/>
  <c r="J164" i="11" s="1"/>
  <c r="J156" i="11"/>
  <c r="J155" i="11" s="1"/>
  <c r="J154" i="11" s="1"/>
  <c r="J153" i="11" s="1"/>
  <c r="J147" i="11" s="1"/>
  <c r="J133" i="11"/>
  <c r="J131" i="11"/>
  <c r="J129" i="11"/>
  <c r="J108" i="11"/>
  <c r="J107" i="11" s="1"/>
  <c r="J106" i="11" s="1"/>
  <c r="J105" i="11" s="1"/>
  <c r="J104" i="11" s="1"/>
  <c r="J90" i="11"/>
  <c r="J89" i="11" s="1"/>
  <c r="J88" i="11" s="1"/>
  <c r="J87" i="11" s="1"/>
  <c r="J86" i="11" s="1"/>
  <c r="J85" i="11" s="1"/>
  <c r="J80" i="11"/>
  <c r="J79" i="11" s="1"/>
  <c r="J78" i="11" s="1"/>
  <c r="J77" i="11" s="1"/>
  <c r="J76" i="11" s="1"/>
  <c r="J75" i="11" s="1"/>
  <c r="J74" i="11"/>
  <c r="J73" i="11" s="1"/>
  <c r="J72" i="11"/>
  <c r="J71" i="11" s="1"/>
  <c r="J20" i="11"/>
  <c r="J19" i="11" s="1"/>
  <c r="J18" i="11" s="1"/>
  <c r="J17" i="11" s="1"/>
  <c r="J16" i="11" s="1"/>
  <c r="J15" i="11" s="1"/>
  <c r="J14" i="11" s="1"/>
  <c r="G1268" i="11"/>
  <c r="G1222" i="11"/>
  <c r="G1220" i="11"/>
  <c r="G1219" i="11" s="1"/>
  <c r="G1218" i="11" s="1"/>
  <c r="G1216" i="11"/>
  <c r="G1215" i="11" s="1"/>
  <c r="G1214" i="11" s="1"/>
  <c r="G1209" i="11"/>
  <c r="G1208" i="11" s="1"/>
  <c r="G1207" i="11" s="1"/>
  <c r="G1206" i="11" s="1"/>
  <c r="G1205" i="11" s="1"/>
  <c r="G1193" i="11"/>
  <c r="G1192" i="11" s="1"/>
  <c r="G1191" i="11" s="1"/>
  <c r="G1187" i="11"/>
  <c r="G1186" i="11"/>
  <c r="G1181" i="11"/>
  <c r="G1180" i="11"/>
  <c r="G1167" i="11"/>
  <c r="G1166" i="11"/>
  <c r="G1153" i="11"/>
  <c r="G1152" i="11" s="1"/>
  <c r="G1151" i="11" s="1"/>
  <c r="G1150" i="11" s="1"/>
  <c r="G1149" i="11" s="1"/>
  <c r="G1148" i="11" s="1"/>
  <c r="G1147" i="11" s="1"/>
  <c r="G1146" i="11" s="1"/>
  <c r="G1104" i="11"/>
  <c r="G1103" i="11" s="1"/>
  <c r="G1102" i="11" s="1"/>
  <c r="G1086" i="11" s="1"/>
  <c r="G1085" i="11" s="1"/>
  <c r="G1084" i="11" s="1"/>
  <c r="G1083" i="11"/>
  <c r="G1082" i="11" s="1"/>
  <c r="G1081" i="11" s="1"/>
  <c r="G1080" i="11"/>
  <c r="G1079" i="11" s="1"/>
  <c r="G1051" i="11"/>
  <c r="G1050" i="11" s="1"/>
  <c r="G1049" i="11" s="1"/>
  <c r="G1047" i="11"/>
  <c r="G1046" i="11" s="1"/>
  <c r="G1045" i="11" s="1"/>
  <c r="G1032" i="11"/>
  <c r="G1031" i="11" s="1"/>
  <c r="G1030" i="11" s="1"/>
  <c r="G1029" i="11" s="1"/>
  <c r="G1028" i="11" s="1"/>
  <c r="G1027" i="11" s="1"/>
  <c r="G1019" i="11"/>
  <c r="G1018" i="11"/>
  <c r="G1014" i="11"/>
  <c r="G1005" i="11"/>
  <c r="G1003" i="11"/>
  <c r="G1002" i="11" s="1"/>
  <c r="G1001" i="11" s="1"/>
  <c r="G1000" i="11"/>
  <c r="G999" i="11" s="1"/>
  <c r="G998" i="11" s="1"/>
  <c r="G996" i="11"/>
  <c r="G995" i="11" s="1"/>
  <c r="G994" i="11" s="1"/>
  <c r="G993" i="11" s="1"/>
  <c r="G948" i="11"/>
  <c r="G918" i="11"/>
  <c r="G896" i="11"/>
  <c r="G895" i="11" s="1"/>
  <c r="G859" i="11"/>
  <c r="G858" i="11" s="1"/>
  <c r="G857" i="11" s="1"/>
  <c r="G856" i="11" s="1"/>
  <c r="G855" i="11" s="1"/>
  <c r="G854" i="11" s="1"/>
  <c r="G853" i="11" s="1"/>
  <c r="G852" i="11" s="1"/>
  <c r="G742" i="11"/>
  <c r="G741" i="11" s="1"/>
  <c r="G740" i="11" s="1"/>
  <c r="G739" i="11" s="1"/>
  <c r="G738" i="11" s="1"/>
  <c r="G737" i="11" s="1"/>
  <c r="G736" i="11" s="1"/>
  <c r="G721" i="11"/>
  <c r="G720" i="11" s="1"/>
  <c r="G719" i="11" s="1"/>
  <c r="G718" i="11" s="1"/>
  <c r="G717" i="11"/>
  <c r="G716" i="11" s="1"/>
  <c r="G715" i="11" s="1"/>
  <c r="G714" i="11" s="1"/>
  <c r="G710" i="11"/>
  <c r="G709" i="11" s="1"/>
  <c r="G708" i="11" s="1"/>
  <c r="G707" i="11" s="1"/>
  <c r="G706" i="11" s="1"/>
  <c r="G704" i="11"/>
  <c r="G703" i="11" s="1"/>
  <c r="G702" i="11" s="1"/>
  <c r="G701" i="11"/>
  <c r="G700" i="11" s="1"/>
  <c r="G699" i="11" s="1"/>
  <c r="G686" i="11"/>
  <c r="G685" i="11" s="1"/>
  <c r="G684" i="11" s="1"/>
  <c r="G683" i="11" s="1"/>
  <c r="G682" i="11"/>
  <c r="G681" i="11" s="1"/>
  <c r="G680" i="11" s="1"/>
  <c r="G679" i="11" s="1"/>
  <c r="G677" i="11"/>
  <c r="G676" i="11" s="1"/>
  <c r="G674" i="11"/>
  <c r="G673" i="11" s="1"/>
  <c r="G626" i="11"/>
  <c r="G613" i="11"/>
  <c r="G612" i="11" s="1"/>
  <c r="G611" i="11" s="1"/>
  <c r="G594" i="11"/>
  <c r="G593" i="11" s="1"/>
  <c r="G592" i="11" s="1"/>
  <c r="G573" i="11"/>
  <c r="G572" i="11" s="1"/>
  <c r="G571" i="11" s="1"/>
  <c r="G567" i="11"/>
  <c r="G566" i="11" s="1"/>
  <c r="G564" i="11"/>
  <c r="G563" i="11" s="1"/>
  <c r="G558" i="11"/>
  <c r="G557" i="11" s="1"/>
  <c r="G556" i="11"/>
  <c r="G555" i="11" s="1"/>
  <c r="G554" i="11" s="1"/>
  <c r="G551" i="11"/>
  <c r="G550" i="11" s="1"/>
  <c r="G548" i="11"/>
  <c r="G547" i="11" s="1"/>
  <c r="G546" i="11"/>
  <c r="G545" i="11" s="1"/>
  <c r="G544" i="11" s="1"/>
  <c r="G509" i="11"/>
  <c r="G508" i="11" s="1"/>
  <c r="G506" i="11"/>
  <c r="G505" i="11" s="1"/>
  <c r="G504" i="11" s="1"/>
  <c r="G503" i="11" s="1"/>
  <c r="G502" i="11" s="1"/>
  <c r="G491" i="11"/>
  <c r="G490" i="11" s="1"/>
  <c r="G488" i="11"/>
  <c r="G487" i="11" s="1"/>
  <c r="G485" i="11"/>
  <c r="G484" i="11" s="1"/>
  <c r="G482" i="11"/>
  <c r="G481" i="11" s="1"/>
  <c r="G461" i="11"/>
  <c r="G460" i="11" s="1"/>
  <c r="G459" i="11" s="1"/>
  <c r="G458" i="11" s="1"/>
  <c r="G457" i="11" s="1"/>
  <c r="G456" i="11" s="1"/>
  <c r="G440" i="11" s="1"/>
  <c r="G410" i="11"/>
  <c r="G409" i="11" s="1"/>
  <c r="G408" i="11"/>
  <c r="G407" i="11" s="1"/>
  <c r="G363" i="11"/>
  <c r="G362" i="11" s="1"/>
  <c r="G361" i="11" s="1"/>
  <c r="G341" i="11"/>
  <c r="G340" i="11" s="1"/>
  <c r="G339" i="11" s="1"/>
  <c r="G306" i="11"/>
  <c r="G305" i="11" s="1"/>
  <c r="G304" i="11" s="1"/>
  <c r="G297" i="11" s="1"/>
  <c r="G296" i="11" s="1"/>
  <c r="G295" i="11" s="1"/>
  <c r="G294" i="11" s="1"/>
  <c r="G271" i="11"/>
  <c r="G270" i="11" s="1"/>
  <c r="G268" i="11"/>
  <c r="G267" i="11" s="1"/>
  <c r="G244" i="11"/>
  <c r="G243" i="11" s="1"/>
  <c r="G241" i="11"/>
  <c r="G240" i="11" s="1"/>
  <c r="G237" i="11"/>
  <c r="G236" i="11" s="1"/>
  <c r="G235" i="11" s="1"/>
  <c r="G233" i="11"/>
  <c r="G232" i="11" s="1"/>
  <c r="G230" i="11"/>
  <c r="G229" i="11" s="1"/>
  <c r="G227" i="11"/>
  <c r="G226" i="11" s="1"/>
  <c r="G224" i="11"/>
  <c r="G223" i="11" s="1"/>
  <c r="G221" i="11"/>
  <c r="G220" i="11" s="1"/>
  <c r="G214" i="11"/>
  <c r="G212" i="11"/>
  <c r="G207" i="11"/>
  <c r="G206" i="11" s="1"/>
  <c r="G205" i="11" s="1"/>
  <c r="G204" i="11" s="1"/>
  <c r="G202" i="11"/>
  <c r="G201" i="11" s="1"/>
  <c r="G199" i="11"/>
  <c r="G198" i="11" s="1"/>
  <c r="G196" i="11"/>
  <c r="G194" i="11"/>
  <c r="G189" i="11"/>
  <c r="G188" i="11" s="1"/>
  <c r="G187" i="11" s="1"/>
  <c r="G186" i="11" s="1"/>
  <c r="G184" i="11"/>
  <c r="G183" i="11" s="1"/>
  <c r="G180" i="11"/>
  <c r="G179" i="11" s="1"/>
  <c r="G178" i="11" s="1"/>
  <c r="G168" i="11"/>
  <c r="G167" i="11" s="1"/>
  <c r="G166" i="11" s="1"/>
  <c r="G165" i="11" s="1"/>
  <c r="G164" i="11" s="1"/>
  <c r="G156" i="11"/>
  <c r="G155" i="11" s="1"/>
  <c r="G154" i="11" s="1"/>
  <c r="G153" i="11" s="1"/>
  <c r="G147" i="11" s="1"/>
  <c r="G133" i="11"/>
  <c r="G131" i="11"/>
  <c r="G129" i="11"/>
  <c r="G108" i="11"/>
  <c r="G107" i="11" s="1"/>
  <c r="G106" i="11" s="1"/>
  <c r="G105" i="11" s="1"/>
  <c r="G104" i="11" s="1"/>
  <c r="G99" i="11"/>
  <c r="G98" i="11" s="1"/>
  <c r="G97" i="11" s="1"/>
  <c r="G96" i="11" s="1"/>
  <c r="G95" i="11" s="1"/>
  <c r="G90" i="11"/>
  <c r="G89" i="11" s="1"/>
  <c r="G88" i="11" s="1"/>
  <c r="G87" i="11" s="1"/>
  <c r="G86" i="11" s="1"/>
  <c r="G85" i="11" s="1"/>
  <c r="G80" i="11"/>
  <c r="G79" i="11" s="1"/>
  <c r="G78" i="11" s="1"/>
  <c r="G77" i="11" s="1"/>
  <c r="G76" i="11" s="1"/>
  <c r="G75" i="11" s="1"/>
  <c r="G74" i="11"/>
  <c r="G73" i="11" s="1"/>
  <c r="G72" i="11"/>
  <c r="G71" i="11" s="1"/>
  <c r="G1479" i="10"/>
  <c r="G1478" i="10" s="1"/>
  <c r="G1477" i="10" s="1"/>
  <c r="G1476" i="10" s="1"/>
  <c r="G1475" i="10" s="1"/>
  <c r="G1474" i="10" s="1"/>
  <c r="G1473" i="10" s="1"/>
  <c r="G1472" i="10"/>
  <c r="G1471" i="10" s="1"/>
  <c r="G1470" i="10" s="1"/>
  <c r="G1468" i="10"/>
  <c r="G1466" i="10"/>
  <c r="G1464" i="10"/>
  <c r="G1458" i="10"/>
  <c r="G1456" i="10"/>
  <c r="G1450" i="10"/>
  <c r="G1449" i="10"/>
  <c r="G1444" i="10"/>
  <c r="G1443" i="10"/>
  <c r="G1439" i="10"/>
  <c r="G1438" i="10" s="1"/>
  <c r="G1432" i="10"/>
  <c r="G1431" i="10" s="1"/>
  <c r="G1430" i="10" s="1"/>
  <c r="G1429" i="10" s="1"/>
  <c r="G1428" i="10" s="1"/>
  <c r="G1425" i="10"/>
  <c r="G1424" i="10"/>
  <c r="G1415" i="10"/>
  <c r="G1414" i="10" s="1"/>
  <c r="G1413" i="10" s="1"/>
  <c r="G1412" i="10" s="1"/>
  <c r="G1411" i="10" s="1"/>
  <c r="G1410" i="10" s="1"/>
  <c r="G1409" i="10" s="1"/>
  <c r="G1407" i="10"/>
  <c r="G1406" i="10"/>
  <c r="G1403" i="10"/>
  <c r="G1402" i="10"/>
  <c r="G1400" i="10"/>
  <c r="G1399" i="10" s="1"/>
  <c r="G1393" i="10"/>
  <c r="G1392" i="10" s="1"/>
  <c r="G1391" i="10" s="1"/>
  <c r="G1390" i="10" s="1"/>
  <c r="G1389" i="10" s="1"/>
  <c r="G1386" i="10"/>
  <c r="G1385" i="10"/>
  <c r="G1377" i="10"/>
  <c r="G1376" i="10" s="1"/>
  <c r="G1375" i="10" s="1"/>
  <c r="G1374" i="10" s="1"/>
  <c r="G1373" i="10" s="1"/>
  <c r="G1371" i="10"/>
  <c r="G1370" i="10"/>
  <c r="G1369" i="10" s="1"/>
  <c r="G1360" i="10"/>
  <c r="G1359" i="10" s="1"/>
  <c r="G1358" i="10" s="1"/>
  <c r="G1356" i="10"/>
  <c r="G1355" i="10" s="1"/>
  <c r="G1354" i="10" s="1"/>
  <c r="G1345" i="10"/>
  <c r="G1344" i="10"/>
  <c r="G1343" i="10" s="1"/>
  <c r="G1339" i="10"/>
  <c r="G1338" i="10"/>
  <c r="G1333" i="10"/>
  <c r="G1331" i="10"/>
  <c r="G1328" i="10"/>
  <c r="G1327" i="10" s="1"/>
  <c r="G1326" i="10" s="1"/>
  <c r="G1325" i="10"/>
  <c r="G1324" i="10" s="1"/>
  <c r="G1323" i="10" s="1"/>
  <c r="G1322" i="10"/>
  <c r="G1321" i="10"/>
  <c r="G1316" i="10"/>
  <c r="G1315" i="10"/>
  <c r="G1306" i="10"/>
  <c r="G1305" i="10" s="1"/>
  <c r="G1304" i="10" s="1"/>
  <c r="G1303" i="10" s="1"/>
  <c r="G1299" i="10"/>
  <c r="G1298" i="10" s="1"/>
  <c r="G1297" i="10" s="1"/>
  <c r="G1296" i="10" s="1"/>
  <c r="G1295" i="10" s="1"/>
  <c r="G1293" i="10"/>
  <c r="G1292" i="10" s="1"/>
  <c r="G1291" i="10" s="1"/>
  <c r="G1290" i="10" s="1"/>
  <c r="G1289" i="10" s="1"/>
  <c r="G1288" i="10" s="1"/>
  <c r="G1284" i="10"/>
  <c r="G1282" i="10"/>
  <c r="G1274" i="10"/>
  <c r="G1273" i="10" s="1"/>
  <c r="G1272" i="10" s="1"/>
  <c r="G1271" i="10" s="1"/>
  <c r="G1270" i="10" s="1"/>
  <c r="G1269" i="10" s="1"/>
  <c r="G1268" i="10"/>
  <c r="G1267" i="10" s="1"/>
  <c r="G1266" i="10" s="1"/>
  <c r="G1265" i="10"/>
  <c r="G1264" i="10" s="1"/>
  <c r="G1263" i="10" s="1"/>
  <c r="G1260" i="10"/>
  <c r="G1259" i="10" s="1"/>
  <c r="G1257" i="10"/>
  <c r="G1250" i="10"/>
  <c r="G1249" i="10" s="1"/>
  <c r="G1248" i="10" s="1"/>
  <c r="G1247" i="10" s="1"/>
  <c r="G1246" i="10" s="1"/>
  <c r="G1240" i="10"/>
  <c r="G1239" i="10"/>
  <c r="G1235" i="10"/>
  <c r="G1234" i="10"/>
  <c r="G1224" i="10"/>
  <c r="G1223" i="10" s="1"/>
  <c r="G1220" i="10"/>
  <c r="G1219" i="10" s="1"/>
  <c r="G1217" i="10"/>
  <c r="G1216" i="10"/>
  <c r="G1205" i="10"/>
  <c r="G1204" i="10" s="1"/>
  <c r="G1203" i="10" s="1"/>
  <c r="G1202" i="10"/>
  <c r="G1201" i="10" s="1"/>
  <c r="G1200" i="10" s="1"/>
  <c r="G1198" i="10"/>
  <c r="G1197" i="10" s="1"/>
  <c r="G1196" i="10" s="1"/>
  <c r="G1191" i="10"/>
  <c r="G1190" i="10"/>
  <c r="G1182" i="10"/>
  <c r="G1181" i="10" s="1"/>
  <c r="G1180" i="10"/>
  <c r="G1179" i="10" s="1"/>
  <c r="G1178" i="10" s="1"/>
  <c r="G1176" i="10"/>
  <c r="G1175" i="10"/>
  <c r="G1171" i="10"/>
  <c r="G1170" i="10" s="1"/>
  <c r="G1169" i="10"/>
  <c r="G1168" i="10"/>
  <c r="G1165" i="10"/>
  <c r="G1164" i="10"/>
  <c r="G1156" i="10"/>
  <c r="G1155" i="10" s="1"/>
  <c r="G1154" i="10" s="1"/>
  <c r="G1153" i="10"/>
  <c r="G1152" i="10" s="1"/>
  <c r="G1151" i="10" s="1"/>
  <c r="G1149" i="10"/>
  <c r="G1148" i="10" s="1"/>
  <c r="G1146" i="10"/>
  <c r="G1145" i="10" s="1"/>
  <c r="G1140" i="10"/>
  <c r="G1139" i="10"/>
  <c r="G1131" i="10"/>
  <c r="G1130" i="10" s="1"/>
  <c r="G1129" i="10" s="1"/>
  <c r="G1128" i="10" s="1"/>
  <c r="G1127" i="10" s="1"/>
  <c r="G1125" i="10"/>
  <c r="G1123" i="10"/>
  <c r="G1115" i="10"/>
  <c r="G1114" i="10" s="1"/>
  <c r="G1113" i="10" s="1"/>
  <c r="G1111" i="10"/>
  <c r="G1109" i="10"/>
  <c r="G1108" i="10"/>
  <c r="G1107" i="10" s="1"/>
  <c r="G1105" i="10"/>
  <c r="G1104" i="10" s="1"/>
  <c r="G1103" i="10" s="1"/>
  <c r="G1097" i="10"/>
  <c r="G1095" i="10"/>
  <c r="G1094" i="10"/>
  <c r="G1093" i="10" s="1"/>
  <c r="G1084" i="10"/>
  <c r="G1083" i="10"/>
  <c r="G1082" i="10" s="1"/>
  <c r="G1081" i="10"/>
  <c r="G1080" i="10" s="1"/>
  <c r="G1078" i="10"/>
  <c r="G1077" i="10" s="1"/>
  <c r="G1076" i="10" s="1"/>
  <c r="G1070" i="10"/>
  <c r="G1069" i="10" s="1"/>
  <c r="G1068" i="10" s="1"/>
  <c r="G1067" i="10" s="1"/>
  <c r="G1066" i="10" s="1"/>
  <c r="G1065" i="10" s="1"/>
  <c r="G1064" i="10" s="1"/>
  <c r="G1063" i="10"/>
  <c r="G1062" i="10" s="1"/>
  <c r="G1061" i="10" s="1"/>
  <c r="G1060" i="10" s="1"/>
  <c r="G1059" i="10" s="1"/>
  <c r="G1058" i="10" s="1"/>
  <c r="G1051" i="10"/>
  <c r="G1050" i="10" s="1"/>
  <c r="G1049" i="10"/>
  <c r="G1048" i="10" s="1"/>
  <c r="G1047" i="10" s="1"/>
  <c r="G1045" i="10"/>
  <c r="G1044" i="10" s="1"/>
  <c r="G1042" i="10"/>
  <c r="G1041" i="10" s="1"/>
  <c r="G1040" i="10"/>
  <c r="G1039" i="10" s="1"/>
  <c r="G1038" i="10" s="1"/>
  <c r="G1036" i="10"/>
  <c r="G1035" i="10" s="1"/>
  <c r="G1034" i="10" s="1"/>
  <c r="G1033" i="10"/>
  <c r="G1032" i="10" s="1"/>
  <c r="G1031" i="10" s="1"/>
  <c r="G1026" i="10"/>
  <c r="G1025" i="10" s="1"/>
  <c r="G1024" i="10" s="1"/>
  <c r="G1023" i="10"/>
  <c r="G1022" i="10" s="1"/>
  <c r="G1021" i="10" s="1"/>
  <c r="G1016" i="10"/>
  <c r="G1015" i="10" s="1"/>
  <c r="G1014" i="10" s="1"/>
  <c r="G1013" i="10" s="1"/>
  <c r="G1012" i="10" s="1"/>
  <c r="G1010" i="10"/>
  <c r="G1009" i="10" s="1"/>
  <c r="G1008" i="10" s="1"/>
  <c r="G1006" i="10"/>
  <c r="G1005" i="10" s="1"/>
  <c r="G995" i="10"/>
  <c r="G994" i="10" s="1"/>
  <c r="G993" i="10" s="1"/>
  <c r="G992" i="10" s="1"/>
  <c r="G991" i="10" s="1"/>
  <c r="G990" i="10" s="1"/>
  <c r="G989" i="10" s="1"/>
  <c r="G987" i="10"/>
  <c r="G986" i="10" s="1"/>
  <c r="G985" i="10" s="1"/>
  <c r="G984" i="10" s="1"/>
  <c r="G983" i="10" s="1"/>
  <c r="G982" i="10" s="1"/>
  <c r="G980" i="10"/>
  <c r="G979" i="10" s="1"/>
  <c r="G978" i="10" s="1"/>
  <c r="G977" i="10" s="1"/>
  <c r="G976" i="10"/>
  <c r="G975" i="10" s="1"/>
  <c r="G974" i="10" s="1"/>
  <c r="G973" i="10" s="1"/>
  <c r="G972" i="10" s="1"/>
  <c r="G968" i="10"/>
  <c r="G967" i="10" s="1"/>
  <c r="G965" i="10"/>
  <c r="G964" i="10" s="1"/>
  <c r="G961" i="10"/>
  <c r="G960" i="10" s="1"/>
  <c r="G959" i="10" s="1"/>
  <c r="G958" i="10" s="1"/>
  <c r="G957" i="10" s="1"/>
  <c r="G955" i="10"/>
  <c r="G953" i="10"/>
  <c r="G947" i="10"/>
  <c r="G946" i="10" s="1"/>
  <c r="G945" i="10" s="1"/>
  <c r="G944" i="10" s="1"/>
  <c r="G943" i="10" s="1"/>
  <c r="G940" i="10"/>
  <c r="G939" i="10" s="1"/>
  <c r="G938" i="10" s="1"/>
  <c r="G937" i="10" s="1"/>
  <c r="G936" i="10" s="1"/>
  <c r="G935" i="10" s="1"/>
  <c r="G932" i="10"/>
  <c r="G931" i="10" s="1"/>
  <c r="G930" i="10" s="1"/>
  <c r="G929" i="10"/>
  <c r="G928" i="10" s="1"/>
  <c r="G927" i="10" s="1"/>
  <c r="G926" i="10" s="1"/>
  <c r="G925" i="10" s="1"/>
  <c r="G924" i="10" s="1"/>
  <c r="G923" i="10"/>
  <c r="G922" i="10" s="1"/>
  <c r="G921" i="10" s="1"/>
  <c r="G920" i="10" s="1"/>
  <c r="G919" i="10" s="1"/>
  <c r="G917" i="10"/>
  <c r="G916" i="10" s="1"/>
  <c r="G915" i="10" s="1"/>
  <c r="G914" i="10" s="1"/>
  <c r="G909" i="10"/>
  <c r="G908" i="10" s="1"/>
  <c r="G907" i="10"/>
  <c r="G906" i="10" s="1"/>
  <c r="G905" i="10" s="1"/>
  <c r="G901" i="10"/>
  <c r="G900" i="10" s="1"/>
  <c r="G899" i="10" s="1"/>
  <c r="G898" i="10" s="1"/>
  <c r="G897" i="10" s="1"/>
  <c r="G896" i="10" s="1"/>
  <c r="G893" i="10"/>
  <c r="G892" i="10" s="1"/>
  <c r="G891" i="10" s="1"/>
  <c r="G890" i="10" s="1"/>
  <c r="G889" i="10" s="1"/>
  <c r="G888" i="10" s="1"/>
  <c r="G887" i="10"/>
  <c r="G886" i="10" s="1"/>
  <c r="G885" i="10" s="1"/>
  <c r="G884" i="10" s="1"/>
  <c r="G883" i="10" s="1"/>
  <c r="G882" i="10" s="1"/>
  <c r="G881" i="10" s="1"/>
  <c r="G880" i="10"/>
  <c r="G879" i="10" s="1"/>
  <c r="G878" i="10" s="1"/>
  <c r="G877" i="10"/>
  <c r="G876" i="10" s="1"/>
  <c r="G875" i="10" s="1"/>
  <c r="G874" i="10"/>
  <c r="G873" i="10" s="1"/>
  <c r="G872" i="10" s="1"/>
  <c r="G867" i="10"/>
  <c r="G866" i="10" s="1"/>
  <c r="G865" i="10" s="1"/>
  <c r="G864" i="10" s="1"/>
  <c r="G860" i="10"/>
  <c r="G859" i="10" s="1"/>
  <c r="G858" i="10" s="1"/>
  <c r="G857" i="10"/>
  <c r="G856" i="10" s="1"/>
  <c r="G855" i="10" s="1"/>
  <c r="G854" i="10" s="1"/>
  <c r="G850" i="10"/>
  <c r="G849" i="10" s="1"/>
  <c r="G848" i="10" s="1"/>
  <c r="G847" i="10"/>
  <c r="G846" i="10" s="1"/>
  <c r="G845" i="10" s="1"/>
  <c r="G840" i="10"/>
  <c r="G839" i="10" s="1"/>
  <c r="G838" i="10" s="1"/>
  <c r="G837" i="10" s="1"/>
  <c r="G836" i="10" s="1"/>
  <c r="G835" i="10"/>
  <c r="G834" i="10" s="1"/>
  <c r="G833" i="10" s="1"/>
  <c r="G832" i="10" s="1"/>
  <c r="G831" i="10" s="1"/>
  <c r="G830" i="10" s="1"/>
  <c r="G826" i="10"/>
  <c r="G825" i="10" s="1"/>
  <c r="G824" i="10" s="1"/>
  <c r="G823" i="10" s="1"/>
  <c r="G822" i="10"/>
  <c r="G821" i="10" s="1"/>
  <c r="G820" i="10" s="1"/>
  <c r="G819" i="10" s="1"/>
  <c r="G817" i="10"/>
  <c r="G816" i="10"/>
  <c r="G815" i="10" s="1"/>
  <c r="G814" i="10" s="1"/>
  <c r="G813" i="10"/>
  <c r="G812" i="10" s="1"/>
  <c r="G811" i="10" s="1"/>
  <c r="G809" i="10"/>
  <c r="G808" i="10" s="1"/>
  <c r="G802" i="10"/>
  <c r="G801" i="10" s="1"/>
  <c r="G800" i="10" s="1"/>
  <c r="G799" i="10" s="1"/>
  <c r="G798" i="10" s="1"/>
  <c r="G797" i="10" s="1"/>
  <c r="G794" i="10"/>
  <c r="G793" i="10"/>
  <c r="G792" i="10" s="1"/>
  <c r="G791" i="10"/>
  <c r="G790" i="10" s="1"/>
  <c r="G787" i="10"/>
  <c r="G786" i="10"/>
  <c r="G785" i="10" s="1"/>
  <c r="G784" i="10"/>
  <c r="G783" i="10" s="1"/>
  <c r="G780" i="10"/>
  <c r="G779" i="10"/>
  <c r="G778" i="10" s="1"/>
  <c r="G777" i="10"/>
  <c r="G776" i="10" s="1"/>
  <c r="G773" i="10"/>
  <c r="G772" i="10"/>
  <c r="G771" i="10" s="1"/>
  <c r="G770" i="10"/>
  <c r="G769" i="10" s="1"/>
  <c r="G766" i="10"/>
  <c r="G765" i="10" s="1"/>
  <c r="G760" i="10"/>
  <c r="G759" i="10" s="1"/>
  <c r="G758" i="10"/>
  <c r="G757" i="10" s="1"/>
  <c r="G754" i="10"/>
  <c r="G752" i="10"/>
  <c r="G751" i="10"/>
  <c r="G750" i="10" s="1"/>
  <c r="G748" i="10"/>
  <c r="G747" i="10" s="1"/>
  <c r="G746" i="10"/>
  <c r="G745" i="10" s="1"/>
  <c r="G744" i="10"/>
  <c r="G743" i="10" s="1"/>
  <c r="G741" i="10"/>
  <c r="G740" i="10" s="1"/>
  <c r="G739" i="10" s="1"/>
  <c r="G738" i="10"/>
  <c r="G737" i="10" s="1"/>
  <c r="G736" i="10" s="1"/>
  <c r="G734" i="10"/>
  <c r="G732" i="10"/>
  <c r="G729" i="10"/>
  <c r="G727" i="10"/>
  <c r="G725" i="10"/>
  <c r="G724" i="10" s="1"/>
  <c r="G723" i="10"/>
  <c r="G722" i="10" s="1"/>
  <c r="G721" i="10" s="1"/>
  <c r="G720" i="10"/>
  <c r="G719" i="10" s="1"/>
  <c r="G718" i="10" s="1"/>
  <c r="G717" i="10"/>
  <c r="G716" i="10" s="1"/>
  <c r="G715" i="10" s="1"/>
  <c r="G714" i="10"/>
  <c r="G713" i="10" s="1"/>
  <c r="G712" i="10" s="1"/>
  <c r="G710" i="10"/>
  <c r="G709" i="10" s="1"/>
  <c r="G708" i="10"/>
  <c r="G707" i="10" s="1"/>
  <c r="G706" i="10" s="1"/>
  <c r="G705" i="10"/>
  <c r="G704" i="10" s="1"/>
  <c r="G703" i="10" s="1"/>
  <c r="G702" i="10"/>
  <c r="G701" i="10" s="1"/>
  <c r="G700" i="10"/>
  <c r="G699" i="10" s="1"/>
  <c r="G695" i="10"/>
  <c r="G694" i="10" s="1"/>
  <c r="G693" i="10" s="1"/>
  <c r="G691" i="10"/>
  <c r="G690" i="10" s="1"/>
  <c r="G688" i="10"/>
  <c r="G687" i="10" s="1"/>
  <c r="G686" i="10" s="1"/>
  <c r="G685" i="10"/>
  <c r="G684" i="10" s="1"/>
  <c r="G683" i="10" s="1"/>
  <c r="G676" i="10"/>
  <c r="G675" i="10" s="1"/>
  <c r="G674" i="10" s="1"/>
  <c r="G664" i="10"/>
  <c r="G663" i="10" s="1"/>
  <c r="G662" i="10" s="1"/>
  <c r="G661" i="10" s="1"/>
  <c r="G660" i="10" s="1"/>
  <c r="G659" i="10" s="1"/>
  <c r="G648" i="10"/>
  <c r="G647" i="10" s="1"/>
  <c r="G646" i="10" s="1"/>
  <c r="G645" i="10" s="1"/>
  <c r="G644" i="10" s="1"/>
  <c r="G643" i="10"/>
  <c r="G642" i="10" s="1"/>
  <c r="G641" i="10"/>
  <c r="G640" i="10" s="1"/>
  <c r="G639" i="10"/>
  <c r="G638" i="10" s="1"/>
  <c r="G635" i="10"/>
  <c r="G634" i="10" s="1"/>
  <c r="G633" i="10"/>
  <c r="G632" i="10" s="1"/>
  <c r="G630" i="10"/>
  <c r="G624" i="10"/>
  <c r="G623" i="10" s="1"/>
  <c r="G621" i="10"/>
  <c r="G620" i="10" s="1"/>
  <c r="G618" i="10"/>
  <c r="G617" i="10"/>
  <c r="G616" i="10" s="1"/>
  <c r="G614" i="10"/>
  <c r="G613" i="10" s="1"/>
  <c r="G612" i="10" s="1"/>
  <c r="G611" i="10"/>
  <c r="G610" i="10" s="1"/>
  <c r="G609" i="10" s="1"/>
  <c r="G608" i="10"/>
  <c r="G607" i="10" s="1"/>
  <c r="G606" i="10" s="1"/>
  <c r="G604" i="10"/>
  <c r="G603" i="10" s="1"/>
  <c r="G597" i="10"/>
  <c r="G595" i="10"/>
  <c r="G589" i="10"/>
  <c r="G588" i="10" s="1"/>
  <c r="G587" i="10"/>
  <c r="G586" i="10" s="1"/>
  <c r="G585" i="10" s="1"/>
  <c r="G583" i="10"/>
  <c r="G582" i="10" s="1"/>
  <c r="G581" i="10"/>
  <c r="G580" i="10" s="1"/>
  <c r="G579" i="10" s="1"/>
  <c r="G570" i="10"/>
  <c r="G569" i="10" s="1"/>
  <c r="G567" i="10"/>
  <c r="G566" i="10" s="1"/>
  <c r="G556" i="10"/>
  <c r="G555" i="10" s="1"/>
  <c r="G554" i="10"/>
  <c r="G553" i="10" s="1"/>
  <c r="G551" i="10"/>
  <c r="G545" i="10"/>
  <c r="G544" i="10" s="1"/>
  <c r="G543" i="10" s="1"/>
  <c r="G542" i="10"/>
  <c r="G541" i="10" s="1"/>
  <c r="G540" i="10" s="1"/>
  <c r="G538" i="10"/>
  <c r="G537" i="10" s="1"/>
  <c r="G536" i="10" s="1"/>
  <c r="G535" i="10" s="1"/>
  <c r="G531" i="10"/>
  <c r="G530" i="10" s="1"/>
  <c r="G528" i="10"/>
  <c r="G527" i="10" s="1"/>
  <c r="G523" i="10"/>
  <c r="G522" i="10" s="1"/>
  <c r="G521" i="10" s="1"/>
  <c r="G520" i="10" s="1"/>
  <c r="G519" i="10" s="1"/>
  <c r="G518" i="10" s="1"/>
  <c r="G514" i="10"/>
  <c r="G513" i="10" s="1"/>
  <c r="G512" i="10" s="1"/>
  <c r="G511" i="10" s="1"/>
  <c r="G510" i="10" s="1"/>
  <c r="G509" i="10"/>
  <c r="G508" i="10" s="1"/>
  <c r="G507" i="10" s="1"/>
  <c r="G506" i="10" s="1"/>
  <c r="G505" i="10" s="1"/>
  <c r="G503" i="10"/>
  <c r="G502" i="10" s="1"/>
  <c r="G501" i="10" s="1"/>
  <c r="G500" i="10" s="1"/>
  <c r="G487" i="10"/>
  <c r="G486" i="10" s="1"/>
  <c r="G485" i="10"/>
  <c r="G484" i="10" s="1"/>
  <c r="G481" i="10"/>
  <c r="G479" i="10"/>
  <c r="G473" i="10"/>
  <c r="G472" i="10" s="1"/>
  <c r="G471" i="10" s="1"/>
  <c r="G470" i="10" s="1"/>
  <c r="G469" i="10"/>
  <c r="G468" i="10" s="1"/>
  <c r="G467" i="10" s="1"/>
  <c r="G466" i="10"/>
  <c r="G465" i="10" s="1"/>
  <c r="G464" i="10" s="1"/>
  <c r="G462" i="10"/>
  <c r="G461" i="10" s="1"/>
  <c r="G460" i="10" s="1"/>
  <c r="G459" i="10" s="1"/>
  <c r="G458" i="10"/>
  <c r="G457" i="10" s="1"/>
  <c r="G456" i="10" s="1"/>
  <c r="G455" i="10" s="1"/>
  <c r="G445" i="10"/>
  <c r="G444" i="10" s="1"/>
  <c r="G443" i="10" s="1"/>
  <c r="G442" i="10"/>
  <c r="G441" i="10" s="1"/>
  <c r="G440" i="10" s="1"/>
  <c r="G439" i="10"/>
  <c r="G438" i="10" s="1"/>
  <c r="G437" i="10" s="1"/>
  <c r="G435" i="10"/>
  <c r="G434" i="10" s="1"/>
  <c r="G429" i="10"/>
  <c r="G428" i="10" s="1"/>
  <c r="G426" i="10"/>
  <c r="G425" i="10" s="1"/>
  <c r="G424" i="10"/>
  <c r="G423" i="10" s="1"/>
  <c r="G422" i="10" s="1"/>
  <c r="G420" i="10"/>
  <c r="G419" i="10" s="1"/>
  <c r="G418" i="10"/>
  <c r="G417" i="10" s="1"/>
  <c r="G416" i="10" s="1"/>
  <c r="G414" i="10"/>
  <c r="G413" i="10" s="1"/>
  <c r="G411" i="10"/>
  <c r="G410" i="10" s="1"/>
  <c r="G408" i="10"/>
  <c r="G407" i="10"/>
  <c r="G406" i="10" s="1"/>
  <c r="G404" i="10"/>
  <c r="G402" i="10"/>
  <c r="G401" i="10" s="1"/>
  <c r="G400" i="10" s="1"/>
  <c r="G399" i="10"/>
  <c r="G398" i="10" s="1"/>
  <c r="G396" i="10"/>
  <c r="G395" i="10"/>
  <c r="G394" i="10" s="1"/>
  <c r="G393" i="10"/>
  <c r="G392" i="10" s="1"/>
  <c r="G390" i="10"/>
  <c r="G389" i="10" s="1"/>
  <c r="G388" i="10" s="1"/>
  <c r="G386" i="10"/>
  <c r="G385" i="10" s="1"/>
  <c r="G383" i="10"/>
  <c r="G381" i="10"/>
  <c r="G380" i="10"/>
  <c r="G379" i="10" s="1"/>
  <c r="G377" i="10"/>
  <c r="G376" i="10" s="1"/>
  <c r="G375" i="10" s="1"/>
  <c r="G374" i="10"/>
  <c r="G373" i="10" s="1"/>
  <c r="G372" i="10" s="1"/>
  <c r="G368" i="10"/>
  <c r="G367" i="10" s="1"/>
  <c r="G366" i="10" s="1"/>
  <c r="G364" i="10"/>
  <c r="G363" i="10" s="1"/>
  <c r="G358" i="10"/>
  <c r="G357" i="10" s="1"/>
  <c r="G356" i="10" s="1"/>
  <c r="G354" i="10"/>
  <c r="G353" i="10" s="1"/>
  <c r="G351" i="10"/>
  <c r="G350" i="10" s="1"/>
  <c r="G344" i="10"/>
  <c r="G343" i="10" s="1"/>
  <c r="G341" i="10"/>
  <c r="G340" i="10" s="1"/>
  <c r="G336" i="10"/>
  <c r="G335" i="10" s="1"/>
  <c r="G334" i="10" s="1"/>
  <c r="G333" i="10" s="1"/>
  <c r="G330" i="10"/>
  <c r="G329" i="10" s="1"/>
  <c r="G328" i="10" s="1"/>
  <c r="G326" i="10"/>
  <c r="G325" i="10" s="1"/>
  <c r="G323" i="10"/>
  <c r="G322" i="10" s="1"/>
  <c r="G320" i="10"/>
  <c r="G319" i="10" s="1"/>
  <c r="G317" i="10"/>
  <c r="G316" i="10" s="1"/>
  <c r="G314" i="10"/>
  <c r="G313" i="10" s="1"/>
  <c r="G311" i="10"/>
  <c r="G310" i="10" s="1"/>
  <c r="G309" i="10"/>
  <c r="G308" i="10" s="1"/>
  <c r="G307" i="10" s="1"/>
  <c r="G302" i="10"/>
  <c r="G301" i="10" s="1"/>
  <c r="G300" i="10" s="1"/>
  <c r="G299" i="10" s="1"/>
  <c r="G298" i="10" s="1"/>
  <c r="G296" i="10"/>
  <c r="G295" i="10" s="1"/>
  <c r="G293" i="10"/>
  <c r="G291" i="10"/>
  <c r="G283" i="10"/>
  <c r="G282" i="10" s="1"/>
  <c r="G281" i="10" s="1"/>
  <c r="G280" i="10"/>
  <c r="G279" i="10" s="1"/>
  <c r="G278" i="10" s="1"/>
  <c r="G277" i="10"/>
  <c r="G276" i="10" s="1"/>
  <c r="G275" i="10" s="1"/>
  <c r="G272" i="10"/>
  <c r="G271" i="10" s="1"/>
  <c r="G270" i="10" s="1"/>
  <c r="G268" i="10"/>
  <c r="G267" i="10" s="1"/>
  <c r="G266" i="10"/>
  <c r="G265" i="10" s="1"/>
  <c r="G264" i="10" s="1"/>
  <c r="G262" i="10"/>
  <c r="G261" i="10" s="1"/>
  <c r="G260" i="10"/>
  <c r="G259" i="10" s="1"/>
  <c r="G258" i="10" s="1"/>
  <c r="G252" i="10"/>
  <c r="G250" i="10"/>
  <c r="G249" i="10"/>
  <c r="G248" i="10" s="1"/>
  <c r="G243" i="10"/>
  <c r="G242" i="10" s="1"/>
  <c r="G240" i="10"/>
  <c r="G239" i="10" s="1"/>
  <c r="G237" i="10"/>
  <c r="G236" i="10" s="1"/>
  <c r="G234" i="10"/>
  <c r="G232" i="10"/>
  <c r="G228" i="10"/>
  <c r="G227" i="10" s="1"/>
  <c r="G226" i="10" s="1"/>
  <c r="G225" i="10" s="1"/>
  <c r="G224" i="10" s="1"/>
  <c r="G222" i="10"/>
  <c r="G221" i="10" s="1"/>
  <c r="G219" i="10"/>
  <c r="G218" i="10" s="1"/>
  <c r="G211" i="10"/>
  <c r="G210" i="10" s="1"/>
  <c r="G208" i="10"/>
  <c r="G207" i="10" s="1"/>
  <c r="G206" i="10"/>
  <c r="G205" i="10" s="1"/>
  <c r="G204" i="10" s="1"/>
  <c r="G203" i="10"/>
  <c r="G201" i="10" s="1"/>
  <c r="G200" i="10"/>
  <c r="G199" i="10" s="1"/>
  <c r="G195" i="10"/>
  <c r="G194" i="10" s="1"/>
  <c r="G192" i="10"/>
  <c r="G191" i="10" s="1"/>
  <c r="G186" i="10"/>
  <c r="G185" i="10" s="1"/>
  <c r="G184" i="10" s="1"/>
  <c r="G179" i="10"/>
  <c r="G178" i="10" s="1"/>
  <c r="G177" i="10"/>
  <c r="G176" i="10" s="1"/>
  <c r="G175" i="10" s="1"/>
  <c r="G170" i="10"/>
  <c r="G169" i="10" s="1"/>
  <c r="G168" i="10" s="1"/>
  <c r="G166" i="10"/>
  <c r="G165" i="10" s="1"/>
  <c r="G164" i="10" s="1"/>
  <c r="G161" i="10"/>
  <c r="G160" i="10" s="1"/>
  <c r="G159" i="10" s="1"/>
  <c r="G158" i="10" s="1"/>
  <c r="G156" i="10"/>
  <c r="G155" i="10" s="1"/>
  <c r="G154" i="10"/>
  <c r="G153" i="10" s="1"/>
  <c r="G150" i="10"/>
  <c r="G149" i="10"/>
  <c r="G148" i="10" s="1"/>
  <c r="G147" i="10"/>
  <c r="G146" i="10" s="1"/>
  <c r="G145" i="10"/>
  <c r="G144" i="10" s="1"/>
  <c r="G141" i="10"/>
  <c r="G140" i="10"/>
  <c r="G139" i="10" s="1"/>
  <c r="G138" i="10"/>
  <c r="G137" i="10" s="1"/>
  <c r="G135" i="10"/>
  <c r="G134" i="10" s="1"/>
  <c r="G133" i="10" s="1"/>
  <c r="G132" i="10"/>
  <c r="G131" i="10" s="1"/>
  <c r="G130" i="10" s="1"/>
  <c r="G127" i="10"/>
  <c r="G126" i="10" s="1"/>
  <c r="G125" i="10" s="1"/>
  <c r="G124" i="10" s="1"/>
  <c r="G123" i="10"/>
  <c r="G122" i="10" s="1"/>
  <c r="G121" i="10" s="1"/>
  <c r="G120" i="10" s="1"/>
  <c r="G117" i="10"/>
  <c r="G116" i="10" s="1"/>
  <c r="G115" i="10" s="1"/>
  <c r="G114" i="10" s="1"/>
  <c r="G113" i="10" s="1"/>
  <c r="G112" i="10" s="1"/>
  <c r="G109" i="10"/>
  <c r="G108" i="10" s="1"/>
  <c r="G107" i="10"/>
  <c r="G106" i="10" s="1"/>
  <c r="G105" i="10" s="1"/>
  <c r="G101" i="10"/>
  <c r="G100" i="10" s="1"/>
  <c r="G99" i="10" s="1"/>
  <c r="G98" i="10"/>
  <c r="G97" i="10" s="1"/>
  <c r="G96" i="10" s="1"/>
  <c r="G95" i="10" s="1"/>
  <c r="G94" i="10" s="1"/>
  <c r="G93" i="10" s="1"/>
  <c r="G91" i="10"/>
  <c r="G90" i="10"/>
  <c r="G89" i="10" s="1"/>
  <c r="G88" i="10"/>
  <c r="G87" i="10" s="1"/>
  <c r="G83" i="10"/>
  <c r="G82" i="10" s="1"/>
  <c r="G81" i="10"/>
  <c r="G80" i="10" s="1"/>
  <c r="G75" i="10"/>
  <c r="G74" i="10" s="1"/>
  <c r="G73" i="10"/>
  <c r="G72" i="10" s="1"/>
  <c r="G66" i="10"/>
  <c r="G64" i="10"/>
  <c r="G58" i="10"/>
  <c r="G56" i="10"/>
  <c r="G50" i="10"/>
  <c r="G48" i="10"/>
  <c r="G42" i="10"/>
  <c r="G40" i="10"/>
  <c r="G34" i="10"/>
  <c r="G33" i="10" s="1"/>
  <c r="G31" i="10"/>
  <c r="G30" i="10"/>
  <c r="G29" i="10" s="1"/>
  <c r="G25" i="10"/>
  <c r="G24" i="10" s="1"/>
  <c r="G23" i="10" s="1"/>
  <c r="G19" i="10"/>
  <c r="G18" i="10" s="1"/>
  <c r="G17" i="10" s="1"/>
  <c r="G16" i="10" s="1"/>
  <c r="G15" i="10" s="1"/>
  <c r="G14" i="10" s="1"/>
  <c r="G13" i="10" s="1"/>
  <c r="J1185" i="11" l="1"/>
  <c r="J1184" i="11" s="1"/>
  <c r="G844" i="10"/>
  <c r="G1037" i="10"/>
  <c r="G689" i="10"/>
  <c r="G1238" i="10"/>
  <c r="G1237" i="10" s="1"/>
  <c r="G1236" i="10" s="1"/>
  <c r="G1215" i="10"/>
  <c r="G1214" i="10" s="1"/>
  <c r="G1207" i="10" s="1"/>
  <c r="G257" i="10"/>
  <c r="G1174" i="10"/>
  <c r="G1173" i="10" s="1"/>
  <c r="G1337" i="10"/>
  <c r="G1336" i="10" s="1"/>
  <c r="G1335" i="10" s="1"/>
  <c r="G1405" i="10"/>
  <c r="G1404" i="10" s="1"/>
  <c r="G1423" i="10"/>
  <c r="G1422" i="10" s="1"/>
  <c r="G1421" i="10" s="1"/>
  <c r="G1420" i="10" s="1"/>
  <c r="G1419" i="10" s="1"/>
  <c r="G1418" i="10" s="1"/>
  <c r="G1417" i="10" s="1"/>
  <c r="G1320" i="10"/>
  <c r="G1319" i="10" s="1"/>
  <c r="G1318" i="10" s="1"/>
  <c r="G1401" i="10"/>
  <c r="G1455" i="10"/>
  <c r="G1454" i="10" s="1"/>
  <c r="G1453" i="10" s="1"/>
  <c r="G1452" i="10" s="1"/>
  <c r="G1233" i="10"/>
  <c r="G1232" i="10" s="1"/>
  <c r="G1231" i="10" s="1"/>
  <c r="G290" i="10"/>
  <c r="G289" i="10" s="1"/>
  <c r="G288" i="10" s="1"/>
  <c r="G287" i="10" s="1"/>
  <c r="H1064" i="11"/>
  <c r="H1063" i="11" s="1"/>
  <c r="H1056" i="11" s="1"/>
  <c r="K1064" i="11"/>
  <c r="K1063" i="11" s="1"/>
  <c r="K1056" i="11" s="1"/>
  <c r="G1185" i="11"/>
  <c r="G1184" i="11" s="1"/>
  <c r="G1017" i="11"/>
  <c r="G1016" i="11" s="1"/>
  <c r="G1011" i="11" s="1"/>
  <c r="G1010" i="11" s="1"/>
  <c r="G1009" i="11" s="1"/>
  <c r="J1179" i="11"/>
  <c r="J1178" i="11" s="1"/>
  <c r="J1177" i="11" s="1"/>
  <c r="J1176" i="11" s="1"/>
  <c r="J1165" i="11"/>
  <c r="J1164" i="11" s="1"/>
  <c r="J1163" i="11" s="1"/>
  <c r="J1162" i="11" s="1"/>
  <c r="J1161" i="11" s="1"/>
  <c r="J1160" i="11" s="1"/>
  <c r="J1159" i="11" s="1"/>
  <c r="G231" i="10"/>
  <c r="G1163" i="10"/>
  <c r="G1162" i="10" s="1"/>
  <c r="G478" i="10"/>
  <c r="G1314" i="10"/>
  <c r="G1313" i="10" s="1"/>
  <c r="G1309" i="10" s="1"/>
  <c r="G1308" i="10" s="1"/>
  <c r="G1448" i="10"/>
  <c r="G1447" i="10" s="1"/>
  <c r="G1446" i="10" s="1"/>
  <c r="G1445" i="10" s="1"/>
  <c r="G1165" i="11"/>
  <c r="G1164" i="11" s="1"/>
  <c r="G1163" i="11" s="1"/>
  <c r="G1162" i="11" s="1"/>
  <c r="G1161" i="11" s="1"/>
  <c r="G1160" i="11" s="1"/>
  <c r="G1159" i="11" s="1"/>
  <c r="G1179" i="11"/>
  <c r="G1178" i="11" s="1"/>
  <c r="G1177" i="11" s="1"/>
  <c r="G1176" i="11" s="1"/>
  <c r="J1017" i="11"/>
  <c r="J1016" i="11" s="1"/>
  <c r="J1011" i="11" s="1"/>
  <c r="J1010" i="11" s="1"/>
  <c r="J1009" i="11" s="1"/>
  <c r="J1008" i="11" s="1"/>
  <c r="H793" i="13"/>
  <c r="J793" i="13" s="1"/>
  <c r="G1138" i="10"/>
  <c r="G1137" i="10" s="1"/>
  <c r="G1136" i="10" s="1"/>
  <c r="G1135" i="10" s="1"/>
  <c r="G1134" i="10" s="1"/>
  <c r="G1133" i="10" s="1"/>
  <c r="G1442" i="10"/>
  <c r="G1441" i="10" s="1"/>
  <c r="G63" i="10"/>
  <c r="G62" i="10" s="1"/>
  <c r="G61" i="10" s="1"/>
  <c r="G60" i="10" s="1"/>
  <c r="G79" i="10"/>
  <c r="G78" i="10" s="1"/>
  <c r="G77" i="10" s="1"/>
  <c r="G637" i="10"/>
  <c r="G1189" i="10"/>
  <c r="G1188" i="10" s="1"/>
  <c r="G1187" i="10" s="1"/>
  <c r="G1030" i="10"/>
  <c r="G1342" i="10"/>
  <c r="G1341" i="10" s="1"/>
  <c r="G1340" i="10" s="1"/>
  <c r="G1384" i="10"/>
  <c r="G1383" i="10" s="1"/>
  <c r="G1382" i="10" s="1"/>
  <c r="G1381" i="10" s="1"/>
  <c r="G1380" i="10" s="1"/>
  <c r="G1379" i="10" s="1"/>
  <c r="G1378" i="10" s="1"/>
  <c r="G913" i="10"/>
  <c r="G912" i="10" s="1"/>
  <c r="G911" i="10" s="1"/>
  <c r="G550" i="10"/>
  <c r="G549" i="10" s="1"/>
  <c r="G28" i="10"/>
  <c r="G27" i="10" s="1"/>
  <c r="G22" i="10" s="1"/>
  <c r="G21" i="10" s="1"/>
  <c r="G239" i="11"/>
  <c r="J266" i="11"/>
  <c r="J265" i="11" s="1"/>
  <c r="J264" i="11" s="1"/>
  <c r="J247" i="11" s="1"/>
  <c r="J406" i="11"/>
  <c r="J400" i="11" s="1"/>
  <c r="J399" i="11" s="1"/>
  <c r="J398" i="11" s="1"/>
  <c r="J397" i="11" s="1"/>
  <c r="J1183" i="11"/>
  <c r="J1182" i="11" s="1"/>
  <c r="G128" i="11"/>
  <c r="G121" i="11" s="1"/>
  <c r="G120" i="11" s="1"/>
  <c r="G110" i="11" s="1"/>
  <c r="G103" i="11" s="1"/>
  <c r="P794" i="13"/>
  <c r="G193" i="11"/>
  <c r="G192" i="11" s="1"/>
  <c r="G191" i="11" s="1"/>
  <c r="G219" i="11"/>
  <c r="G70" i="11"/>
  <c r="G69" i="11" s="1"/>
  <c r="G68" i="11" s="1"/>
  <c r="G67" i="11" s="1"/>
  <c r="G21" i="11" s="1"/>
  <c r="G211" i="11"/>
  <c r="G210" i="11" s="1"/>
  <c r="G209" i="11" s="1"/>
  <c r="G713" i="11"/>
  <c r="G712" i="11" s="1"/>
  <c r="G705" i="11" s="1"/>
  <c r="J193" i="11"/>
  <c r="J192" i="11" s="1"/>
  <c r="J191" i="11" s="1"/>
  <c r="G672" i="11"/>
  <c r="J182" i="11"/>
  <c r="J177" i="11" s="1"/>
  <c r="J211" i="11"/>
  <c r="J210" i="11" s="1"/>
  <c r="J209" i="11" s="1"/>
  <c r="J239" i="11"/>
  <c r="J698" i="11"/>
  <c r="J697" i="11" s="1"/>
  <c r="J696" i="11" s="1"/>
  <c r="J689" i="11" s="1"/>
  <c r="J1077" i="11"/>
  <c r="H115" i="15"/>
  <c r="G997" i="11"/>
  <c r="G992" i="11" s="1"/>
  <c r="G991" i="11" s="1"/>
  <c r="G990" i="11" s="1"/>
  <c r="G981" i="11" s="1"/>
  <c r="G1183" i="11"/>
  <c r="G1182" i="11" s="1"/>
  <c r="G1213" i="11"/>
  <c r="G1212" i="11" s="1"/>
  <c r="J128" i="11"/>
  <c r="J121" i="11" s="1"/>
  <c r="J120" i="11" s="1"/>
  <c r="J110" i="11" s="1"/>
  <c r="J103" i="11" s="1"/>
  <c r="J553" i="11"/>
  <c r="J1036" i="11"/>
  <c r="E115" i="15"/>
  <c r="F116" i="15"/>
  <c r="G182" i="11"/>
  <c r="G177" i="11" s="1"/>
  <c r="G266" i="11"/>
  <c r="G265" i="11" s="1"/>
  <c r="G264" i="11" s="1"/>
  <c r="G247" i="11" s="1"/>
  <c r="G406" i="11"/>
  <c r="G400" i="11" s="1"/>
  <c r="G399" i="11" s="1"/>
  <c r="G398" i="11" s="1"/>
  <c r="G397" i="11" s="1"/>
  <c r="G1077" i="11"/>
  <c r="J1213" i="11"/>
  <c r="J1212" i="11" s="1"/>
  <c r="I794" i="13"/>
  <c r="K795" i="13"/>
  <c r="G935" i="11"/>
  <c r="G1008" i="11"/>
  <c r="G1036" i="11"/>
  <c r="J219" i="11"/>
  <c r="J935" i="11"/>
  <c r="O794" i="13"/>
  <c r="Q795" i="13"/>
  <c r="K939" i="12"/>
  <c r="G594" i="10"/>
  <c r="G593" i="10" s="1"/>
  <c r="G592" i="10" s="1"/>
  <c r="G591" i="10" s="1"/>
  <c r="G230" i="10"/>
  <c r="G229" i="10" s="1"/>
  <c r="G174" i="10"/>
  <c r="G173" i="10" s="1"/>
  <c r="G172" i="10" s="1"/>
  <c r="G742" i="10"/>
  <c r="G1092" i="10"/>
  <c r="G1091" i="10" s="1"/>
  <c r="G1090" i="10" s="1"/>
  <c r="G1089" i="10" s="1"/>
  <c r="G1088" i="10" s="1"/>
  <c r="G1087" i="10" s="1"/>
  <c r="G1281" i="10"/>
  <c r="G1280" i="10" s="1"/>
  <c r="G1279" i="10" s="1"/>
  <c r="G1278" i="10" s="1"/>
  <c r="G1277" i="10" s="1"/>
  <c r="G1276" i="10" s="1"/>
  <c r="G731" i="10"/>
  <c r="E128" i="14"/>
  <c r="E127" i="14" s="1"/>
  <c r="F127" i="14" s="1"/>
  <c r="I1193" i="10"/>
  <c r="G47" i="10"/>
  <c r="G46" i="10" s="1"/>
  <c r="G45" i="10" s="1"/>
  <c r="G44" i="10" s="1"/>
  <c r="G698" i="10"/>
  <c r="G1122" i="10"/>
  <c r="G1121" i="10" s="1"/>
  <c r="G1120" i="10" s="1"/>
  <c r="G1119" i="10" s="1"/>
  <c r="G1118" i="10" s="1"/>
  <c r="G1117" i="10" s="1"/>
  <c r="G463" i="10"/>
  <c r="G454" i="10" s="1"/>
  <c r="G453" i="10" s="1"/>
  <c r="G452" i="10" s="1"/>
  <c r="G952" i="10"/>
  <c r="G951" i="10" s="1"/>
  <c r="G950" i="10" s="1"/>
  <c r="G949" i="10" s="1"/>
  <c r="G198" i="10"/>
  <c r="G197" i="10" s="1"/>
  <c r="G726" i="10"/>
  <c r="G756" i="10"/>
  <c r="G807" i="10"/>
  <c r="G806" i="10" s="1"/>
  <c r="G805" i="10" s="1"/>
  <c r="G804" i="10" s="1"/>
  <c r="G796" i="10" s="1"/>
  <c r="G39" i="10"/>
  <c r="G38" i="10" s="1"/>
  <c r="G37" i="10" s="1"/>
  <c r="G36" i="10" s="1"/>
  <c r="G152" i="10"/>
  <c r="G629" i="10"/>
  <c r="J939" i="12"/>
  <c r="G119" i="10"/>
  <c r="G1287" i="10"/>
  <c r="G136" i="10"/>
  <c r="G143" i="10"/>
  <c r="G217" i="10"/>
  <c r="G216" i="10" s="1"/>
  <c r="G247" i="10"/>
  <c r="G246" i="10" s="1"/>
  <c r="G245" i="10" s="1"/>
  <c r="G306" i="10"/>
  <c r="G305" i="10" s="1"/>
  <c r="G304" i="10" s="1"/>
  <c r="G391" i="10"/>
  <c r="G499" i="10"/>
  <c r="G539" i="10"/>
  <c r="G534" i="10" s="1"/>
  <c r="G533" i="10" s="1"/>
  <c r="G667" i="10"/>
  <c r="G666" i="10" s="1"/>
  <c r="G775" i="10"/>
  <c r="G789" i="10"/>
  <c r="G963" i="10"/>
  <c r="G1020" i="10"/>
  <c r="G1019" i="10" s="1"/>
  <c r="G1018" i="10" s="1"/>
  <c r="G1011" i="10" s="1"/>
  <c r="G1079" i="10"/>
  <c r="G1075" i="10" s="1"/>
  <c r="G1074" i="10" s="1"/>
  <c r="G1073" i="10" s="1"/>
  <c r="G1072" i="10" s="1"/>
  <c r="G1177" i="10"/>
  <c r="G1256" i="10"/>
  <c r="G1255" i="10" s="1"/>
  <c r="G1254" i="10" s="1"/>
  <c r="G1368" i="10"/>
  <c r="G1367" i="10" s="1"/>
  <c r="G1366" i="10" s="1"/>
  <c r="G1365" i="10" s="1"/>
  <c r="G1364" i="10" s="1"/>
  <c r="G1363" i="10" s="1"/>
  <c r="G1463" i="10"/>
  <c r="G1462" i="10" s="1"/>
  <c r="G1461" i="10" s="1"/>
  <c r="G1460" i="10" s="1"/>
  <c r="G1451" i="10" s="1"/>
  <c r="G104" i="10"/>
  <c r="G103" i="10" s="1"/>
  <c r="G274" i="10"/>
  <c r="G55" i="10"/>
  <c r="G54" i="10" s="1"/>
  <c r="G53" i="10" s="1"/>
  <c r="G52" i="10" s="1"/>
  <c r="G71" i="10"/>
  <c r="G70" i="10" s="1"/>
  <c r="G69" i="10" s="1"/>
  <c r="G68" i="10" s="1"/>
  <c r="G86" i="10"/>
  <c r="G85" i="10" s="1"/>
  <c r="G84" i="10" s="1"/>
  <c r="G339" i="10"/>
  <c r="G338" i="10" s="1"/>
  <c r="G332" i="10" s="1"/>
  <c r="G331" i="10" s="1"/>
  <c r="G526" i="10"/>
  <c r="G525" i="10" s="1"/>
  <c r="G524" i="10" s="1"/>
  <c r="G565" i="10"/>
  <c r="G564" i="10" s="1"/>
  <c r="G768" i="10"/>
  <c r="G782" i="10"/>
  <c r="G904" i="10"/>
  <c r="G903" i="10" s="1"/>
  <c r="G902" i="10" s="1"/>
  <c r="G895" i="10" s="1"/>
  <c r="G349" i="10"/>
  <c r="G348" i="10" s="1"/>
  <c r="G347" i="10" s="1"/>
  <c r="G346" i="10" s="1"/>
  <c r="G362" i="10"/>
  <c r="G361" i="10" s="1"/>
  <c r="G360" i="10" s="1"/>
  <c r="G378" i="10"/>
  <c r="G403" i="10"/>
  <c r="G483" i="10"/>
  <c r="G615" i="10"/>
  <c r="G1106" i="10"/>
  <c r="G1102" i="10" s="1"/>
  <c r="G1101" i="10" s="1"/>
  <c r="G1100" i="10" s="1"/>
  <c r="G1099" i="10" s="1"/>
  <c r="G1398" i="10"/>
  <c r="G1437" i="10"/>
  <c r="G1436" i="10" s="1"/>
  <c r="H1192" i="10"/>
  <c r="I1192" i="10" s="1"/>
  <c r="B12" i="2"/>
  <c r="B62" i="2" s="1"/>
  <c r="B67" i="1"/>
  <c r="H816" i="13"/>
  <c r="I816" i="13" s="1"/>
  <c r="E145" i="15"/>
  <c r="N816" i="13"/>
  <c r="N815" i="13" s="1"/>
  <c r="N808" i="13" s="1"/>
  <c r="H144" i="15"/>
  <c r="I818" i="13"/>
  <c r="J672" i="11"/>
  <c r="O817" i="13"/>
  <c r="H145" i="15"/>
  <c r="E143" i="15"/>
  <c r="I817" i="13"/>
  <c r="O819" i="13"/>
  <c r="O25" i="9"/>
  <c r="O10" i="9"/>
  <c r="J25" i="9"/>
  <c r="J10" i="9"/>
  <c r="J10" i="8"/>
  <c r="E62" i="2"/>
  <c r="J480" i="11"/>
  <c r="J479" i="11" s="1"/>
  <c r="J470" i="11" s="1"/>
  <c r="J469" i="11" s="1"/>
  <c r="J70" i="11"/>
  <c r="J69" i="11" s="1"/>
  <c r="J68" i="11" s="1"/>
  <c r="J67" i="11" s="1"/>
  <c r="J21" i="11" s="1"/>
  <c r="J537" i="11"/>
  <c r="J1170" i="11"/>
  <c r="J713" i="11"/>
  <c r="J712" i="11" s="1"/>
  <c r="J705" i="11" s="1"/>
  <c r="J921" i="11"/>
  <c r="J920" i="11" s="1"/>
  <c r="J919" i="11" s="1"/>
  <c r="J918" i="11" s="1"/>
  <c r="J319" i="11"/>
  <c r="J318" i="11" s="1"/>
  <c r="J317" i="11" s="1"/>
  <c r="J951" i="11"/>
  <c r="J950" i="11" s="1"/>
  <c r="J949" i="11" s="1"/>
  <c r="J948" i="11" s="1"/>
  <c r="G480" i="11"/>
  <c r="G479" i="11" s="1"/>
  <c r="G470" i="11" s="1"/>
  <c r="G469" i="11" s="1"/>
  <c r="G698" i="11"/>
  <c r="G697" i="11" s="1"/>
  <c r="G696" i="11" s="1"/>
  <c r="G689" i="11" s="1"/>
  <c r="G537" i="11"/>
  <c r="G553" i="11"/>
  <c r="G578" i="10"/>
  <c r="G577" i="10" s="1"/>
  <c r="G163" i="10"/>
  <c r="G157" i="10" s="1"/>
  <c r="G843" i="10"/>
  <c r="G842" i="10" s="1"/>
  <c r="G829" i="10" s="1"/>
  <c r="G971" i="10"/>
  <c r="G970" i="10" s="1"/>
  <c r="G1262" i="10"/>
  <c r="G1261" i="10" s="1"/>
  <c r="G1029" i="10"/>
  <c r="G1028" i="10" s="1"/>
  <c r="G1027" i="10" s="1"/>
  <c r="G190" i="10"/>
  <c r="G189" i="10" s="1"/>
  <c r="G188" i="10" s="1"/>
  <c r="G749" i="10"/>
  <c r="G853" i="10"/>
  <c r="G852" i="10" s="1"/>
  <c r="G868" i="10"/>
  <c r="G863" i="10" s="1"/>
  <c r="G862" i="10" s="1"/>
  <c r="G1330" i="10"/>
  <c r="G1329" i="10"/>
  <c r="G1167" i="10"/>
  <c r="G1166" i="10" s="1"/>
  <c r="G1004" i="10"/>
  <c r="G1003" i="10" s="1"/>
  <c r="G1002" i="10" s="1"/>
  <c r="G1001" i="10" s="1"/>
  <c r="G1144" i="10"/>
  <c r="G1353" i="10"/>
  <c r="G1347" i="10" s="1"/>
  <c r="H608" i="10"/>
  <c r="J688" i="11" l="1"/>
  <c r="J246" i="11"/>
  <c r="G218" i="11"/>
  <c r="G217" i="11" s="1"/>
  <c r="G216" i="11" s="1"/>
  <c r="G1035" i="11"/>
  <c r="G1034" i="11" s="1"/>
  <c r="G1033" i="11" s="1"/>
  <c r="G1007" i="11" s="1"/>
  <c r="G965" i="11" s="1"/>
  <c r="G1143" i="10"/>
  <c r="G1142" i="10" s="1"/>
  <c r="G1141" i="10" s="1"/>
  <c r="G1132" i="10" s="1"/>
  <c r="G1397" i="10"/>
  <c r="G1396" i="10" s="1"/>
  <c r="G1395" i="10" s="1"/>
  <c r="G1388" i="10" s="1"/>
  <c r="G1387" i="10" s="1"/>
  <c r="G1435" i="10"/>
  <c r="G1427" i="10" s="1"/>
  <c r="G1426" i="10" s="1"/>
  <c r="G1408" i="10" s="1"/>
  <c r="G76" i="10"/>
  <c r="G1230" i="10"/>
  <c r="G1229" i="10" s="1"/>
  <c r="G1228" i="10" s="1"/>
  <c r="G628" i="10"/>
  <c r="G627" i="10" s="1"/>
  <c r="G626" i="10" s="1"/>
  <c r="G1161" i="10"/>
  <c r="G1160" i="10" s="1"/>
  <c r="G1159" i="10" s="1"/>
  <c r="G1158" i="10" s="1"/>
  <c r="G1317" i="10"/>
  <c r="G215" i="10"/>
  <c r="G671" i="11"/>
  <c r="G670" i="11" s="1"/>
  <c r="G669" i="11" s="1"/>
  <c r="G661" i="11" s="1"/>
  <c r="G477" i="10"/>
  <c r="G476" i="10" s="1"/>
  <c r="G475" i="10" s="1"/>
  <c r="G474" i="10" s="1"/>
  <c r="G1170" i="11"/>
  <c r="G1169" i="11" s="1"/>
  <c r="G1168" i="11" s="1"/>
  <c r="G1145" i="11" s="1"/>
  <c r="J176" i="11"/>
  <c r="J175" i="11" s="1"/>
  <c r="J218" i="11"/>
  <c r="J217" i="11" s="1"/>
  <c r="J216" i="11" s="1"/>
  <c r="G1302" i="10"/>
  <c r="G1301" i="10" s="1"/>
  <c r="G1300" i="10" s="1"/>
  <c r="G1286" i="10" s="1"/>
  <c r="G13" i="11"/>
  <c r="G764" i="10"/>
  <c r="G763" i="10" s="1"/>
  <c r="G762" i="10" s="1"/>
  <c r="G761" i="10" s="1"/>
  <c r="G129" i="10"/>
  <c r="G128" i="10" s="1"/>
  <c r="G118" i="10" s="1"/>
  <c r="G111" i="10" s="1"/>
  <c r="G1253" i="10"/>
  <c r="G1252" i="10" s="1"/>
  <c r="F128" i="14"/>
  <c r="G1362" i="10"/>
  <c r="G1086" i="10"/>
  <c r="G214" i="10"/>
  <c r="G176" i="11"/>
  <c r="G175" i="11" s="1"/>
  <c r="G246" i="11"/>
  <c r="J1035" i="11"/>
  <c r="J1034" i="11" s="1"/>
  <c r="J1033" i="11" s="1"/>
  <c r="J1007" i="11" s="1"/>
  <c r="J997" i="11"/>
  <c r="J992" i="11" s="1"/>
  <c r="J991" i="11" s="1"/>
  <c r="J990" i="11" s="1"/>
  <c r="J981" i="11" s="1"/>
  <c r="G536" i="11"/>
  <c r="J13" i="11"/>
  <c r="H815" i="13"/>
  <c r="H808" i="13" s="1"/>
  <c r="I115" i="15"/>
  <c r="H114" i="15"/>
  <c r="I114" i="15" s="1"/>
  <c r="J570" i="11"/>
  <c r="J569" i="11" s="1"/>
  <c r="O793" i="13"/>
  <c r="Q794" i="13"/>
  <c r="G319" i="11"/>
  <c r="G318" i="11" s="1"/>
  <c r="G317" i="11" s="1"/>
  <c r="J1169" i="11"/>
  <c r="J1168" i="11" s="1"/>
  <c r="J1145" i="11" s="1"/>
  <c r="E114" i="15"/>
  <c r="F114" i="15" s="1"/>
  <c r="F115" i="15"/>
  <c r="K794" i="13"/>
  <c r="I793" i="13"/>
  <c r="K793" i="13" s="1"/>
  <c r="J536" i="11"/>
  <c r="G286" i="10"/>
  <c r="G1186" i="10"/>
  <c r="G1185" i="10" s="1"/>
  <c r="G1184" i="10" s="1"/>
  <c r="G697" i="10"/>
  <c r="G696" i="10" s="1"/>
  <c r="G665" i="10" s="1"/>
  <c r="G942" i="10"/>
  <c r="G934" i="10" s="1"/>
  <c r="G371" i="10"/>
  <c r="G370" i="10" s="1"/>
  <c r="G369" i="10" s="1"/>
  <c r="G359" i="10" s="1"/>
  <c r="G256" i="10"/>
  <c r="G255" i="10" s="1"/>
  <c r="G254" i="10" s="1"/>
  <c r="G558" i="10"/>
  <c r="G557" i="10" s="1"/>
  <c r="G602" i="10"/>
  <c r="G601" i="10" s="1"/>
  <c r="G600" i="10" s="1"/>
  <c r="G517" i="10"/>
  <c r="G20" i="10"/>
  <c r="G1000" i="10"/>
  <c r="H142" i="15"/>
  <c r="H141" i="15" s="1"/>
  <c r="H129" i="15" s="1"/>
  <c r="O816" i="13"/>
  <c r="E142" i="15"/>
  <c r="E141" i="15" s="1"/>
  <c r="E129" i="15" s="1"/>
  <c r="J671" i="11"/>
  <c r="J670" i="11" s="1"/>
  <c r="J669" i="11" s="1"/>
  <c r="J661" i="11" s="1"/>
  <c r="O815" i="13"/>
  <c r="O808" i="13" s="1"/>
  <c r="G688" i="11"/>
  <c r="G570" i="11"/>
  <c r="G569" i="11" s="1"/>
  <c r="G851" i="10"/>
  <c r="G828" i="10" s="1"/>
  <c r="H458" i="10"/>
  <c r="H1033" i="10"/>
  <c r="H1049" i="10"/>
  <c r="G174" i="11" l="1"/>
  <c r="G213" i="10"/>
  <c r="J174" i="11"/>
  <c r="G535" i="11"/>
  <c r="G501" i="11" s="1"/>
  <c r="G439" i="11" s="1"/>
  <c r="J535" i="11"/>
  <c r="J501" i="11" s="1"/>
  <c r="J439" i="11" s="1"/>
  <c r="J965" i="11"/>
  <c r="G1157" i="10"/>
  <c r="G1116" i="10" s="1"/>
  <c r="I815" i="13"/>
  <c r="I808" i="13" s="1"/>
  <c r="Q793" i="13"/>
  <c r="G285" i="10"/>
  <c r="G599" i="10"/>
  <c r="G516" i="10" s="1"/>
  <c r="G12" i="10"/>
  <c r="G12" i="11" l="1"/>
  <c r="G1338" i="11" s="1"/>
  <c r="J12" i="11"/>
  <c r="J1338" i="11" s="1"/>
  <c r="G11" i="10"/>
  <c r="G1480" i="10" s="1"/>
  <c r="H955" i="15"/>
  <c r="H954" i="15" s="1"/>
  <c r="H956" i="15"/>
  <c r="H949" i="15"/>
  <c r="H948" i="15" s="1"/>
  <c r="H947" i="15" s="1"/>
  <c r="H939" i="15"/>
  <c r="H938" i="15" s="1"/>
  <c r="H937" i="15" s="1"/>
  <c r="H936" i="15"/>
  <c r="H935" i="15" s="1"/>
  <c r="H934" i="15" s="1"/>
  <c r="H933" i="15"/>
  <c r="H932" i="15" s="1"/>
  <c r="H931" i="15" s="1"/>
  <c r="H550" i="15"/>
  <c r="H549" i="15" s="1"/>
  <c r="H548" i="15" s="1"/>
  <c r="H540" i="15"/>
  <c r="H539" i="15" s="1"/>
  <c r="H538" i="15" s="1"/>
  <c r="H930" i="15" l="1"/>
  <c r="H99" i="11"/>
  <c r="H98" i="11" s="1"/>
  <c r="H97" i="11" s="1"/>
  <c r="H96" i="11" s="1"/>
  <c r="H95" i="11" s="1"/>
  <c r="K943" i="11"/>
  <c r="N115" i="13" s="1"/>
  <c r="N114" i="13" s="1"/>
  <c r="N113" i="13" s="1"/>
  <c r="N112" i="13" s="1"/>
  <c r="N111" i="13" s="1"/>
  <c r="N110" i="13" s="1"/>
  <c r="K20" i="11"/>
  <c r="N19" i="13" s="1"/>
  <c r="N18" i="13" s="1"/>
  <c r="N17" i="13" s="1"/>
  <c r="N16" i="13" s="1"/>
  <c r="N15" i="13" s="1"/>
  <c r="N14" i="13" s="1"/>
  <c r="N13" i="13" s="1"/>
  <c r="K964" i="11"/>
  <c r="N133" i="13" s="1"/>
  <c r="N132" i="13" s="1"/>
  <c r="N131" i="13" s="1"/>
  <c r="K957" i="11"/>
  <c r="N126" i="13" s="1"/>
  <c r="N125" i="13" s="1"/>
  <c r="N124" i="13" s="1"/>
  <c r="K927" i="11"/>
  <c r="N27" i="13" s="1"/>
  <c r="N26" i="13" s="1"/>
  <c r="N25" i="13" s="1"/>
  <c r="K930" i="11"/>
  <c r="N30" i="13" s="1"/>
  <c r="N29" i="13" s="1"/>
  <c r="N28" i="13" s="1"/>
  <c r="K924" i="11"/>
  <c r="N24" i="13" s="1"/>
  <c r="N23" i="13" s="1"/>
  <c r="N22" i="13" s="1"/>
  <c r="K19" i="11" l="1"/>
  <c r="K18" i="11" s="1"/>
  <c r="K17" i="11" s="1"/>
  <c r="K16" i="11" s="1"/>
  <c r="K15" i="11" s="1"/>
  <c r="K14" i="11" s="1"/>
  <c r="K923" i="11"/>
  <c r="K922" i="11" s="1"/>
  <c r="K963" i="11"/>
  <c r="K962" i="11" s="1"/>
  <c r="K926" i="11"/>
  <c r="K925" i="11" s="1"/>
  <c r="N21" i="13"/>
  <c r="N20" i="13" s="1"/>
  <c r="N120" i="13"/>
  <c r="N109" i="13" s="1"/>
  <c r="K956" i="11"/>
  <c r="K955" i="11" s="1"/>
  <c r="K951" i="11" s="1"/>
  <c r="K950" i="11" s="1"/>
  <c r="K949" i="11" s="1"/>
  <c r="K942" i="11"/>
  <c r="K941" i="11" s="1"/>
  <c r="K940" i="11" s="1"/>
  <c r="K939" i="11" s="1"/>
  <c r="K938" i="11" s="1"/>
  <c r="K937" i="11" s="1"/>
  <c r="K936" i="11" s="1"/>
  <c r="K929" i="11"/>
  <c r="K928" i="11" s="1"/>
  <c r="I858" i="12"/>
  <c r="I857" i="12" s="1"/>
  <c r="K859" i="12"/>
  <c r="H859" i="12"/>
  <c r="H858" i="12" s="1"/>
  <c r="H802" i="10"/>
  <c r="I803" i="10"/>
  <c r="K921" i="11" l="1"/>
  <c r="K920" i="11" s="1"/>
  <c r="K919" i="11" s="1"/>
  <c r="K858" i="12"/>
  <c r="J858" i="12"/>
  <c r="E477" i="14"/>
  <c r="E476" i="14" s="1"/>
  <c r="E475" i="14" s="1"/>
  <c r="J859" i="12"/>
  <c r="I802" i="10"/>
  <c r="H801" i="10"/>
  <c r="K857" i="12"/>
  <c r="I856" i="12"/>
  <c r="H857" i="12"/>
  <c r="H856" i="12" s="1"/>
  <c r="E471" i="14" l="1"/>
  <c r="E470" i="14" s="1"/>
  <c r="F470" i="14" s="1"/>
  <c r="F475" i="14"/>
  <c r="F476" i="14"/>
  <c r="F477" i="14"/>
  <c r="H800" i="10"/>
  <c r="I801" i="10"/>
  <c r="J857" i="12"/>
  <c r="I855" i="12"/>
  <c r="K856" i="12"/>
  <c r="H855" i="12"/>
  <c r="J856" i="12"/>
  <c r="H523" i="10"/>
  <c r="H741" i="10"/>
  <c r="K613" i="11"/>
  <c r="N672" i="13" s="1"/>
  <c r="H613" i="11"/>
  <c r="H672" i="13" s="1"/>
  <c r="H671" i="13" s="1"/>
  <c r="K594" i="11"/>
  <c r="K573" i="11"/>
  <c r="H594" i="11"/>
  <c r="H653" i="13" s="1"/>
  <c r="H652" i="13" s="1"/>
  <c r="H573" i="11"/>
  <c r="O1096" i="13"/>
  <c r="O1095" i="13" s="1"/>
  <c r="I1096" i="13"/>
  <c r="I1095" i="13" s="1"/>
  <c r="O1183" i="13"/>
  <c r="Q1184" i="13"/>
  <c r="N1184" i="13"/>
  <c r="N1183" i="13" s="1"/>
  <c r="P1183" i="13" s="1"/>
  <c r="I1183" i="13"/>
  <c r="K1184" i="13"/>
  <c r="H1184" i="13"/>
  <c r="H1183" i="13" s="1"/>
  <c r="J1183" i="13" s="1"/>
  <c r="O671" i="13"/>
  <c r="O670" i="13" s="1"/>
  <c r="Q672" i="13"/>
  <c r="I671" i="13"/>
  <c r="I670" i="13" s="1"/>
  <c r="K672" i="13"/>
  <c r="I652" i="13"/>
  <c r="O652" i="13"/>
  <c r="O651" i="13" s="1"/>
  <c r="Q653" i="13"/>
  <c r="N653" i="13"/>
  <c r="N652" i="13" s="1"/>
  <c r="K653" i="13"/>
  <c r="I631" i="13"/>
  <c r="O631" i="13"/>
  <c r="Q631" i="13" s="1"/>
  <c r="Q632" i="13"/>
  <c r="N632" i="13"/>
  <c r="N631" i="13" s="1"/>
  <c r="O623" i="13"/>
  <c r="Q623" i="13" s="1"/>
  <c r="Q624" i="13"/>
  <c r="N624" i="13"/>
  <c r="N623" i="13" s="1"/>
  <c r="I623" i="13"/>
  <c r="K623" i="13" s="1"/>
  <c r="K624" i="13"/>
  <c r="H624" i="13"/>
  <c r="H623" i="13" s="1"/>
  <c r="J671" i="13" l="1"/>
  <c r="H670" i="13"/>
  <c r="P652" i="13"/>
  <c r="N651" i="13"/>
  <c r="J652" i="13"/>
  <c r="H651" i="13"/>
  <c r="K652" i="13"/>
  <c r="I651" i="13"/>
  <c r="P631" i="13"/>
  <c r="N630" i="13"/>
  <c r="J623" i="13"/>
  <c r="H622" i="13"/>
  <c r="P623" i="13"/>
  <c r="N622" i="13"/>
  <c r="F471" i="14"/>
  <c r="Q671" i="13"/>
  <c r="K1183" i="13"/>
  <c r="Q1183" i="13"/>
  <c r="K671" i="13"/>
  <c r="Q652" i="13"/>
  <c r="P1184" i="13"/>
  <c r="E830" i="15"/>
  <c r="E829" i="15" s="1"/>
  <c r="J1184" i="13"/>
  <c r="H830" i="15"/>
  <c r="H829" i="15" s="1"/>
  <c r="H799" i="10"/>
  <c r="I800" i="10"/>
  <c r="J855" i="12"/>
  <c r="H854" i="12"/>
  <c r="K855" i="12"/>
  <c r="I854" i="12"/>
  <c r="H878" i="15"/>
  <c r="N671" i="13"/>
  <c r="P672" i="13"/>
  <c r="E878" i="15"/>
  <c r="J672" i="13"/>
  <c r="H859" i="15"/>
  <c r="H858" i="15" s="1"/>
  <c r="H838" i="15"/>
  <c r="H837" i="15" s="1"/>
  <c r="E859" i="15"/>
  <c r="E858" i="15" s="1"/>
  <c r="J653" i="13"/>
  <c r="P653" i="13"/>
  <c r="P624" i="13"/>
  <c r="J624" i="13"/>
  <c r="P632" i="13"/>
  <c r="H138" i="10"/>
  <c r="H145" i="10"/>
  <c r="H469" i="10"/>
  <c r="H639" i="10"/>
  <c r="H123" i="10"/>
  <c r="H380" i="10"/>
  <c r="H154" i="10"/>
  <c r="H784" i="10"/>
  <c r="H791" i="10"/>
  <c r="H907" i="10"/>
  <c r="H249" i="10"/>
  <c r="H1094" i="10"/>
  <c r="H1108" i="10"/>
  <c r="H1081" i="10"/>
  <c r="H88" i="10"/>
  <c r="F858" i="15" l="1"/>
  <c r="E857" i="15"/>
  <c r="I858" i="15"/>
  <c r="H857" i="15"/>
  <c r="I837" i="15"/>
  <c r="H836" i="15"/>
  <c r="I829" i="15"/>
  <c r="H828" i="15"/>
  <c r="F829" i="15"/>
  <c r="E828" i="15"/>
  <c r="P671" i="13"/>
  <c r="N670" i="13"/>
  <c r="I859" i="15"/>
  <c r="F859" i="15"/>
  <c r="F830" i="15"/>
  <c r="I830" i="15"/>
  <c r="I838" i="15"/>
  <c r="H798" i="10"/>
  <c r="I799" i="10"/>
  <c r="H853" i="12"/>
  <c r="J853" i="12" s="1"/>
  <c r="J854" i="12"/>
  <c r="I853" i="12"/>
  <c r="K853" i="12" s="1"/>
  <c r="K854" i="12"/>
  <c r="I878" i="15"/>
  <c r="H877" i="15"/>
  <c r="E877" i="15"/>
  <c r="F878" i="15"/>
  <c r="I798" i="10" l="1"/>
  <c r="H797" i="10"/>
  <c r="I797" i="10" s="1"/>
  <c r="I877" i="15"/>
  <c r="F877" i="15"/>
  <c r="K859" i="11" l="1"/>
  <c r="N1125" i="13" s="1"/>
  <c r="H859" i="11"/>
  <c r="H1125" i="13" s="1"/>
  <c r="K717" i="11"/>
  <c r="K716" i="11" s="1"/>
  <c r="K715" i="11" s="1"/>
  <c r="K714" i="11" s="1"/>
  <c r="H717" i="11"/>
  <c r="H844" i="13" s="1"/>
  <c r="E917" i="15" s="1"/>
  <c r="E916" i="15" s="1"/>
  <c r="E915" i="15" s="1"/>
  <c r="E914" i="15" s="1"/>
  <c r="N781" i="13"/>
  <c r="H910" i="15" s="1"/>
  <c r="H909" i="15" s="1"/>
  <c r="H908" i="15" s="1"/>
  <c r="I833" i="15"/>
  <c r="H832" i="15"/>
  <c r="H831" i="15" s="1"/>
  <c r="I831" i="15" s="1"/>
  <c r="I626" i="13"/>
  <c r="I625" i="13" s="1"/>
  <c r="O626" i="13"/>
  <c r="O625" i="13" s="1"/>
  <c r="Q627" i="13"/>
  <c r="N627" i="13"/>
  <c r="P627" i="13" s="1"/>
  <c r="K627" i="13"/>
  <c r="H627" i="13"/>
  <c r="J627" i="13" s="1"/>
  <c r="G57" i="2"/>
  <c r="D57" i="2"/>
  <c r="C57" i="2"/>
  <c r="K567" i="11"/>
  <c r="K566" i="11" s="1"/>
  <c r="L566" i="11" s="1"/>
  <c r="L568" i="11"/>
  <c r="H567" i="11"/>
  <c r="H566" i="11" s="1"/>
  <c r="I566" i="11" s="1"/>
  <c r="I568" i="11"/>
  <c r="I832" i="15" l="1"/>
  <c r="N844" i="13"/>
  <c r="H917" i="15" s="1"/>
  <c r="H916" i="15" s="1"/>
  <c r="H915" i="15" s="1"/>
  <c r="H914" i="15" s="1"/>
  <c r="H716" i="11"/>
  <c r="H715" i="11" s="1"/>
  <c r="H714" i="11" s="1"/>
  <c r="E926" i="15"/>
  <c r="E925" i="15" s="1"/>
  <c r="E924" i="15" s="1"/>
  <c r="E923" i="15" s="1"/>
  <c r="E922" i="15" s="1"/>
  <c r="H1124" i="13"/>
  <c r="H1123" i="13" s="1"/>
  <c r="H1122" i="13" s="1"/>
  <c r="H1121" i="13" s="1"/>
  <c r="H1120" i="13" s="1"/>
  <c r="H1096" i="13" s="1"/>
  <c r="H1095" i="13" s="1"/>
  <c r="H858" i="11"/>
  <c r="H857" i="11" s="1"/>
  <c r="H856" i="11" s="1"/>
  <c r="H855" i="11" s="1"/>
  <c r="H854" i="11" s="1"/>
  <c r="H853" i="11" s="1"/>
  <c r="H852" i="11" s="1"/>
  <c r="H926" i="15"/>
  <c r="H925" i="15" s="1"/>
  <c r="H924" i="15" s="1"/>
  <c r="H923" i="15" s="1"/>
  <c r="H922" i="15" s="1"/>
  <c r="N1124" i="13"/>
  <c r="N1123" i="13" s="1"/>
  <c r="N1122" i="13" s="1"/>
  <c r="N1121" i="13" s="1"/>
  <c r="N1120" i="13" s="1"/>
  <c r="N1096" i="13" s="1"/>
  <c r="N1095" i="13" s="1"/>
  <c r="K858" i="11"/>
  <c r="K857" i="11" s="1"/>
  <c r="K856" i="11" s="1"/>
  <c r="K855" i="11" s="1"/>
  <c r="K854" i="11" s="1"/>
  <c r="K853" i="11" s="1"/>
  <c r="K852" i="11" s="1"/>
  <c r="Q626" i="13"/>
  <c r="N626" i="13"/>
  <c r="P626" i="13" s="1"/>
  <c r="N780" i="13"/>
  <c r="N779" i="13" s="1"/>
  <c r="N778" i="13" s="1"/>
  <c r="H843" i="13"/>
  <c r="H842" i="13" s="1"/>
  <c r="H841" i="13" s="1"/>
  <c r="H626" i="13"/>
  <c r="H625" i="13" s="1"/>
  <c r="E833" i="15"/>
  <c r="K625" i="13"/>
  <c r="K626" i="13"/>
  <c r="Q625" i="13"/>
  <c r="L567" i="11"/>
  <c r="I567" i="11"/>
  <c r="H368" i="10"/>
  <c r="H43" i="12"/>
  <c r="I43" i="12" s="1"/>
  <c r="H31" i="10"/>
  <c r="I31" i="10" s="1"/>
  <c r="I32" i="10"/>
  <c r="H30" i="10"/>
  <c r="H929" i="10"/>
  <c r="H509" i="10"/>
  <c r="N843" i="13" l="1"/>
  <c r="N842" i="13" s="1"/>
  <c r="N841" i="13" s="1"/>
  <c r="J626" i="13"/>
  <c r="I42" i="12"/>
  <c r="K42" i="12" s="1"/>
  <c r="K43" i="12"/>
  <c r="J43" i="12"/>
  <c r="H42" i="12"/>
  <c r="J42" i="12" s="1"/>
  <c r="E74" i="14"/>
  <c r="N625" i="13"/>
  <c r="P625" i="13" s="1"/>
  <c r="E832" i="15"/>
  <c r="F833" i="15"/>
  <c r="J625" i="13"/>
  <c r="H117" i="10"/>
  <c r="H19" i="10"/>
  <c r="H1078" i="10"/>
  <c r="F74" i="14" l="1"/>
  <c r="E73" i="14"/>
  <c r="F73" i="14" s="1"/>
  <c r="F832" i="15"/>
  <c r="E831" i="15"/>
  <c r="I970" i="12"/>
  <c r="I969" i="12" s="1"/>
  <c r="K971" i="12"/>
  <c r="H971" i="12"/>
  <c r="H970" i="12" s="1"/>
  <c r="H969" i="12" s="1"/>
  <c r="H1224" i="10"/>
  <c r="H1223" i="10" s="1"/>
  <c r="I1225" i="10"/>
  <c r="I911" i="12"/>
  <c r="I910" i="12" s="1"/>
  <c r="K912" i="12"/>
  <c r="H912" i="12"/>
  <c r="H911" i="12" s="1"/>
  <c r="H1182" i="10"/>
  <c r="H1181" i="10" s="1"/>
  <c r="I1183" i="10"/>
  <c r="J911" i="12" l="1"/>
  <c r="J970" i="12"/>
  <c r="K911" i="12"/>
  <c r="K970" i="12"/>
  <c r="I1181" i="10"/>
  <c r="I1223" i="10"/>
  <c r="I1182" i="10"/>
  <c r="I1224" i="10"/>
  <c r="F831" i="15"/>
  <c r="J971" i="12"/>
  <c r="E165" i="14"/>
  <c r="K969" i="12"/>
  <c r="J912" i="12"/>
  <c r="E118" i="14"/>
  <c r="K910" i="12"/>
  <c r="H910" i="12"/>
  <c r="J910" i="12" s="1"/>
  <c r="H277" i="10"/>
  <c r="H260" i="10"/>
  <c r="J969" i="12" l="1"/>
  <c r="E164" i="14"/>
  <c r="E163" i="14" s="1"/>
  <c r="F165" i="14"/>
  <c r="E117" i="14"/>
  <c r="F118" i="14"/>
  <c r="F164" i="14" l="1"/>
  <c r="E116" i="14"/>
  <c r="F116" i="14" s="1"/>
  <c r="F117" i="14"/>
  <c r="F163" i="14" l="1"/>
  <c r="H358" i="10"/>
  <c r="I1253" i="12"/>
  <c r="I1252" i="12" s="1"/>
  <c r="K1254" i="12"/>
  <c r="H1254" i="12"/>
  <c r="H1253" i="12" s="1"/>
  <c r="J1253" i="12" s="1"/>
  <c r="H995" i="10"/>
  <c r="H994" i="10" s="1"/>
  <c r="H993" i="10" s="1"/>
  <c r="I996" i="10"/>
  <c r="H923" i="10"/>
  <c r="H874" i="10"/>
  <c r="H867" i="10"/>
  <c r="H857" i="10"/>
  <c r="H835" i="10"/>
  <c r="H132" i="10"/>
  <c r="H664" i="10"/>
  <c r="E1035" i="14" l="1"/>
  <c r="E1034" i="14" s="1"/>
  <c r="F1034" i="14" s="1"/>
  <c r="J1254" i="12"/>
  <c r="K1253" i="12"/>
  <c r="K1252" i="12"/>
  <c r="I1251" i="12"/>
  <c r="H1252" i="12"/>
  <c r="I994" i="10"/>
  <c r="I995" i="10"/>
  <c r="H1251" i="12" l="1"/>
  <c r="H1250" i="12" s="1"/>
  <c r="F1035" i="14"/>
  <c r="E1033" i="14"/>
  <c r="J1252" i="12"/>
  <c r="I1250" i="12"/>
  <c r="K1251" i="12"/>
  <c r="I993" i="10"/>
  <c r="H992" i="10"/>
  <c r="J1251" i="12" l="1"/>
  <c r="H1249" i="12"/>
  <c r="J1249" i="12" s="1"/>
  <c r="J1250" i="12"/>
  <c r="F1033" i="14"/>
  <c r="E1032" i="14"/>
  <c r="F1032" i="14" s="1"/>
  <c r="I1249" i="12"/>
  <c r="K1249" i="12" s="1"/>
  <c r="K1250" i="12"/>
  <c r="H991" i="10"/>
  <c r="I992" i="10"/>
  <c r="E1031" i="14" l="1"/>
  <c r="F1031" i="14" s="1"/>
  <c r="H990" i="10"/>
  <c r="I991" i="10"/>
  <c r="H989" i="10" l="1"/>
  <c r="I989" i="10" s="1"/>
  <c r="I990" i="10"/>
  <c r="H1450" i="10" l="1"/>
  <c r="H1449" i="10"/>
  <c r="H1443" i="10"/>
  <c r="H1370" i="10"/>
  <c r="H1400" i="10"/>
  <c r="H1402" i="10"/>
  <c r="H1325" i="10"/>
  <c r="H1316" i="10"/>
  <c r="H147" i="10"/>
  <c r="H1083" i="10"/>
  <c r="H140" i="10"/>
  <c r="H156" i="10"/>
  <c r="H581" i="10"/>
  <c r="H374" i="10"/>
  <c r="H705" i="10"/>
  <c r="H1265" i="10"/>
  <c r="I607" i="12"/>
  <c r="K607" i="12" s="1"/>
  <c r="K608" i="12"/>
  <c r="H608" i="12"/>
  <c r="H607" i="12" s="1"/>
  <c r="J607" i="12" s="1"/>
  <c r="H551" i="10"/>
  <c r="I552" i="10"/>
  <c r="H200" i="10"/>
  <c r="I551" i="10" l="1"/>
  <c r="J608" i="12"/>
  <c r="H228" i="10"/>
  <c r="H149" i="10" l="1"/>
  <c r="H1406" i="10" l="1"/>
  <c r="H1407" i="10"/>
  <c r="H1403" i="10"/>
  <c r="H1385" i="10"/>
  <c r="H1386" i="10"/>
  <c r="H725" i="10"/>
  <c r="H641" i="10" l="1"/>
  <c r="H643" i="10"/>
  <c r="K632" i="13" l="1"/>
  <c r="K631" i="13"/>
  <c r="H632" i="13"/>
  <c r="E838" i="15" s="1"/>
  <c r="O407" i="13"/>
  <c r="Q407" i="13" s="1"/>
  <c r="Q408" i="13"/>
  <c r="I407" i="13"/>
  <c r="K407" i="13" s="1"/>
  <c r="K408" i="13"/>
  <c r="F838" i="15" l="1"/>
  <c r="E837" i="15"/>
  <c r="J632" i="13"/>
  <c r="H631" i="13"/>
  <c r="O385" i="13"/>
  <c r="Q385" i="13" s="1"/>
  <c r="Q386" i="13"/>
  <c r="I385" i="13"/>
  <c r="I384" i="13" s="1"/>
  <c r="K386" i="13"/>
  <c r="F837" i="15" l="1"/>
  <c r="E836" i="15"/>
  <c r="J631" i="13"/>
  <c r="H630" i="13"/>
  <c r="K385" i="13"/>
  <c r="O313" i="13"/>
  <c r="O312" i="13" s="1"/>
  <c r="I313" i="13"/>
  <c r="I312" i="13" s="1"/>
  <c r="Q314" i="13"/>
  <c r="N314" i="13"/>
  <c r="K314" i="13"/>
  <c r="H314" i="13"/>
  <c r="O265" i="13"/>
  <c r="Q265" i="13" s="1"/>
  <c r="I265" i="13"/>
  <c r="Q266" i="13"/>
  <c r="N266" i="13"/>
  <c r="K266" i="13"/>
  <c r="H266" i="13"/>
  <c r="O225" i="13"/>
  <c r="Q226" i="13"/>
  <c r="N226" i="13"/>
  <c r="I225" i="13"/>
  <c r="K226" i="13"/>
  <c r="H226" i="13"/>
  <c r="K896" i="11"/>
  <c r="L897" i="11"/>
  <c r="H896" i="11"/>
  <c r="H895" i="11" s="1"/>
  <c r="I897" i="11"/>
  <c r="K612" i="11"/>
  <c r="L613" i="11"/>
  <c r="H612" i="11"/>
  <c r="K593" i="11"/>
  <c r="L594" i="11"/>
  <c r="H593" i="11"/>
  <c r="H592" i="11" s="1"/>
  <c r="I594" i="11"/>
  <c r="K572" i="11"/>
  <c r="K571" i="11" s="1"/>
  <c r="L573" i="11"/>
  <c r="H572" i="11"/>
  <c r="H571" i="11" s="1"/>
  <c r="I573" i="11"/>
  <c r="K564" i="11"/>
  <c r="L565" i="11"/>
  <c r="H564" i="11"/>
  <c r="I565" i="11"/>
  <c r="K363" i="11"/>
  <c r="N408" i="13" s="1"/>
  <c r="H363" i="11"/>
  <c r="K341" i="11"/>
  <c r="H341" i="11"/>
  <c r="I341" i="11" s="1"/>
  <c r="K271" i="11"/>
  <c r="K270" i="11" s="1"/>
  <c r="H271" i="11"/>
  <c r="H270" i="11" s="1"/>
  <c r="K268" i="11"/>
  <c r="K267" i="11" s="1"/>
  <c r="L269" i="11"/>
  <c r="H268" i="11"/>
  <c r="H267" i="11" s="1"/>
  <c r="I269" i="11"/>
  <c r="K244" i="11"/>
  <c r="K243" i="11" s="1"/>
  <c r="K241" i="11"/>
  <c r="K240" i="11" s="1"/>
  <c r="K237" i="11"/>
  <c r="K236" i="11" s="1"/>
  <c r="K235" i="11" s="1"/>
  <c r="K233" i="11"/>
  <c r="K232" i="11" s="1"/>
  <c r="K230" i="11"/>
  <c r="K229" i="11" s="1"/>
  <c r="K227" i="11"/>
  <c r="K226" i="11" s="1"/>
  <c r="K224" i="11"/>
  <c r="K223" i="11" s="1"/>
  <c r="K221" i="11"/>
  <c r="K220" i="11" s="1"/>
  <c r="H233" i="11"/>
  <c r="H232" i="11" s="1"/>
  <c r="H230" i="11"/>
  <c r="H229" i="11" s="1"/>
  <c r="H227" i="11"/>
  <c r="H226" i="11" s="1"/>
  <c r="H221" i="11"/>
  <c r="H220" i="11" s="1"/>
  <c r="H244" i="11"/>
  <c r="H243" i="11" s="1"/>
  <c r="H241" i="11"/>
  <c r="H240" i="11" s="1"/>
  <c r="H237" i="11"/>
  <c r="H236" i="11" s="1"/>
  <c r="H235" i="11" s="1"/>
  <c r="H224" i="11"/>
  <c r="L225" i="11"/>
  <c r="I225" i="11"/>
  <c r="K214" i="11"/>
  <c r="K212" i="11"/>
  <c r="K207" i="11"/>
  <c r="K206" i="11" s="1"/>
  <c r="K205" i="11" s="1"/>
  <c r="K204" i="11" s="1"/>
  <c r="K202" i="11"/>
  <c r="K201" i="11" s="1"/>
  <c r="K199" i="11"/>
  <c r="K198" i="11" s="1"/>
  <c r="K196" i="11"/>
  <c r="K194" i="11"/>
  <c r="K189" i="11"/>
  <c r="K188" i="11" s="1"/>
  <c r="K187" i="11" s="1"/>
  <c r="K186" i="11" s="1"/>
  <c r="K184" i="11"/>
  <c r="K183" i="11" s="1"/>
  <c r="K180" i="11"/>
  <c r="K179" i="11" s="1"/>
  <c r="K178" i="11" s="1"/>
  <c r="H214" i="11"/>
  <c r="H212" i="11"/>
  <c r="H207" i="11"/>
  <c r="H206" i="11" s="1"/>
  <c r="H205" i="11" s="1"/>
  <c r="H204" i="11" s="1"/>
  <c r="H202" i="11"/>
  <c r="H201" i="11" s="1"/>
  <c r="H199" i="11"/>
  <c r="H198" i="11" s="1"/>
  <c r="H196" i="11"/>
  <c r="H194" i="11"/>
  <c r="H189" i="11"/>
  <c r="H188" i="11" s="1"/>
  <c r="H187" i="11" s="1"/>
  <c r="H186" i="11" s="1"/>
  <c r="H180" i="11"/>
  <c r="H179" i="11" s="1"/>
  <c r="H178" i="11" s="1"/>
  <c r="H184" i="11"/>
  <c r="L185" i="11"/>
  <c r="I185" i="11"/>
  <c r="I235" i="12"/>
  <c r="K235" i="12" s="1"/>
  <c r="K236" i="12"/>
  <c r="H236" i="12"/>
  <c r="E1069" i="14" s="1"/>
  <c r="I200" i="10"/>
  <c r="H199" i="10"/>
  <c r="L896" i="11" l="1"/>
  <c r="K895" i="11"/>
  <c r="I612" i="11"/>
  <c r="H611" i="11"/>
  <c r="L612" i="11"/>
  <c r="K611" i="11"/>
  <c r="L593" i="11"/>
  <c r="K592" i="11"/>
  <c r="I564" i="11"/>
  <c r="H563" i="11"/>
  <c r="L564" i="11"/>
  <c r="K563" i="11"/>
  <c r="I224" i="11"/>
  <c r="H223" i="11"/>
  <c r="I184" i="11"/>
  <c r="H183" i="11"/>
  <c r="H182" i="11" s="1"/>
  <c r="H177" i="11" s="1"/>
  <c r="K211" i="11"/>
  <c r="K210" i="11" s="1"/>
  <c r="K209" i="11" s="1"/>
  <c r="K362" i="11"/>
  <c r="L363" i="11"/>
  <c r="K340" i="11"/>
  <c r="K339" i="11" s="1"/>
  <c r="N386" i="13"/>
  <c r="H362" i="11"/>
  <c r="H408" i="13"/>
  <c r="H340" i="11"/>
  <c r="H339" i="11" s="1"/>
  <c r="H386" i="13"/>
  <c r="N407" i="13"/>
  <c r="H733" i="15"/>
  <c r="P408" i="13"/>
  <c r="H211" i="11"/>
  <c r="H210" i="11" s="1"/>
  <c r="H209" i="11" s="1"/>
  <c r="H193" i="11"/>
  <c r="H192" i="11" s="1"/>
  <c r="H191" i="11" s="1"/>
  <c r="K193" i="11"/>
  <c r="J266" i="13"/>
  <c r="E327" i="15"/>
  <c r="N313" i="13"/>
  <c r="H655" i="15"/>
  <c r="N225" i="13"/>
  <c r="P225" i="13" s="1"/>
  <c r="H396" i="15"/>
  <c r="H225" i="13"/>
  <c r="J225" i="13" s="1"/>
  <c r="E396" i="15"/>
  <c r="N265" i="13"/>
  <c r="H327" i="15"/>
  <c r="H313" i="13"/>
  <c r="E655" i="15"/>
  <c r="I199" i="10"/>
  <c r="K265" i="13"/>
  <c r="J236" i="12"/>
  <c r="H235" i="12"/>
  <c r="J235" i="12" s="1"/>
  <c r="F1069" i="14"/>
  <c r="E1068" i="14"/>
  <c r="F1068" i="14" s="1"/>
  <c r="L224" i="11"/>
  <c r="K239" i="11"/>
  <c r="L341" i="11"/>
  <c r="I363" i="11"/>
  <c r="I572" i="11"/>
  <c r="L572" i="11"/>
  <c r="I613" i="11"/>
  <c r="I896" i="11"/>
  <c r="H266" i="11"/>
  <c r="H265" i="11" s="1"/>
  <c r="H264" i="11" s="1"/>
  <c r="H247" i="11" s="1"/>
  <c r="K266" i="11"/>
  <c r="K265" i="11" s="1"/>
  <c r="K264" i="11" s="1"/>
  <c r="K247" i="11" s="1"/>
  <c r="I340" i="11"/>
  <c r="I593" i="11"/>
  <c r="J226" i="13"/>
  <c r="K225" i="13"/>
  <c r="Q225" i="13"/>
  <c r="Q313" i="13"/>
  <c r="K313" i="13"/>
  <c r="J314" i="13"/>
  <c r="P314" i="13"/>
  <c r="P266" i="13"/>
  <c r="H265" i="13"/>
  <c r="P226" i="13"/>
  <c r="K182" i="11"/>
  <c r="K177" i="11" s="1"/>
  <c r="H239" i="11"/>
  <c r="I268" i="11"/>
  <c r="L268" i="11"/>
  <c r="K219" i="11"/>
  <c r="H219" i="11"/>
  <c r="H218" i="11" s="1"/>
  <c r="H217" i="11" s="1"/>
  <c r="H216" i="11" s="1"/>
  <c r="K192" i="11"/>
  <c r="K191" i="11" s="1"/>
  <c r="L184" i="11"/>
  <c r="H607" i="10"/>
  <c r="H606" i="10" s="1"/>
  <c r="I702" i="10"/>
  <c r="H751" i="12"/>
  <c r="I1329" i="12"/>
  <c r="K1330" i="12"/>
  <c r="H1330" i="12"/>
  <c r="H1329" i="12" s="1"/>
  <c r="H1328" i="12" s="1"/>
  <c r="I873" i="12"/>
  <c r="K874" i="12"/>
  <c r="H874" i="12"/>
  <c r="H873" i="12" s="1"/>
  <c r="J873" i="12" s="1"/>
  <c r="I803" i="12"/>
  <c r="K804" i="12"/>
  <c r="H804" i="12"/>
  <c r="H803" i="12" s="1"/>
  <c r="I780" i="12"/>
  <c r="K781" i="12"/>
  <c r="H781" i="12"/>
  <c r="H780" i="12" s="1"/>
  <c r="I757" i="12"/>
  <c r="K758" i="12"/>
  <c r="I750" i="12"/>
  <c r="K751" i="12"/>
  <c r="I441" i="12"/>
  <c r="K442" i="12"/>
  <c r="H442" i="12"/>
  <c r="H441" i="12" s="1"/>
  <c r="I674" i="12"/>
  <c r="K675" i="12"/>
  <c r="H675" i="12"/>
  <c r="H674" i="12" s="1"/>
  <c r="I663" i="12"/>
  <c r="I662" i="12" s="1"/>
  <c r="K664" i="12"/>
  <c r="I463" i="12"/>
  <c r="I462" i="12" s="1"/>
  <c r="K464" i="12"/>
  <c r="H464" i="12"/>
  <c r="H463" i="12" s="1"/>
  <c r="H462" i="12" s="1"/>
  <c r="I351" i="12"/>
  <c r="I350" i="12" s="1"/>
  <c r="K352" i="12"/>
  <c r="I301" i="12"/>
  <c r="I300" i="12" s="1"/>
  <c r="K302" i="12"/>
  <c r="H302" i="12"/>
  <c r="H301" i="12" s="1"/>
  <c r="H300" i="12" s="1"/>
  <c r="I261" i="12"/>
  <c r="I260" i="12" s="1"/>
  <c r="K262" i="12"/>
  <c r="H262" i="12"/>
  <c r="H261" i="12" s="1"/>
  <c r="H260" i="12" s="1"/>
  <c r="H1042" i="10"/>
  <c r="H1041" i="10" s="1"/>
  <c r="I1043" i="10"/>
  <c r="H817" i="10"/>
  <c r="I818" i="10"/>
  <c r="H816" i="10"/>
  <c r="H746" i="10"/>
  <c r="H747" i="10"/>
  <c r="I748" i="10"/>
  <c r="H744" i="10"/>
  <c r="H724" i="10"/>
  <c r="I725" i="10"/>
  <c r="H723" i="10"/>
  <c r="H701" i="10"/>
  <c r="H700" i="10"/>
  <c r="H618" i="10"/>
  <c r="I619" i="10"/>
  <c r="H617" i="10"/>
  <c r="P407" i="13" l="1"/>
  <c r="N406" i="13"/>
  <c r="J313" i="13"/>
  <c r="H312" i="13"/>
  <c r="P313" i="13"/>
  <c r="N312" i="13"/>
  <c r="P265" i="13"/>
  <c r="N264" i="13"/>
  <c r="J265" i="13"/>
  <c r="H264" i="13"/>
  <c r="I362" i="11"/>
  <c r="H361" i="11"/>
  <c r="H319" i="11" s="1"/>
  <c r="H318" i="11" s="1"/>
  <c r="H317" i="11" s="1"/>
  <c r="L362" i="11"/>
  <c r="K361" i="11"/>
  <c r="L340" i="11"/>
  <c r="K319" i="11"/>
  <c r="K318" i="11" s="1"/>
  <c r="K317" i="11" s="1"/>
  <c r="K218" i="11"/>
  <c r="K217" i="11" s="1"/>
  <c r="K216" i="11" s="1"/>
  <c r="K1329" i="12"/>
  <c r="I1328" i="12"/>
  <c r="K750" i="12"/>
  <c r="I749" i="12"/>
  <c r="I733" i="15"/>
  <c r="H732" i="15"/>
  <c r="H385" i="13"/>
  <c r="E711" i="15"/>
  <c r="J386" i="13"/>
  <c r="H407" i="13"/>
  <c r="J408" i="13"/>
  <c r="E733" i="15"/>
  <c r="P386" i="13"/>
  <c r="N385" i="13"/>
  <c r="H711" i="15"/>
  <c r="H176" i="11"/>
  <c r="H175" i="11" s="1"/>
  <c r="F655" i="15"/>
  <c r="E654" i="15"/>
  <c r="F396" i="15"/>
  <c r="E395" i="15"/>
  <c r="H654" i="15"/>
  <c r="I655" i="15"/>
  <c r="I327" i="15"/>
  <c r="H326" i="15"/>
  <c r="H325" i="15" s="1"/>
  <c r="I396" i="15"/>
  <c r="H395" i="15"/>
  <c r="H394" i="15" s="1"/>
  <c r="E326" i="15"/>
  <c r="F327" i="15"/>
  <c r="J780" i="12"/>
  <c r="K803" i="12"/>
  <c r="K780" i="12"/>
  <c r="K873" i="12"/>
  <c r="K757" i="12"/>
  <c r="H758" i="12"/>
  <c r="H757" i="12" s="1"/>
  <c r="J757" i="12" s="1"/>
  <c r="H664" i="12"/>
  <c r="H663" i="12" s="1"/>
  <c r="H174" i="11"/>
  <c r="K176" i="11"/>
  <c r="K175" i="11" s="1"/>
  <c r="K174" i="11" s="1"/>
  <c r="J803" i="12"/>
  <c r="E320" i="14"/>
  <c r="F320" i="14" s="1"/>
  <c r="E344" i="14"/>
  <c r="F344" i="14" s="1"/>
  <c r="E657" i="14"/>
  <c r="E656" i="14" s="1"/>
  <c r="E772" i="14"/>
  <c r="E771" i="14" s="1"/>
  <c r="F771" i="14" s="1"/>
  <c r="E975" i="14"/>
  <c r="E410" i="14"/>
  <c r="F410" i="14" s="1"/>
  <c r="E794" i="14"/>
  <c r="F794" i="14" s="1"/>
  <c r="E952" i="14"/>
  <c r="F952" i="14" s="1"/>
  <c r="I608" i="10"/>
  <c r="H750" i="12"/>
  <c r="E919" i="14"/>
  <c r="F919" i="14" s="1"/>
  <c r="H694" i="10"/>
  <c r="I695" i="10"/>
  <c r="I618" i="10"/>
  <c r="I724" i="10"/>
  <c r="I607" i="10"/>
  <c r="I817" i="10"/>
  <c r="J1330" i="12"/>
  <c r="J1329" i="12"/>
  <c r="J804" i="12"/>
  <c r="J874" i="12"/>
  <c r="J781" i="12"/>
  <c r="J751" i="12"/>
  <c r="J441" i="12"/>
  <c r="K441" i="12"/>
  <c r="J442" i="12"/>
  <c r="K674" i="12"/>
  <c r="K261" i="12"/>
  <c r="K663" i="12"/>
  <c r="K351" i="12"/>
  <c r="J674" i="12"/>
  <c r="K463" i="12"/>
  <c r="J261" i="12"/>
  <c r="J675" i="12"/>
  <c r="J301" i="12"/>
  <c r="K301" i="12"/>
  <c r="J464" i="12"/>
  <c r="J463" i="12"/>
  <c r="J262" i="12"/>
  <c r="J302" i="12"/>
  <c r="I1042" i="10"/>
  <c r="I747" i="10"/>
  <c r="I701" i="10"/>
  <c r="H420" i="10"/>
  <c r="H419" i="10" s="1"/>
  <c r="I421" i="10"/>
  <c r="H396" i="10"/>
  <c r="I397" i="10"/>
  <c r="H399" i="10"/>
  <c r="H395" i="10"/>
  <c r="H393" i="10"/>
  <c r="H309" i="10"/>
  <c r="H352" i="12" s="1"/>
  <c r="H262" i="10"/>
  <c r="H261" i="10" s="1"/>
  <c r="I263" i="10"/>
  <c r="H222" i="10"/>
  <c r="H221" i="10" s="1"/>
  <c r="I223" i="10"/>
  <c r="I732" i="15" l="1"/>
  <c r="H731" i="15"/>
  <c r="F654" i="15"/>
  <c r="E653" i="15"/>
  <c r="I654" i="15"/>
  <c r="H653" i="15"/>
  <c r="F395" i="15"/>
  <c r="E394" i="15"/>
  <c r="F326" i="15"/>
  <c r="E325" i="15"/>
  <c r="J407" i="13"/>
  <c r="H406" i="13"/>
  <c r="P385" i="13"/>
  <c r="N384" i="13"/>
  <c r="J385" i="13"/>
  <c r="H384" i="13"/>
  <c r="F656" i="14"/>
  <c r="E655" i="14"/>
  <c r="J750" i="12"/>
  <c r="H749" i="12"/>
  <c r="J663" i="12"/>
  <c r="H662" i="12"/>
  <c r="I694" i="10"/>
  <c r="H693" i="10"/>
  <c r="H710" i="15"/>
  <c r="I711" i="15"/>
  <c r="E732" i="15"/>
  <c r="F733" i="15"/>
  <c r="F711" i="15"/>
  <c r="E710" i="15"/>
  <c r="E709" i="15" s="1"/>
  <c r="I395" i="15"/>
  <c r="I326" i="15"/>
  <c r="J758" i="12"/>
  <c r="J664" i="12"/>
  <c r="E793" i="14"/>
  <c r="E304" i="14"/>
  <c r="F304" i="14" s="1"/>
  <c r="F772" i="14"/>
  <c r="E929" i="14"/>
  <c r="E928" i="14" s="1"/>
  <c r="F928" i="14" s="1"/>
  <c r="E319" i="14"/>
  <c r="F319" i="14" s="1"/>
  <c r="E918" i="14"/>
  <c r="E343" i="14"/>
  <c r="H351" i="12"/>
  <c r="E688" i="14"/>
  <c r="E974" i="14"/>
  <c r="F974" i="14" s="1"/>
  <c r="F975" i="14"/>
  <c r="E409" i="14"/>
  <c r="F657" i="14"/>
  <c r="E951" i="14"/>
  <c r="F951" i="14" s="1"/>
  <c r="H308" i="10"/>
  <c r="I222" i="10"/>
  <c r="I309" i="10"/>
  <c r="J352" i="12"/>
  <c r="I262" i="10"/>
  <c r="I396" i="10"/>
  <c r="I420" i="10"/>
  <c r="F732" i="15" l="1"/>
  <c r="E731" i="15"/>
  <c r="I710" i="15"/>
  <c r="H709" i="15"/>
  <c r="F710" i="15"/>
  <c r="F918" i="14"/>
  <c r="E917" i="14"/>
  <c r="F793" i="14"/>
  <c r="E792" i="14"/>
  <c r="F409" i="14"/>
  <c r="E408" i="14"/>
  <c r="F343" i="14"/>
  <c r="E342" i="14"/>
  <c r="J351" i="12"/>
  <c r="H350" i="12"/>
  <c r="I308" i="10"/>
  <c r="H307" i="10"/>
  <c r="E303" i="14"/>
  <c r="F929" i="14"/>
  <c r="E687" i="14"/>
  <c r="F688" i="14"/>
  <c r="F687" i="14" l="1"/>
  <c r="E686" i="14"/>
  <c r="F303" i="14"/>
  <c r="E302" i="14"/>
  <c r="O738" i="13"/>
  <c r="O685" i="13"/>
  <c r="N685" i="13"/>
  <c r="I685" i="13"/>
  <c r="H685" i="13"/>
  <c r="N568" i="13"/>
  <c r="H568" i="13"/>
  <c r="I1149" i="12" l="1"/>
  <c r="I1145" i="12"/>
  <c r="K1220" i="11"/>
  <c r="H1220" i="11"/>
  <c r="K1216" i="11"/>
  <c r="H1216" i="11"/>
  <c r="K626" i="11"/>
  <c r="H626" i="11"/>
  <c r="K509" i="11"/>
  <c r="H509" i="11"/>
  <c r="H1360" i="10"/>
  <c r="H1356" i="10"/>
  <c r="H466" i="10" l="1"/>
  <c r="I472" i="12"/>
  <c r="I471" i="12" s="1"/>
  <c r="K473" i="12"/>
  <c r="H473" i="12"/>
  <c r="H472" i="12" s="1"/>
  <c r="H429" i="10"/>
  <c r="H428" i="10" s="1"/>
  <c r="I430" i="10"/>
  <c r="H198" i="10"/>
  <c r="I478" i="12"/>
  <c r="I477" i="12" s="1"/>
  <c r="K479" i="12"/>
  <c r="H479" i="12"/>
  <c r="H478" i="12" s="1"/>
  <c r="J478" i="12" l="1"/>
  <c r="K478" i="12"/>
  <c r="J472" i="12"/>
  <c r="K472" i="12"/>
  <c r="I428" i="10"/>
  <c r="I429" i="10"/>
  <c r="J473" i="12"/>
  <c r="E803" i="14"/>
  <c r="K471" i="12"/>
  <c r="H471" i="12"/>
  <c r="J471" i="12" s="1"/>
  <c r="E809" i="14"/>
  <c r="J479" i="12"/>
  <c r="K477" i="12"/>
  <c r="H477" i="12"/>
  <c r="J477" i="12" s="1"/>
  <c r="H435" i="10"/>
  <c r="H434" i="10" s="1"/>
  <c r="I436" i="10"/>
  <c r="H1377" i="10"/>
  <c r="I434" i="10" l="1"/>
  <c r="E802" i="14"/>
  <c r="F803" i="14"/>
  <c r="I435" i="10"/>
  <c r="E808" i="14"/>
  <c r="F809" i="14"/>
  <c r="I369" i="12"/>
  <c r="I368" i="12" s="1"/>
  <c r="H370" i="12"/>
  <c r="J370" i="12" s="1"/>
  <c r="I366" i="12"/>
  <c r="I365" i="12" s="1"/>
  <c r="H367" i="12"/>
  <c r="J367" i="12" s="1"/>
  <c r="I363" i="12"/>
  <c r="I362" i="12" s="1"/>
  <c r="H364" i="12"/>
  <c r="J364" i="12" s="1"/>
  <c r="I360" i="12"/>
  <c r="I359" i="12" s="1"/>
  <c r="H361" i="12"/>
  <c r="J361" i="12" s="1"/>
  <c r="I357" i="12"/>
  <c r="I356" i="12" s="1"/>
  <c r="H358" i="12"/>
  <c r="J358" i="12" s="1"/>
  <c r="I354" i="12"/>
  <c r="I353" i="12" s="1"/>
  <c r="K370" i="12"/>
  <c r="K367" i="12"/>
  <c r="K364" i="12"/>
  <c r="K361" i="12"/>
  <c r="K358" i="12"/>
  <c r="K355" i="12"/>
  <c r="H355" i="12"/>
  <c r="J355" i="12" s="1"/>
  <c r="E801" i="14" l="1"/>
  <c r="F801" i="14" s="1"/>
  <c r="F802" i="14"/>
  <c r="E700" i="14"/>
  <c r="F700" i="14" s="1"/>
  <c r="E807" i="14"/>
  <c r="F807" i="14" s="1"/>
  <c r="F808" i="14"/>
  <c r="K354" i="12"/>
  <c r="H354" i="12"/>
  <c r="H360" i="12"/>
  <c r="H359" i="12" s="1"/>
  <c r="J359" i="12" s="1"/>
  <c r="H366" i="12"/>
  <c r="H365" i="12" s="1"/>
  <c r="J365" i="12" s="1"/>
  <c r="E691" i="14"/>
  <c r="E703" i="14"/>
  <c r="H357" i="12"/>
  <c r="H356" i="12" s="1"/>
  <c r="J356" i="12" s="1"/>
  <c r="H363" i="12"/>
  <c r="H362" i="12" s="1"/>
  <c r="J362" i="12" s="1"/>
  <c r="H369" i="12"/>
  <c r="H368" i="12" s="1"/>
  <c r="J368" i="12" s="1"/>
  <c r="E694" i="14"/>
  <c r="E706" i="14"/>
  <c r="E697" i="14"/>
  <c r="K368" i="12"/>
  <c r="K369" i="12"/>
  <c r="K365" i="12"/>
  <c r="K366" i="12"/>
  <c r="K362" i="12"/>
  <c r="K363" i="12"/>
  <c r="K359" i="12"/>
  <c r="K360" i="12"/>
  <c r="K356" i="12"/>
  <c r="K357" i="12"/>
  <c r="K353" i="12"/>
  <c r="H326" i="10"/>
  <c r="H325" i="10" s="1"/>
  <c r="H323" i="10"/>
  <c r="H322" i="10" s="1"/>
  <c r="H320" i="10"/>
  <c r="H319" i="10" s="1"/>
  <c r="H317" i="10"/>
  <c r="H316" i="10" s="1"/>
  <c r="H314" i="10"/>
  <c r="H313" i="10" s="1"/>
  <c r="I327" i="10"/>
  <c r="I324" i="10"/>
  <c r="I321" i="10"/>
  <c r="I318" i="10"/>
  <c r="I315" i="10"/>
  <c r="H311" i="10"/>
  <c r="H310" i="10" s="1"/>
  <c r="I312" i="10"/>
  <c r="H330" i="10"/>
  <c r="H1425" i="10"/>
  <c r="H1424" i="10"/>
  <c r="I311" i="10" l="1"/>
  <c r="I326" i="10"/>
  <c r="I317" i="10"/>
  <c r="I310" i="10"/>
  <c r="I319" i="10"/>
  <c r="I316" i="10"/>
  <c r="I325" i="10"/>
  <c r="I322" i="10"/>
  <c r="I323" i="10"/>
  <c r="E699" i="14"/>
  <c r="E698" i="14" s="1"/>
  <c r="F698" i="14" s="1"/>
  <c r="J363" i="12"/>
  <c r="J360" i="12"/>
  <c r="J369" i="12"/>
  <c r="E705" i="14"/>
  <c r="F706" i="14"/>
  <c r="J357" i="12"/>
  <c r="E693" i="14"/>
  <c r="F694" i="14"/>
  <c r="F703" i="14"/>
  <c r="E702" i="14"/>
  <c r="J366" i="12"/>
  <c r="F697" i="14"/>
  <c r="E696" i="14"/>
  <c r="F691" i="14"/>
  <c r="E690" i="14"/>
  <c r="H353" i="12"/>
  <c r="J353" i="12" s="1"/>
  <c r="J354" i="12"/>
  <c r="I320" i="10"/>
  <c r="I313" i="10"/>
  <c r="I314" i="10"/>
  <c r="H1274" i="10"/>
  <c r="H901" i="10"/>
  <c r="O750" i="13"/>
  <c r="K1006" i="11"/>
  <c r="K996" i="11"/>
  <c r="K1014" i="11"/>
  <c r="N754" i="13" s="1"/>
  <c r="H1014" i="11"/>
  <c r="H1191" i="10"/>
  <c r="H86" i="15" l="1"/>
  <c r="H85" i="15" s="1"/>
  <c r="H84" i="15" s="1"/>
  <c r="N753" i="13"/>
  <c r="N752" i="13" s="1"/>
  <c r="K1013" i="11"/>
  <c r="K1012" i="11" s="1"/>
  <c r="F699" i="14"/>
  <c r="F690" i="14"/>
  <c r="E689" i="14"/>
  <c r="F689" i="14" s="1"/>
  <c r="E692" i="14"/>
  <c r="F692" i="14" s="1"/>
  <c r="F693" i="14"/>
  <c r="F702" i="14"/>
  <c r="E701" i="14"/>
  <c r="F701" i="14" s="1"/>
  <c r="F696" i="14"/>
  <c r="E695" i="14"/>
  <c r="F695" i="14" s="1"/>
  <c r="E704" i="14"/>
  <c r="F704" i="14" s="1"/>
  <c r="F705" i="14"/>
  <c r="H1153" i="10"/>
  <c r="H1005" i="11"/>
  <c r="I1005" i="11" l="1"/>
  <c r="O451" i="13" l="1"/>
  <c r="Q452" i="13"/>
  <c r="N452" i="13"/>
  <c r="N451" i="13" s="1"/>
  <c r="N450" i="13" s="1"/>
  <c r="I451" i="13"/>
  <c r="K452" i="13"/>
  <c r="K1002" i="11"/>
  <c r="K1001" i="11" s="1"/>
  <c r="L1003" i="11"/>
  <c r="H1003" i="11"/>
  <c r="H1002" i="11" s="1"/>
  <c r="H1001" i="11" s="1"/>
  <c r="I522" i="12"/>
  <c r="I521" i="12" s="1"/>
  <c r="K523" i="12"/>
  <c r="H523" i="12"/>
  <c r="E864" i="14" s="1"/>
  <c r="H1149" i="10"/>
  <c r="H1148" i="10" s="1"/>
  <c r="I1150" i="10"/>
  <c r="Q451" i="13" l="1"/>
  <c r="K451" i="13"/>
  <c r="P451" i="13"/>
  <c r="K522" i="12"/>
  <c r="I1002" i="11"/>
  <c r="L1002" i="11"/>
  <c r="I1003" i="11"/>
  <c r="H452" i="13"/>
  <c r="H781" i="15"/>
  <c r="P452" i="13"/>
  <c r="I1149" i="10"/>
  <c r="E863" i="14"/>
  <c r="F864" i="14"/>
  <c r="J523" i="12"/>
  <c r="H522" i="12"/>
  <c r="F863" i="14" l="1"/>
  <c r="E862" i="14"/>
  <c r="J522" i="12"/>
  <c r="H521" i="12"/>
  <c r="I781" i="15"/>
  <c r="H780" i="15"/>
  <c r="E781" i="15"/>
  <c r="H451" i="13"/>
  <c r="H450" i="13" s="1"/>
  <c r="J452" i="13"/>
  <c r="I780" i="15" l="1"/>
  <c r="H779" i="15"/>
  <c r="J451" i="13"/>
  <c r="F781" i="15"/>
  <c r="E780" i="15"/>
  <c r="H1040" i="10"/>
  <c r="H1036" i="10"/>
  <c r="I258" i="12"/>
  <c r="I257" i="12" s="1"/>
  <c r="K259" i="12"/>
  <c r="H259" i="12"/>
  <c r="J259" i="12" s="1"/>
  <c r="I322" i="12"/>
  <c r="I321" i="12" s="1"/>
  <c r="K323" i="12"/>
  <c r="H323" i="12"/>
  <c r="H322" i="12" s="1"/>
  <c r="H219" i="10"/>
  <c r="H218" i="10" s="1"/>
  <c r="I220" i="10"/>
  <c r="H283" i="10"/>
  <c r="H282" i="10" s="1"/>
  <c r="H281" i="10" s="1"/>
  <c r="I284" i="10"/>
  <c r="I623" i="12"/>
  <c r="H624" i="12"/>
  <c r="E482" i="14" s="1"/>
  <c r="I626" i="12"/>
  <c r="I625" i="12" s="1"/>
  <c r="K627" i="12"/>
  <c r="K624" i="12"/>
  <c r="H627" i="12"/>
  <c r="E485" i="14" s="1"/>
  <c r="H567" i="10"/>
  <c r="H566" i="10" s="1"/>
  <c r="H570" i="10"/>
  <c r="H569" i="10" s="1"/>
  <c r="I571" i="10"/>
  <c r="I568" i="10"/>
  <c r="I276" i="12"/>
  <c r="I275" i="12" s="1"/>
  <c r="K277" i="12"/>
  <c r="H277" i="12"/>
  <c r="H276" i="12" s="1"/>
  <c r="H237" i="10"/>
  <c r="H236" i="10" s="1"/>
  <c r="I238" i="10"/>
  <c r="H587" i="10"/>
  <c r="F780" i="15" l="1"/>
  <c r="E779" i="15"/>
  <c r="I237" i="10"/>
  <c r="I567" i="10"/>
  <c r="I570" i="10"/>
  <c r="I569" i="10"/>
  <c r="I218" i="10"/>
  <c r="I281" i="10"/>
  <c r="K322" i="12"/>
  <c r="K258" i="12"/>
  <c r="K276" i="12"/>
  <c r="K623" i="12"/>
  <c r="I283" i="10"/>
  <c r="I219" i="10"/>
  <c r="E365" i="14"/>
  <c r="E407" i="14"/>
  <c r="E406" i="14" s="1"/>
  <c r="E405" i="14" s="1"/>
  <c r="F405" i="14" s="1"/>
  <c r="H258" i="12"/>
  <c r="H257" i="12" s="1"/>
  <c r="J257" i="12" s="1"/>
  <c r="H565" i="10"/>
  <c r="I282" i="10"/>
  <c r="K257" i="12"/>
  <c r="K625" i="12"/>
  <c r="J276" i="12"/>
  <c r="K626" i="12"/>
  <c r="I622" i="12"/>
  <c r="I621" i="12" s="1"/>
  <c r="J322" i="12"/>
  <c r="J323" i="12"/>
  <c r="K321" i="12"/>
  <c r="I320" i="12"/>
  <c r="K320" i="12" s="1"/>
  <c r="H321" i="12"/>
  <c r="H320" i="12" s="1"/>
  <c r="J320" i="12" s="1"/>
  <c r="J624" i="12"/>
  <c r="E481" i="14"/>
  <c r="F482" i="14"/>
  <c r="E484" i="14"/>
  <c r="F485" i="14"/>
  <c r="J627" i="12"/>
  <c r="H626" i="12"/>
  <c r="H623" i="12"/>
  <c r="I566" i="10"/>
  <c r="I236" i="10"/>
  <c r="E425" i="14"/>
  <c r="J277" i="12"/>
  <c r="K275" i="12"/>
  <c r="H275" i="12"/>
  <c r="J275" i="12" s="1"/>
  <c r="K621" i="12" l="1"/>
  <c r="I565" i="10"/>
  <c r="H564" i="10"/>
  <c r="I564" i="10" s="1"/>
  <c r="I620" i="12"/>
  <c r="K620" i="12" s="1"/>
  <c r="F406" i="14"/>
  <c r="F407" i="14"/>
  <c r="K622" i="12"/>
  <c r="E364" i="14"/>
  <c r="F365" i="14"/>
  <c r="J258" i="12"/>
  <c r="J321" i="12"/>
  <c r="J623" i="12"/>
  <c r="H622" i="12"/>
  <c r="E483" i="14"/>
  <c r="F483" i="14" s="1"/>
  <c r="F484" i="14"/>
  <c r="J626" i="12"/>
  <c r="H625" i="12"/>
  <c r="J625" i="12" s="1"/>
  <c r="E480" i="14"/>
  <c r="F481" i="14"/>
  <c r="F425" i="14"/>
  <c r="E424" i="14"/>
  <c r="F364" i="14" l="1"/>
  <c r="E363" i="14"/>
  <c r="E479" i="14"/>
  <c r="F480" i="14"/>
  <c r="H621" i="12"/>
  <c r="J622" i="12"/>
  <c r="E423" i="14"/>
  <c r="F423" i="14" s="1"/>
  <c r="F424" i="14"/>
  <c r="H633" i="10"/>
  <c r="E362" i="14" l="1"/>
  <c r="F362" i="14" s="1"/>
  <c r="F363" i="14"/>
  <c r="H620" i="12"/>
  <c r="J620" i="12" s="1"/>
  <c r="J621" i="12"/>
  <c r="F479" i="14"/>
  <c r="E478" i="14"/>
  <c r="F478" i="14" s="1"/>
  <c r="L109" i="11"/>
  <c r="K108" i="11"/>
  <c r="I109" i="11"/>
  <c r="H108" i="11"/>
  <c r="L134" i="11"/>
  <c r="K133" i="11"/>
  <c r="L133" i="11" s="1"/>
  <c r="L132" i="11"/>
  <c r="K131" i="11"/>
  <c r="L131" i="11" s="1"/>
  <c r="L130" i="11"/>
  <c r="K129" i="11"/>
  <c r="I134" i="11"/>
  <c r="H133" i="11"/>
  <c r="I133" i="11" s="1"/>
  <c r="I132" i="11"/>
  <c r="H131" i="11"/>
  <c r="I131" i="11" s="1"/>
  <c r="I130" i="11"/>
  <c r="H129" i="11"/>
  <c r="I142" i="10"/>
  <c r="H141" i="10"/>
  <c r="I141" i="10" s="1"/>
  <c r="I140" i="10"/>
  <c r="H139" i="10"/>
  <c r="I139" i="10" s="1"/>
  <c r="I138" i="10"/>
  <c r="H137" i="10"/>
  <c r="I137" i="10" s="1"/>
  <c r="I117" i="10"/>
  <c r="H116" i="10"/>
  <c r="H115" i="10" s="1"/>
  <c r="H786" i="10"/>
  <c r="I609" i="12"/>
  <c r="K610" i="12"/>
  <c r="H610" i="12"/>
  <c r="H553" i="10"/>
  <c r="I554" i="10"/>
  <c r="H135" i="10"/>
  <c r="H609" i="12" l="1"/>
  <c r="J609" i="12" s="1"/>
  <c r="E1071" i="14"/>
  <c r="K609" i="12"/>
  <c r="K128" i="11"/>
  <c r="L128" i="11" s="1"/>
  <c r="H128" i="11"/>
  <c r="I128" i="11" s="1"/>
  <c r="H121" i="11"/>
  <c r="H120" i="11" s="1"/>
  <c r="H110" i="11" s="1"/>
  <c r="I108" i="11"/>
  <c r="L108" i="11"/>
  <c r="I116" i="10"/>
  <c r="K107" i="11"/>
  <c r="H107" i="11"/>
  <c r="L129" i="11"/>
  <c r="I129" i="11"/>
  <c r="H136" i="10"/>
  <c r="I136" i="10" s="1"/>
  <c r="I115" i="10"/>
  <c r="H114" i="10"/>
  <c r="I553" i="10"/>
  <c r="J610" i="12"/>
  <c r="K121" i="11" l="1"/>
  <c r="K120" i="11" s="1"/>
  <c r="K110" i="11" s="1"/>
  <c r="E1070" i="14"/>
  <c r="F1070" i="14" s="1"/>
  <c r="F1071" i="14"/>
  <c r="L107" i="11"/>
  <c r="K106" i="11"/>
  <c r="I107" i="11"/>
  <c r="H106" i="11"/>
  <c r="I114" i="10"/>
  <c r="H113" i="10"/>
  <c r="L106" i="11" l="1"/>
  <c r="K105" i="11"/>
  <c r="I106" i="11"/>
  <c r="H105" i="11"/>
  <c r="I113" i="10"/>
  <c r="H112" i="10"/>
  <c r="I112" i="10" s="1"/>
  <c r="H887" i="10"/>
  <c r="H127" i="10"/>
  <c r="L105" i="11" l="1"/>
  <c r="K104" i="11"/>
  <c r="L104" i="11" s="1"/>
  <c r="I105" i="11"/>
  <c r="H104" i="11"/>
  <c r="I104" i="11" s="1"/>
  <c r="O607" i="13" l="1"/>
  <c r="O606" i="13" s="1"/>
  <c r="Q608" i="13"/>
  <c r="N608" i="13"/>
  <c r="P608" i="13" s="1"/>
  <c r="I607" i="13"/>
  <c r="K608" i="13"/>
  <c r="H608" i="13"/>
  <c r="E814" i="15" s="1"/>
  <c r="I740" i="12"/>
  <c r="I739" i="12" s="1"/>
  <c r="K739" i="12" s="1"/>
  <c r="K741" i="12"/>
  <c r="H741" i="12"/>
  <c r="H740" i="12" s="1"/>
  <c r="J740" i="12" s="1"/>
  <c r="K548" i="11"/>
  <c r="K547" i="11" s="1"/>
  <c r="H548" i="11"/>
  <c r="H547" i="11" s="1"/>
  <c r="L549" i="11"/>
  <c r="I549" i="11"/>
  <c r="H684" i="10"/>
  <c r="H683" i="10" s="1"/>
  <c r="I683" i="10" s="1"/>
  <c r="I685" i="10"/>
  <c r="I610" i="13"/>
  <c r="O610" i="13"/>
  <c r="Q610" i="13" s="1"/>
  <c r="Q611" i="13"/>
  <c r="N611" i="13"/>
  <c r="H817" i="15" s="1"/>
  <c r="K611" i="13"/>
  <c r="H611" i="13"/>
  <c r="J611" i="13" s="1"/>
  <c r="I743" i="12"/>
  <c r="K743" i="12" s="1"/>
  <c r="K744" i="12"/>
  <c r="H744" i="12"/>
  <c r="E912" i="14" s="1"/>
  <c r="K551" i="11"/>
  <c r="K550" i="11" s="1"/>
  <c r="H551" i="11"/>
  <c r="H550" i="11" s="1"/>
  <c r="L552" i="11"/>
  <c r="I552" i="11"/>
  <c r="H687" i="10"/>
  <c r="H686" i="10" s="1"/>
  <c r="I688" i="10"/>
  <c r="K546" i="11"/>
  <c r="H546" i="11"/>
  <c r="H676" i="10"/>
  <c r="I609" i="13" l="1"/>
  <c r="I597" i="13"/>
  <c r="K607" i="13"/>
  <c r="I600" i="13"/>
  <c r="L547" i="11"/>
  <c r="K610" i="13"/>
  <c r="O609" i="13"/>
  <c r="Q607" i="13"/>
  <c r="I551" i="11"/>
  <c r="L548" i="11"/>
  <c r="L550" i="11"/>
  <c r="L551" i="11"/>
  <c r="K740" i="12"/>
  <c r="F814" i="15"/>
  <c r="E813" i="15"/>
  <c r="E812" i="15" s="1"/>
  <c r="F812" i="15" s="1"/>
  <c r="J608" i="13"/>
  <c r="N607" i="13"/>
  <c r="N606" i="13" s="1"/>
  <c r="P606" i="13" s="1"/>
  <c r="H814" i="15"/>
  <c r="H607" i="13"/>
  <c r="J607" i="13" s="1"/>
  <c r="I684" i="10"/>
  <c r="I687" i="10"/>
  <c r="J741" i="12"/>
  <c r="E909" i="14"/>
  <c r="F909" i="14" s="1"/>
  <c r="Q606" i="13"/>
  <c r="I606" i="13"/>
  <c r="H739" i="12"/>
  <c r="J739" i="12" s="1"/>
  <c r="I548" i="11"/>
  <c r="I547" i="11"/>
  <c r="H610" i="13"/>
  <c r="J610" i="13" s="1"/>
  <c r="P611" i="13"/>
  <c r="E817" i="15"/>
  <c r="F817" i="15" s="1"/>
  <c r="H816" i="15"/>
  <c r="I817" i="15"/>
  <c r="N610" i="13"/>
  <c r="I686" i="10"/>
  <c r="H743" i="12"/>
  <c r="J743" i="12" s="1"/>
  <c r="F912" i="14"/>
  <c r="E911" i="14"/>
  <c r="E910" i="14" s="1"/>
  <c r="J744" i="12"/>
  <c r="K609" i="13"/>
  <c r="I742" i="12"/>
  <c r="K742" i="12" s="1"/>
  <c r="I550" i="11"/>
  <c r="H1187" i="11"/>
  <c r="H651" i="15"/>
  <c r="H652" i="15"/>
  <c r="E651" i="15"/>
  <c r="E652" i="15"/>
  <c r="N311" i="13"/>
  <c r="N310" i="13"/>
  <c r="H311" i="13"/>
  <c r="H310" i="13"/>
  <c r="K1166" i="11"/>
  <c r="K1167" i="11"/>
  <c r="H1166" i="11"/>
  <c r="H1167" i="11"/>
  <c r="K606" i="13" l="1"/>
  <c r="Q609" i="13"/>
  <c r="O596" i="13"/>
  <c r="I596" i="13"/>
  <c r="F910" i="14"/>
  <c r="P607" i="13"/>
  <c r="H606" i="13"/>
  <c r="J606" i="13" s="1"/>
  <c r="F813" i="15"/>
  <c r="I814" i="15"/>
  <c r="H813" i="15"/>
  <c r="E908" i="14"/>
  <c r="E907" i="14" s="1"/>
  <c r="F907" i="14" s="1"/>
  <c r="F911" i="14"/>
  <c r="H609" i="13"/>
  <c r="J609" i="13" s="1"/>
  <c r="E816" i="15"/>
  <c r="F816" i="15" s="1"/>
  <c r="N609" i="13"/>
  <c r="P609" i="13" s="1"/>
  <c r="P610" i="13"/>
  <c r="I816" i="15"/>
  <c r="H815" i="15"/>
  <c r="I815" i="15" s="1"/>
  <c r="H742" i="12"/>
  <c r="I228" i="12"/>
  <c r="K229" i="12"/>
  <c r="H229" i="12"/>
  <c r="J229" i="12" s="1"/>
  <c r="H192" i="10"/>
  <c r="H191" i="10" s="1"/>
  <c r="I193" i="10"/>
  <c r="J742" i="12" l="1"/>
  <c r="E815" i="15"/>
  <c r="F815" i="15" s="1"/>
  <c r="I813" i="15"/>
  <c r="H812" i="15"/>
  <c r="I812" i="15" s="1"/>
  <c r="F908" i="14"/>
  <c r="E885" i="14"/>
  <c r="E884" i="14" s="1"/>
  <c r="E883" i="14" s="1"/>
  <c r="F883" i="14" s="1"/>
  <c r="K228" i="12"/>
  <c r="H228" i="12"/>
  <c r="J228" i="12" s="1"/>
  <c r="I227" i="12"/>
  <c r="K227" i="12" s="1"/>
  <c r="I192" i="10"/>
  <c r="I191" i="10"/>
  <c r="K662" i="12"/>
  <c r="I606" i="10"/>
  <c r="H498" i="15"/>
  <c r="H497" i="15" s="1"/>
  <c r="H496" i="15"/>
  <c r="H495" i="15" s="1"/>
  <c r="E498" i="15"/>
  <c r="E497" i="15" s="1"/>
  <c r="E496" i="15"/>
  <c r="E495" i="15" s="1"/>
  <c r="K74" i="11"/>
  <c r="K73" i="11" s="1"/>
  <c r="K72" i="11"/>
  <c r="H74" i="11"/>
  <c r="H73" i="11" s="1"/>
  <c r="H72" i="11"/>
  <c r="H75" i="10"/>
  <c r="H74" i="10" s="1"/>
  <c r="H73" i="10"/>
  <c r="E494" i="15" l="1"/>
  <c r="J662" i="12"/>
  <c r="H494" i="15"/>
  <c r="F884" i="14"/>
  <c r="F885" i="14"/>
  <c r="H227" i="12"/>
  <c r="J227" i="12" s="1"/>
  <c r="E783" i="15"/>
  <c r="F784" i="15"/>
  <c r="O454" i="13"/>
  <c r="Q454" i="13" s="1"/>
  <c r="K454" i="13"/>
  <c r="J454" i="13"/>
  <c r="I454" i="13"/>
  <c r="H454" i="13"/>
  <c r="Q455" i="13"/>
  <c r="K1005" i="11"/>
  <c r="N455" i="13"/>
  <c r="I528" i="12"/>
  <c r="K529" i="12"/>
  <c r="H529" i="12"/>
  <c r="E870" i="14" s="1"/>
  <c r="I525" i="12"/>
  <c r="K526" i="12"/>
  <c r="H526" i="12"/>
  <c r="H525" i="12" s="1"/>
  <c r="H524" i="12" s="1"/>
  <c r="H1155" i="10"/>
  <c r="H1154" i="10" s="1"/>
  <c r="I1156" i="10"/>
  <c r="H1152" i="10"/>
  <c r="H1151" i="10" s="1"/>
  <c r="I1153" i="10"/>
  <c r="L1005" i="11" l="1"/>
  <c r="K1004" i="11"/>
  <c r="F302" i="14"/>
  <c r="K525" i="12"/>
  <c r="I524" i="12"/>
  <c r="K528" i="12"/>
  <c r="I527" i="12"/>
  <c r="F783" i="15"/>
  <c r="H784" i="15"/>
  <c r="P455" i="13"/>
  <c r="N454" i="13"/>
  <c r="L1006" i="11"/>
  <c r="J525" i="12"/>
  <c r="I1152" i="10"/>
  <c r="I1155" i="10"/>
  <c r="E869" i="14"/>
  <c r="F870" i="14"/>
  <c r="E867" i="14"/>
  <c r="F867" i="14" s="1"/>
  <c r="J529" i="12"/>
  <c r="H528" i="12"/>
  <c r="J526" i="12"/>
  <c r="N94" i="13"/>
  <c r="H543" i="15" s="1"/>
  <c r="H542" i="15" s="1"/>
  <c r="H94" i="13"/>
  <c r="E543" i="15" s="1"/>
  <c r="E542" i="15" s="1"/>
  <c r="K79" i="11"/>
  <c r="K78" i="11" s="1"/>
  <c r="K77" i="11" s="1"/>
  <c r="K76" i="11" s="1"/>
  <c r="K75" i="11" s="1"/>
  <c r="H79" i="11"/>
  <c r="H78" i="11" s="1"/>
  <c r="H77" i="11" s="1"/>
  <c r="H76" i="11" s="1"/>
  <c r="H75" i="11" s="1"/>
  <c r="F869" i="14" l="1"/>
  <c r="E868" i="14"/>
  <c r="P454" i="13"/>
  <c r="N453" i="13"/>
  <c r="J528" i="12"/>
  <c r="H527" i="12"/>
  <c r="I784" i="15"/>
  <c r="H783" i="15"/>
  <c r="E866" i="14"/>
  <c r="N93" i="13"/>
  <c r="H93" i="13"/>
  <c r="I783" i="15" l="1"/>
  <c r="H782" i="15"/>
  <c r="F866" i="14"/>
  <c r="E865" i="14"/>
  <c r="H758" i="10" l="1"/>
  <c r="H407" i="10"/>
  <c r="K1019" i="11" l="1"/>
  <c r="N759" i="13" s="1"/>
  <c r="H91" i="15" s="1"/>
  <c r="H1019" i="11"/>
  <c r="H759" i="13" s="1"/>
  <c r="I759" i="13" s="1"/>
  <c r="K1018" i="11"/>
  <c r="N758" i="13" s="1"/>
  <c r="H90" i="15" s="1"/>
  <c r="H1018" i="11"/>
  <c r="H1017" i="11" l="1"/>
  <c r="H1016" i="11" s="1"/>
  <c r="H1011" i="11" s="1"/>
  <c r="H1010" i="11" s="1"/>
  <c r="H1009" i="11" s="1"/>
  <c r="H89" i="15"/>
  <c r="H88" i="15" s="1"/>
  <c r="H758" i="13"/>
  <c r="I758" i="13" s="1"/>
  <c r="I757" i="13" s="1"/>
  <c r="I756" i="13" s="1"/>
  <c r="K1017" i="11"/>
  <c r="K1016" i="11" s="1"/>
  <c r="K1011" i="11" s="1"/>
  <c r="K1010" i="11" s="1"/>
  <c r="K1009" i="11" s="1"/>
  <c r="K1008" i="11" s="1"/>
  <c r="N757" i="13"/>
  <c r="N756" i="13" s="1"/>
  <c r="N751" i="13" s="1"/>
  <c r="N750" i="13" s="1"/>
  <c r="N749" i="13" s="1"/>
  <c r="O758" i="13"/>
  <c r="E91" i="15"/>
  <c r="O759" i="13"/>
  <c r="K90" i="11"/>
  <c r="K89" i="11" s="1"/>
  <c r="K88" i="11" s="1"/>
  <c r="H90" i="11"/>
  <c r="H89" i="11" s="1"/>
  <c r="H88" i="11" s="1"/>
  <c r="H87" i="11" s="1"/>
  <c r="H98" i="10"/>
  <c r="I98" i="10" s="1"/>
  <c r="H1180" i="10"/>
  <c r="N88" i="13"/>
  <c r="P88" i="13" s="1"/>
  <c r="N86" i="13"/>
  <c r="O86" i="13" s="1"/>
  <c r="H88" i="13"/>
  <c r="H87" i="13" s="1"/>
  <c r="H86" i="13"/>
  <c r="H85" i="13" s="1"/>
  <c r="H85" i="12"/>
  <c r="J85" i="12" s="1"/>
  <c r="H86" i="12"/>
  <c r="L74" i="11"/>
  <c r="L73" i="11"/>
  <c r="K71" i="11"/>
  <c r="I74" i="11"/>
  <c r="I73" i="11"/>
  <c r="I72" i="11"/>
  <c r="H71" i="11"/>
  <c r="H70" i="11" s="1"/>
  <c r="I75" i="10"/>
  <c r="H72" i="10"/>
  <c r="O466" i="13"/>
  <c r="Q466" i="13" s="1"/>
  <c r="O468" i="13"/>
  <c r="I468" i="13"/>
  <c r="K468" i="13" s="1"/>
  <c r="I466" i="13"/>
  <c r="K466" i="13" s="1"/>
  <c r="Q469" i="13"/>
  <c r="Q468" i="13"/>
  <c r="Q467" i="13"/>
  <c r="K469" i="13"/>
  <c r="K467" i="13"/>
  <c r="I540" i="12"/>
  <c r="I542" i="12"/>
  <c r="K543" i="12"/>
  <c r="K541" i="12"/>
  <c r="K409" i="11"/>
  <c r="L408" i="11"/>
  <c r="I410" i="11"/>
  <c r="H467" i="13"/>
  <c r="E356" i="15" s="1"/>
  <c r="H543" i="12"/>
  <c r="E376" i="14" s="1"/>
  <c r="H541" i="12"/>
  <c r="H540" i="12" l="1"/>
  <c r="J540" i="12" s="1"/>
  <c r="E374" i="14"/>
  <c r="J86" i="12"/>
  <c r="E512" i="14"/>
  <c r="O465" i="13"/>
  <c r="H104" i="13"/>
  <c r="H103" i="13" s="1"/>
  <c r="J103" i="13" s="1"/>
  <c r="L410" i="11"/>
  <c r="I90" i="11"/>
  <c r="H409" i="11"/>
  <c r="I409" i="11" s="1"/>
  <c r="E90" i="15"/>
  <c r="E89" i="15" s="1"/>
  <c r="E88" i="15" s="1"/>
  <c r="H757" i="13"/>
  <c r="H756" i="13" s="1"/>
  <c r="O459" i="13"/>
  <c r="Q465" i="13"/>
  <c r="J87" i="13"/>
  <c r="N467" i="13"/>
  <c r="H508" i="11"/>
  <c r="H407" i="11"/>
  <c r="K407" i="11"/>
  <c r="L407" i="11" s="1"/>
  <c r="N469" i="13"/>
  <c r="I71" i="11"/>
  <c r="L90" i="11"/>
  <c r="N104" i="13"/>
  <c r="N103" i="13" s="1"/>
  <c r="N102" i="13" s="1"/>
  <c r="N101" i="13" s="1"/>
  <c r="N100" i="13" s="1"/>
  <c r="N99" i="13" s="1"/>
  <c r="P99" i="13" s="1"/>
  <c r="I408" i="11"/>
  <c r="N567" i="13"/>
  <c r="H567" i="13"/>
  <c r="I70" i="11"/>
  <c r="K542" i="12"/>
  <c r="I485" i="10"/>
  <c r="H97" i="10"/>
  <c r="H96" i="10" s="1"/>
  <c r="H95" i="10" s="1"/>
  <c r="H94" i="10" s="1"/>
  <c r="I94" i="10" s="1"/>
  <c r="H108" i="12"/>
  <c r="L89" i="11"/>
  <c r="I89" i="11"/>
  <c r="O757" i="13"/>
  <c r="O756" i="13" s="1"/>
  <c r="L88" i="11"/>
  <c r="K87" i="11"/>
  <c r="H86" i="11"/>
  <c r="I87" i="11"/>
  <c r="I88" i="11"/>
  <c r="I86" i="13"/>
  <c r="I85" i="13" s="1"/>
  <c r="I88" i="13"/>
  <c r="I87" i="13" s="1"/>
  <c r="K87" i="13" s="1"/>
  <c r="Q86" i="13"/>
  <c r="O85" i="13"/>
  <c r="Q85" i="13" s="1"/>
  <c r="J88" i="13"/>
  <c r="J85" i="13"/>
  <c r="P86" i="13"/>
  <c r="N85" i="13"/>
  <c r="P85" i="13" s="1"/>
  <c r="J86" i="13"/>
  <c r="O88" i="13"/>
  <c r="N87" i="13"/>
  <c r="P87" i="13" s="1"/>
  <c r="I86" i="12"/>
  <c r="K86" i="12" s="1"/>
  <c r="I539" i="12"/>
  <c r="K539" i="12" s="1"/>
  <c r="H71" i="10"/>
  <c r="H70" i="10" s="1"/>
  <c r="H69" i="10" s="1"/>
  <c r="I69" i="10" s="1"/>
  <c r="I72" i="10"/>
  <c r="I487" i="10"/>
  <c r="H486" i="10"/>
  <c r="I486" i="10" s="1"/>
  <c r="I73" i="10"/>
  <c r="H84" i="12"/>
  <c r="E510" i="14" s="1"/>
  <c r="I74" i="10"/>
  <c r="H84" i="13"/>
  <c r="J84" i="13" s="1"/>
  <c r="E355" i="15"/>
  <c r="K70" i="11"/>
  <c r="L71" i="11"/>
  <c r="L72" i="11"/>
  <c r="H69" i="11"/>
  <c r="K508" i="11"/>
  <c r="K406" i="11"/>
  <c r="K400" i="11" s="1"/>
  <c r="L409" i="11"/>
  <c r="H469" i="13"/>
  <c r="E358" i="15" s="1"/>
  <c r="J467" i="13"/>
  <c r="H466" i="13"/>
  <c r="J466" i="13" s="1"/>
  <c r="H542" i="12"/>
  <c r="J542" i="12" s="1"/>
  <c r="J543" i="12"/>
  <c r="H484" i="10"/>
  <c r="J541" i="12"/>
  <c r="I465" i="13"/>
  <c r="K540" i="12"/>
  <c r="K399" i="11" l="1"/>
  <c r="K398" i="11" s="1"/>
  <c r="K397" i="11" s="1"/>
  <c r="O458" i="13"/>
  <c r="O457" i="13" s="1"/>
  <c r="O456" i="13" s="1"/>
  <c r="I104" i="13"/>
  <c r="I103" i="13" s="1"/>
  <c r="I102" i="13" s="1"/>
  <c r="I101" i="13" s="1"/>
  <c r="I100" i="13" s="1"/>
  <c r="K100" i="13" s="1"/>
  <c r="J104" i="13"/>
  <c r="P469" i="13"/>
  <c r="H358" i="15"/>
  <c r="H357" i="15" s="1"/>
  <c r="N466" i="13"/>
  <c r="P466" i="13" s="1"/>
  <c r="H356" i="15"/>
  <c r="H355" i="15" s="1"/>
  <c r="I108" i="12"/>
  <c r="I107" i="12" s="1"/>
  <c r="K107" i="12" s="1"/>
  <c r="E876" i="14"/>
  <c r="H102" i="13"/>
  <c r="H101" i="13" s="1"/>
  <c r="P103" i="13"/>
  <c r="N468" i="13"/>
  <c r="P468" i="13" s="1"/>
  <c r="O104" i="13"/>
  <c r="Q104" i="13" s="1"/>
  <c r="P104" i="13"/>
  <c r="P467" i="13"/>
  <c r="I96" i="10"/>
  <c r="J108" i="12"/>
  <c r="K465" i="13"/>
  <c r="I459" i="13"/>
  <c r="H406" i="11"/>
  <c r="H400" i="11" s="1"/>
  <c r="I407" i="11"/>
  <c r="P101" i="13"/>
  <c r="L406" i="11"/>
  <c r="P100" i="13"/>
  <c r="H107" i="12"/>
  <c r="H106" i="12" s="1"/>
  <c r="H105" i="12" s="1"/>
  <c r="J105" i="12" s="1"/>
  <c r="I97" i="10"/>
  <c r="I95" i="10"/>
  <c r="H68" i="10"/>
  <c r="I68" i="10" s="1"/>
  <c r="H93" i="10"/>
  <c r="I93" i="10" s="1"/>
  <c r="H83" i="13"/>
  <c r="J83" i="13" s="1"/>
  <c r="P102" i="13"/>
  <c r="K86" i="13"/>
  <c r="I70" i="10"/>
  <c r="L87" i="11"/>
  <c r="K86" i="11"/>
  <c r="I86" i="11"/>
  <c r="H85" i="11"/>
  <c r="I85" i="11" s="1"/>
  <c r="I84" i="13"/>
  <c r="K84" i="13" s="1"/>
  <c r="K85" i="13"/>
  <c r="K88" i="13"/>
  <c r="N84" i="13"/>
  <c r="Q88" i="13"/>
  <c r="O87" i="13"/>
  <c r="I85" i="12"/>
  <c r="K85" i="12" s="1"/>
  <c r="I84" i="12"/>
  <c r="J84" i="12"/>
  <c r="H83" i="12"/>
  <c r="I71" i="10"/>
  <c r="L70" i="11"/>
  <c r="K69" i="11"/>
  <c r="I69" i="11"/>
  <c r="H68" i="11"/>
  <c r="J469" i="13"/>
  <c r="E357" i="15"/>
  <c r="E354" i="15" s="1"/>
  <c r="E348" i="15" s="1"/>
  <c r="E320" i="15" s="1"/>
  <c r="E319" i="15" s="1"/>
  <c r="H468" i="13"/>
  <c r="J468" i="13" s="1"/>
  <c r="H483" i="10"/>
  <c r="I483" i="10" s="1"/>
  <c r="I484" i="10"/>
  <c r="H539" i="12"/>
  <c r="J539" i="12" s="1"/>
  <c r="H399" i="11" l="1"/>
  <c r="H398" i="11" s="1"/>
  <c r="H397" i="11" s="1"/>
  <c r="I458" i="13"/>
  <c r="I457" i="13" s="1"/>
  <c r="I456" i="13" s="1"/>
  <c r="J102" i="13"/>
  <c r="K102" i="13"/>
  <c r="K104" i="13"/>
  <c r="K103" i="13"/>
  <c r="K101" i="13"/>
  <c r="I106" i="12"/>
  <c r="K106" i="12" s="1"/>
  <c r="K108" i="12"/>
  <c r="I406" i="11"/>
  <c r="I99" i="13"/>
  <c r="K99" i="13" s="1"/>
  <c r="H354" i="15"/>
  <c r="H348" i="15" s="1"/>
  <c r="H320" i="15" s="1"/>
  <c r="H319" i="15" s="1"/>
  <c r="N465" i="13"/>
  <c r="P465" i="13" s="1"/>
  <c r="O103" i="13"/>
  <c r="Q103" i="13" s="1"/>
  <c r="H82" i="13"/>
  <c r="H81" i="13" s="1"/>
  <c r="J106" i="12"/>
  <c r="H104" i="12"/>
  <c r="H103" i="12" s="1"/>
  <c r="J103" i="12" s="1"/>
  <c r="J107" i="12"/>
  <c r="H100" i="13"/>
  <c r="J101" i="13"/>
  <c r="I83" i="13"/>
  <c r="I82" i="13" s="1"/>
  <c r="K85" i="11"/>
  <c r="L85" i="11" s="1"/>
  <c r="L86" i="11"/>
  <c r="Q87" i="13"/>
  <c r="O84" i="13"/>
  <c r="N83" i="13"/>
  <c r="P84" i="13"/>
  <c r="H82" i="12"/>
  <c r="J83" i="12"/>
  <c r="I83" i="12"/>
  <c r="K84" i="12"/>
  <c r="L69" i="11"/>
  <c r="K68" i="11"/>
  <c r="I68" i="11"/>
  <c r="H67" i="11"/>
  <c r="H465" i="13"/>
  <c r="I105" i="12" l="1"/>
  <c r="K105" i="12" s="1"/>
  <c r="J82" i="13"/>
  <c r="N459" i="13"/>
  <c r="O102" i="13"/>
  <c r="O101" i="13" s="1"/>
  <c r="J104" i="12"/>
  <c r="H99" i="13"/>
  <c r="J99" i="13" s="1"/>
  <c r="J100" i="13"/>
  <c r="I67" i="11"/>
  <c r="H21" i="11"/>
  <c r="K83" i="13"/>
  <c r="K82" i="13"/>
  <c r="I81" i="13"/>
  <c r="I35" i="13" s="1"/>
  <c r="N82" i="13"/>
  <c r="P83" i="13"/>
  <c r="Q84" i="13"/>
  <c r="O83" i="13"/>
  <c r="J81" i="13"/>
  <c r="H81" i="12"/>
  <c r="J82" i="12"/>
  <c r="I82" i="12"/>
  <c r="K83" i="12"/>
  <c r="L68" i="11"/>
  <c r="K67" i="11"/>
  <c r="J465" i="13"/>
  <c r="H459" i="13"/>
  <c r="N458" i="13" l="1"/>
  <c r="N457" i="13" s="1"/>
  <c r="N456" i="13" s="1"/>
  <c r="H458" i="13"/>
  <c r="H457" i="13" s="1"/>
  <c r="H456" i="13" s="1"/>
  <c r="I104" i="12"/>
  <c r="K104" i="12" s="1"/>
  <c r="Q102" i="13"/>
  <c r="Q101" i="13"/>
  <c r="O100" i="13"/>
  <c r="L67" i="11"/>
  <c r="K21" i="11"/>
  <c r="K81" i="13"/>
  <c r="N81" i="13"/>
  <c r="P82" i="13"/>
  <c r="Q83" i="13"/>
  <c r="O82" i="13"/>
  <c r="I81" i="12"/>
  <c r="K82" i="12"/>
  <c r="H80" i="12"/>
  <c r="J81" i="12"/>
  <c r="I103" i="12" l="1"/>
  <c r="K103" i="12" s="1"/>
  <c r="O99" i="13"/>
  <c r="Q99" i="13" s="1"/>
  <c r="Q100" i="13"/>
  <c r="P81" i="13"/>
  <c r="O81" i="13"/>
  <c r="Q82" i="13"/>
  <c r="H79" i="12"/>
  <c r="J79" i="12" s="1"/>
  <c r="J80" i="12"/>
  <c r="K81" i="12"/>
  <c r="I80" i="12"/>
  <c r="O35" i="13" l="1"/>
  <c r="Q81" i="13"/>
  <c r="I79" i="12"/>
  <c r="K79" i="12" s="1"/>
  <c r="K80" i="12"/>
  <c r="O550" i="13" l="1"/>
  <c r="I550" i="13"/>
  <c r="I549" i="13" s="1"/>
  <c r="O547" i="13"/>
  <c r="O546" i="13" s="1"/>
  <c r="I547" i="13"/>
  <c r="I546" i="13" s="1"/>
  <c r="O544" i="13"/>
  <c r="O543" i="13" s="1"/>
  <c r="I544" i="13"/>
  <c r="O541" i="13"/>
  <c r="O540" i="13" s="1"/>
  <c r="I541" i="13"/>
  <c r="I540" i="13" s="1"/>
  <c r="N551" i="13"/>
  <c r="P551" i="13" s="1"/>
  <c r="H551" i="13"/>
  <c r="J551" i="13" s="1"/>
  <c r="N548" i="13"/>
  <c r="P548" i="13" s="1"/>
  <c r="H548" i="13"/>
  <c r="E487" i="15" s="1"/>
  <c r="N545" i="13"/>
  <c r="P545" i="13" s="1"/>
  <c r="H545" i="13"/>
  <c r="E484" i="15" s="1"/>
  <c r="Q551" i="13"/>
  <c r="Q548" i="13"/>
  <c r="Q545" i="13"/>
  <c r="Q542" i="13"/>
  <c r="N542" i="13"/>
  <c r="P542" i="13" s="1"/>
  <c r="K551" i="13"/>
  <c r="K548" i="13"/>
  <c r="K545" i="13"/>
  <c r="K542" i="13"/>
  <c r="H542" i="13"/>
  <c r="E481" i="15" s="1"/>
  <c r="I636" i="12"/>
  <c r="I635" i="12" s="1"/>
  <c r="H637" i="12"/>
  <c r="H636" i="12" s="1"/>
  <c r="I639" i="12"/>
  <c r="I638" i="12" s="1"/>
  <c r="H640" i="12"/>
  <c r="H639" i="12" s="1"/>
  <c r="H638" i="12" s="1"/>
  <c r="I642" i="12"/>
  <c r="I641" i="12" s="1"/>
  <c r="H643" i="12"/>
  <c r="H642" i="12" s="1"/>
  <c r="I645" i="12"/>
  <c r="I644" i="12" s="1"/>
  <c r="K646" i="12"/>
  <c r="K643" i="12"/>
  <c r="K640" i="12"/>
  <c r="K637" i="12"/>
  <c r="H646" i="12"/>
  <c r="E504" i="14" s="1"/>
  <c r="L492" i="11"/>
  <c r="K491" i="11"/>
  <c r="L489" i="11"/>
  <c r="K488" i="11"/>
  <c r="L486" i="11"/>
  <c r="K485" i="11"/>
  <c r="L485" i="11" s="1"/>
  <c r="L483" i="11"/>
  <c r="K482" i="11"/>
  <c r="K481" i="11" s="1"/>
  <c r="I492" i="11"/>
  <c r="H491" i="11"/>
  <c r="H490" i="11" s="1"/>
  <c r="I489" i="11"/>
  <c r="H488" i="11"/>
  <c r="I486" i="11"/>
  <c r="H485" i="11"/>
  <c r="I483" i="11"/>
  <c r="H482" i="11"/>
  <c r="H481" i="11" s="1"/>
  <c r="H589" i="10"/>
  <c r="H588" i="10" s="1"/>
  <c r="H586" i="10"/>
  <c r="H585" i="10" s="1"/>
  <c r="H583" i="10"/>
  <c r="H582" i="10" s="1"/>
  <c r="H580" i="10"/>
  <c r="H579" i="10" s="1"/>
  <c r="I590" i="10"/>
  <c r="I587" i="10"/>
  <c r="I584" i="10"/>
  <c r="I581" i="10"/>
  <c r="F798" i="15"/>
  <c r="F797" i="15" s="1"/>
  <c r="F796" i="15" s="1"/>
  <c r="F795" i="15" s="1"/>
  <c r="O207" i="13"/>
  <c r="I207" i="13"/>
  <c r="I206" i="13" s="1"/>
  <c r="Q208" i="13"/>
  <c r="N208" i="13"/>
  <c r="N207" i="13" s="1"/>
  <c r="K208" i="13"/>
  <c r="H208" i="13"/>
  <c r="H207" i="13" s="1"/>
  <c r="H206" i="13" s="1"/>
  <c r="H205" i="13" s="1"/>
  <c r="I231" i="12"/>
  <c r="I230" i="12" s="1"/>
  <c r="K232" i="12"/>
  <c r="H232" i="12"/>
  <c r="H231" i="12" s="1"/>
  <c r="K168" i="11"/>
  <c r="K167" i="11" s="1"/>
  <c r="H168" i="11"/>
  <c r="H167" i="11" s="1"/>
  <c r="L169" i="11"/>
  <c r="I169" i="11"/>
  <c r="H195" i="10"/>
  <c r="H194" i="10" s="1"/>
  <c r="H190" i="10" s="1"/>
  <c r="I196" i="10"/>
  <c r="O287" i="13"/>
  <c r="I287" i="13"/>
  <c r="H963" i="13"/>
  <c r="E42" i="15" s="1"/>
  <c r="K1187" i="11"/>
  <c r="N963" i="13" s="1"/>
  <c r="H42" i="15" s="1"/>
  <c r="K1186" i="11"/>
  <c r="H1186" i="11"/>
  <c r="H962" i="13" s="1"/>
  <c r="E41" i="15" s="1"/>
  <c r="H225" i="15"/>
  <c r="H226" i="15"/>
  <c r="E226" i="15"/>
  <c r="E225" i="15"/>
  <c r="E239" i="14"/>
  <c r="Q999" i="13"/>
  <c r="N999" i="13"/>
  <c r="K999" i="13"/>
  <c r="H999" i="13"/>
  <c r="Q995" i="13"/>
  <c r="N995" i="13"/>
  <c r="K995" i="13"/>
  <c r="H995" i="13"/>
  <c r="K1150" i="12"/>
  <c r="H1150" i="12"/>
  <c r="K1146" i="12"/>
  <c r="H1146" i="12"/>
  <c r="L1221" i="11"/>
  <c r="I1221" i="11"/>
  <c r="L1217" i="11"/>
  <c r="I1217" i="11"/>
  <c r="I1361" i="10"/>
  <c r="I1357" i="10"/>
  <c r="K1193" i="11"/>
  <c r="N969" i="13" s="1"/>
  <c r="H48" i="15" s="1"/>
  <c r="H47" i="15" s="1"/>
  <c r="H46" i="15" s="1"/>
  <c r="H1193" i="11"/>
  <c r="H1328" i="10"/>
  <c r="H650" i="15"/>
  <c r="H647" i="15" s="1"/>
  <c r="E650" i="15"/>
  <c r="E647" i="15" s="1"/>
  <c r="E646" i="15" s="1"/>
  <c r="E645" i="15" s="1"/>
  <c r="N309" i="13"/>
  <c r="N308" i="13" s="1"/>
  <c r="N307" i="13" s="1"/>
  <c r="N306" i="13" s="1"/>
  <c r="N305" i="13" s="1"/>
  <c r="N288" i="13" s="1"/>
  <c r="H309" i="13"/>
  <c r="H308" i="13" s="1"/>
  <c r="H307" i="13" s="1"/>
  <c r="H306" i="13" s="1"/>
  <c r="H305" i="13" s="1"/>
  <c r="H288" i="13" s="1"/>
  <c r="K1165" i="11"/>
  <c r="K1164" i="11" s="1"/>
  <c r="K1163" i="11" s="1"/>
  <c r="K1162" i="11" s="1"/>
  <c r="K1161" i="11" s="1"/>
  <c r="K1160" i="11" s="1"/>
  <c r="K1159" i="11" s="1"/>
  <c r="H1165" i="11"/>
  <c r="H1164" i="11" s="1"/>
  <c r="H1163" i="11" s="1"/>
  <c r="H1162" i="11" s="1"/>
  <c r="H1161" i="11" s="1"/>
  <c r="H1160" i="11" s="1"/>
  <c r="H1159" i="11" s="1"/>
  <c r="N962" i="13"/>
  <c r="K1209" i="11"/>
  <c r="N987" i="13" s="1"/>
  <c r="H78" i="15" s="1"/>
  <c r="H77" i="15" s="1"/>
  <c r="H76" i="15" s="1"/>
  <c r="H75" i="15" s="1"/>
  <c r="H74" i="15" s="1"/>
  <c r="H1209" i="11"/>
  <c r="H987" i="13" s="1"/>
  <c r="E78" i="15" s="1"/>
  <c r="E77" i="15" s="1"/>
  <c r="E76" i="15" s="1"/>
  <c r="E75" i="15" s="1"/>
  <c r="E74" i="15" s="1"/>
  <c r="H83" i="15"/>
  <c r="H82" i="15" s="1"/>
  <c r="E83" i="15"/>
  <c r="K1181" i="11"/>
  <c r="N957" i="13" s="1"/>
  <c r="H32" i="15" s="1"/>
  <c r="K1180" i="11"/>
  <c r="H1181" i="11"/>
  <c r="H957" i="13" s="1"/>
  <c r="H1180" i="11"/>
  <c r="H1315" i="10"/>
  <c r="O448" i="13"/>
  <c r="Q448" i="13" s="1"/>
  <c r="Q449" i="13"/>
  <c r="N449" i="13"/>
  <c r="H778" i="15" s="1"/>
  <c r="I448" i="13"/>
  <c r="K448" i="13" s="1"/>
  <c r="K449" i="13"/>
  <c r="L1000" i="11"/>
  <c r="K999" i="11"/>
  <c r="H1000" i="11"/>
  <c r="H449" i="13" s="1"/>
  <c r="E778" i="15" s="1"/>
  <c r="K995" i="11"/>
  <c r="K994" i="11" s="1"/>
  <c r="K993" i="11" s="1"/>
  <c r="N445" i="13"/>
  <c r="N444" i="13" s="1"/>
  <c r="N443" i="13" s="1"/>
  <c r="N442" i="13" s="1"/>
  <c r="H996" i="11"/>
  <c r="H445" i="13" s="1"/>
  <c r="E774" i="15" s="1"/>
  <c r="E773" i="15" s="1"/>
  <c r="E772" i="15" s="1"/>
  <c r="E771" i="15" s="1"/>
  <c r="O837" i="13"/>
  <c r="O836" i="13" s="1"/>
  <c r="Q838" i="13"/>
  <c r="I837" i="13"/>
  <c r="K838" i="13"/>
  <c r="K1083" i="11"/>
  <c r="N838" i="13" s="1"/>
  <c r="H164" i="15" s="1"/>
  <c r="H1083" i="11"/>
  <c r="H1082" i="11" s="1"/>
  <c r="K1080" i="11"/>
  <c r="K1079" i="11" s="1"/>
  <c r="H1080" i="11"/>
  <c r="I1080" i="11" s="1"/>
  <c r="O831" i="13"/>
  <c r="Q832" i="13"/>
  <c r="I831" i="13"/>
  <c r="K832" i="13"/>
  <c r="I519" i="12"/>
  <c r="I518" i="12" s="1"/>
  <c r="K520" i="12"/>
  <c r="H520" i="12"/>
  <c r="E861" i="14" s="1"/>
  <c r="H646" i="15" l="1"/>
  <c r="H645" i="15" s="1"/>
  <c r="K831" i="13"/>
  <c r="I830" i="13"/>
  <c r="Q831" i="13"/>
  <c r="O830" i="13"/>
  <c r="H1185" i="11"/>
  <c r="H1184" i="11" s="1"/>
  <c r="Q544" i="13"/>
  <c r="H1079" i="11"/>
  <c r="H832" i="13"/>
  <c r="E158" i="15" s="1"/>
  <c r="E157" i="15" s="1"/>
  <c r="P995" i="13"/>
  <c r="N994" i="13"/>
  <c r="N993" i="13" s="1"/>
  <c r="N992" i="13" s="1"/>
  <c r="H243" i="15"/>
  <c r="I243" i="15" s="1"/>
  <c r="N998" i="13"/>
  <c r="N997" i="13" s="1"/>
  <c r="N996" i="13" s="1"/>
  <c r="J995" i="13"/>
  <c r="H994" i="13"/>
  <c r="J1150" i="12"/>
  <c r="H1149" i="12"/>
  <c r="H224" i="15"/>
  <c r="H223" i="15" s="1"/>
  <c r="E224" i="15"/>
  <c r="E223" i="15" s="1"/>
  <c r="F239" i="14"/>
  <c r="E238" i="14"/>
  <c r="J999" i="13"/>
  <c r="H998" i="13"/>
  <c r="K837" i="13"/>
  <c r="I836" i="13"/>
  <c r="J548" i="13"/>
  <c r="Q541" i="13"/>
  <c r="J1146" i="12"/>
  <c r="H1145" i="12"/>
  <c r="K1185" i="11"/>
  <c r="K1184" i="11" s="1"/>
  <c r="I1082" i="11"/>
  <c r="H1081" i="11"/>
  <c r="N832" i="13"/>
  <c r="H158" i="15" s="1"/>
  <c r="H157" i="15" s="1"/>
  <c r="H156" i="15" s="1"/>
  <c r="L1080" i="11"/>
  <c r="H995" i="11"/>
  <c r="H994" i="11" s="1"/>
  <c r="H993" i="11" s="1"/>
  <c r="H1179" i="11"/>
  <c r="H1178" i="11" s="1"/>
  <c r="H1177" i="11" s="1"/>
  <c r="H1176" i="11" s="1"/>
  <c r="K1179" i="11"/>
  <c r="K1178" i="11" s="1"/>
  <c r="K1177" i="11" s="1"/>
  <c r="K1176" i="11" s="1"/>
  <c r="Q207" i="13"/>
  <c r="Q543" i="13"/>
  <c r="Q546" i="13"/>
  <c r="Q550" i="13"/>
  <c r="Q547" i="13"/>
  <c r="K546" i="13"/>
  <c r="K550" i="13"/>
  <c r="O549" i="13"/>
  <c r="Q549" i="13" s="1"/>
  <c r="J545" i="13"/>
  <c r="K544" i="13"/>
  <c r="Q837" i="13"/>
  <c r="K540" i="13"/>
  <c r="L1083" i="11"/>
  <c r="H999" i="11"/>
  <c r="K1192" i="11"/>
  <c r="K1191" i="11" s="1"/>
  <c r="K1183" i="11" s="1"/>
  <c r="H1219" i="11"/>
  <c r="H1218" i="11" s="1"/>
  <c r="H956" i="13"/>
  <c r="E31" i="15" s="1"/>
  <c r="K1208" i="11"/>
  <c r="K1207" i="11" s="1"/>
  <c r="K1206" i="11" s="1"/>
  <c r="K1205" i="11" s="1"/>
  <c r="H1215" i="11"/>
  <c r="H1214" i="11" s="1"/>
  <c r="L481" i="11"/>
  <c r="I1079" i="11"/>
  <c r="L999" i="11"/>
  <c r="K1082" i="11"/>
  <c r="K1081" i="11" s="1"/>
  <c r="L482" i="11"/>
  <c r="K639" i="12"/>
  <c r="K635" i="12"/>
  <c r="K636" i="12"/>
  <c r="K638" i="12"/>
  <c r="L168" i="11"/>
  <c r="I485" i="11"/>
  <c r="I488" i="11"/>
  <c r="L488" i="11"/>
  <c r="L491" i="11"/>
  <c r="L1079" i="11"/>
  <c r="H838" i="13"/>
  <c r="E164" i="15" s="1"/>
  <c r="E163" i="15" s="1"/>
  <c r="K1215" i="11"/>
  <c r="K1214" i="11" s="1"/>
  <c r="K1219" i="11"/>
  <c r="K1218" i="11" s="1"/>
  <c r="I482" i="11"/>
  <c r="I491" i="11"/>
  <c r="I1083" i="11"/>
  <c r="I1000" i="11"/>
  <c r="N956" i="13"/>
  <c r="H31" i="15" s="1"/>
  <c r="H30" i="15" s="1"/>
  <c r="H29" i="15" s="1"/>
  <c r="H25" i="15" s="1"/>
  <c r="H24" i="15" s="1"/>
  <c r="I168" i="11"/>
  <c r="H1208" i="11"/>
  <c r="H1207" i="11" s="1"/>
  <c r="H1206" i="11" s="1"/>
  <c r="H1205" i="11" s="1"/>
  <c r="I490" i="11"/>
  <c r="O206" i="13"/>
  <c r="K231" i="12"/>
  <c r="E483" i="15"/>
  <c r="F484" i="15"/>
  <c r="F481" i="15"/>
  <c r="E480" i="15"/>
  <c r="E479" i="15" s="1"/>
  <c r="F479" i="15" s="1"/>
  <c r="E486" i="15"/>
  <c r="E485" i="15" s="1"/>
  <c r="F485" i="15" s="1"/>
  <c r="F487" i="15"/>
  <c r="H490" i="15"/>
  <c r="H484" i="15"/>
  <c r="J542" i="13"/>
  <c r="H541" i="13"/>
  <c r="H540" i="13" s="1"/>
  <c r="N541" i="13"/>
  <c r="H547" i="13"/>
  <c r="N547" i="13"/>
  <c r="E490" i="15"/>
  <c r="H487" i="15"/>
  <c r="H481" i="15"/>
  <c r="H544" i="13"/>
  <c r="H543" i="13" s="1"/>
  <c r="J543" i="13" s="1"/>
  <c r="N544" i="13"/>
  <c r="H550" i="13"/>
  <c r="N550" i="13"/>
  <c r="J643" i="12"/>
  <c r="K519" i="12"/>
  <c r="I634" i="12"/>
  <c r="I633" i="12" s="1"/>
  <c r="I614" i="12" s="1"/>
  <c r="K645" i="12"/>
  <c r="J640" i="12"/>
  <c r="I586" i="10"/>
  <c r="I588" i="10"/>
  <c r="I583" i="10"/>
  <c r="J637" i="12"/>
  <c r="H645" i="12"/>
  <c r="J645" i="12" s="1"/>
  <c r="I580" i="10"/>
  <c r="H635" i="12"/>
  <c r="J636" i="12"/>
  <c r="E503" i="14"/>
  <c r="E502" i="14" s="1"/>
  <c r="F502" i="14" s="1"/>
  <c r="F504" i="14"/>
  <c r="J642" i="12"/>
  <c r="H641" i="12"/>
  <c r="J641" i="12" s="1"/>
  <c r="E495" i="14"/>
  <c r="E498" i="14"/>
  <c r="E501" i="14"/>
  <c r="J646" i="12"/>
  <c r="K549" i="13"/>
  <c r="K547" i="13"/>
  <c r="I543" i="13"/>
  <c r="K543" i="13" s="1"/>
  <c r="K541" i="13"/>
  <c r="J639" i="12"/>
  <c r="J638" i="12"/>
  <c r="K641" i="12"/>
  <c r="K642" i="12"/>
  <c r="K644" i="12"/>
  <c r="K490" i="11"/>
  <c r="L490" i="11" s="1"/>
  <c r="K487" i="11"/>
  <c r="L487" i="11" s="1"/>
  <c r="K484" i="11"/>
  <c r="L484" i="11" s="1"/>
  <c r="I481" i="11"/>
  <c r="H487" i="11"/>
  <c r="I487" i="11" s="1"/>
  <c r="H484" i="11"/>
  <c r="P208" i="13"/>
  <c r="E799" i="15"/>
  <c r="E798" i="15" s="1"/>
  <c r="E797" i="15" s="1"/>
  <c r="E796" i="15" s="1"/>
  <c r="E795" i="15" s="1"/>
  <c r="E785" i="15" s="1"/>
  <c r="P207" i="13"/>
  <c r="N206" i="13"/>
  <c r="J208" i="13"/>
  <c r="H799" i="15"/>
  <c r="I589" i="10"/>
  <c r="I585" i="10"/>
  <c r="I582" i="10"/>
  <c r="H578" i="10"/>
  <c r="I579" i="10"/>
  <c r="E888" i="14"/>
  <c r="F888" i="14" s="1"/>
  <c r="J232" i="12"/>
  <c r="H230" i="12"/>
  <c r="J231" i="12"/>
  <c r="H204" i="13"/>
  <c r="J205" i="13"/>
  <c r="I205" i="13"/>
  <c r="K206" i="13"/>
  <c r="K207" i="13"/>
  <c r="J207" i="13"/>
  <c r="J206" i="13"/>
  <c r="I226" i="12"/>
  <c r="L167" i="11"/>
  <c r="K166" i="11"/>
  <c r="H166" i="11"/>
  <c r="I167" i="11"/>
  <c r="P999" i="13"/>
  <c r="H997" i="13"/>
  <c r="H996" i="13" s="1"/>
  <c r="N961" i="13"/>
  <c r="N960" i="13" s="1"/>
  <c r="E243" i="15"/>
  <c r="E40" i="15"/>
  <c r="F40" i="15" s="1"/>
  <c r="I194" i="10"/>
  <c r="I195" i="10"/>
  <c r="P449" i="13"/>
  <c r="N448" i="13"/>
  <c r="H993" i="13"/>
  <c r="H992" i="13" s="1"/>
  <c r="H986" i="13"/>
  <c r="H985" i="13" s="1"/>
  <c r="H984" i="13" s="1"/>
  <c r="H983" i="13" s="1"/>
  <c r="N968" i="13"/>
  <c r="N967" i="13" s="1"/>
  <c r="H41" i="15"/>
  <c r="H40" i="15" s="1"/>
  <c r="H35" i="15" s="1"/>
  <c r="H34" i="15" s="1"/>
  <c r="H777" i="15"/>
  <c r="I778" i="15"/>
  <c r="E777" i="15"/>
  <c r="E776" i="15" s="1"/>
  <c r="F778" i="15"/>
  <c r="J449" i="13"/>
  <c r="H448" i="13"/>
  <c r="H447" i="13" s="1"/>
  <c r="E32" i="15"/>
  <c r="N986" i="13"/>
  <c r="N985" i="13" s="1"/>
  <c r="N984" i="13" s="1"/>
  <c r="N983" i="13" s="1"/>
  <c r="H961" i="13"/>
  <c r="H960" i="13" s="1"/>
  <c r="J520" i="12"/>
  <c r="H519" i="12"/>
  <c r="E860" i="14"/>
  <c r="E859" i="14" s="1"/>
  <c r="F861" i="14"/>
  <c r="H774" i="15"/>
  <c r="H773" i="15" s="1"/>
  <c r="H772" i="15" s="1"/>
  <c r="H771" i="15" s="1"/>
  <c r="P838" i="13"/>
  <c r="N837" i="13"/>
  <c r="N836" i="13" s="1"/>
  <c r="H163" i="15"/>
  <c r="I164" i="15"/>
  <c r="H444" i="13"/>
  <c r="H443" i="13" s="1"/>
  <c r="H442" i="13" s="1"/>
  <c r="J832" i="13"/>
  <c r="P832" i="13"/>
  <c r="F157" i="15" l="1"/>
  <c r="E156" i="15"/>
  <c r="L1082" i="11"/>
  <c r="H1077" i="11"/>
  <c r="H831" i="13"/>
  <c r="H830" i="13" s="1"/>
  <c r="H242" i="15"/>
  <c r="H237" i="15" s="1"/>
  <c r="H236" i="15" s="1"/>
  <c r="I777" i="15"/>
  <c r="H776" i="15"/>
  <c r="F243" i="15"/>
  <c r="E242" i="15"/>
  <c r="E237" i="15" s="1"/>
  <c r="E236" i="15" s="1"/>
  <c r="F163" i="15"/>
  <c r="E162" i="15"/>
  <c r="I163" i="15"/>
  <c r="H162" i="15"/>
  <c r="I158" i="15"/>
  <c r="N959" i="13"/>
  <c r="N831" i="13"/>
  <c r="N830" i="13" s="1"/>
  <c r="P448" i="13"/>
  <c r="N447" i="13"/>
  <c r="N446" i="13" s="1"/>
  <c r="N426" i="13" s="1"/>
  <c r="N425" i="13" s="1"/>
  <c r="N424" i="13" s="1"/>
  <c r="J519" i="12"/>
  <c r="H518" i="12"/>
  <c r="I999" i="11"/>
  <c r="H998" i="11"/>
  <c r="H997" i="11" s="1"/>
  <c r="H992" i="11" s="1"/>
  <c r="H991" i="11" s="1"/>
  <c r="H990" i="11" s="1"/>
  <c r="H981" i="11" s="1"/>
  <c r="K1077" i="11"/>
  <c r="H1213" i="11"/>
  <c r="H1212" i="11" s="1"/>
  <c r="K634" i="12"/>
  <c r="E30" i="15"/>
  <c r="E29" i="15" s="1"/>
  <c r="E25" i="15" s="1"/>
  <c r="E24" i="15" s="1"/>
  <c r="H955" i="13"/>
  <c r="H954" i="13" s="1"/>
  <c r="H950" i="13" s="1"/>
  <c r="O539" i="13"/>
  <c r="O538" i="13" s="1"/>
  <c r="Q538" i="13" s="1"/>
  <c r="Q540" i="13"/>
  <c r="I539" i="13"/>
  <c r="K997" i="11"/>
  <c r="K992" i="11" s="1"/>
  <c r="K991" i="11" s="1"/>
  <c r="K990" i="11" s="1"/>
  <c r="K981" i="11" s="1"/>
  <c r="H226" i="12"/>
  <c r="H225" i="12" s="1"/>
  <c r="K633" i="12"/>
  <c r="N955" i="13"/>
  <c r="N954" i="13" s="1"/>
  <c r="N950" i="13" s="1"/>
  <c r="E887" i="14"/>
  <c r="E886" i="14" s="1"/>
  <c r="F503" i="14"/>
  <c r="F164" i="15"/>
  <c r="J838" i="13"/>
  <c r="H837" i="13"/>
  <c r="H836" i="13" s="1"/>
  <c r="K1213" i="11"/>
  <c r="K1212" i="11" s="1"/>
  <c r="F486" i="15"/>
  <c r="J541" i="13"/>
  <c r="F480" i="15"/>
  <c r="J544" i="13"/>
  <c r="O205" i="13"/>
  <c r="Q206" i="13"/>
  <c r="P544" i="13"/>
  <c r="N543" i="13"/>
  <c r="P543" i="13" s="1"/>
  <c r="I487" i="15"/>
  <c r="H486" i="15"/>
  <c r="P541" i="13"/>
  <c r="N540" i="13"/>
  <c r="I484" i="15"/>
  <c r="H483" i="15"/>
  <c r="N549" i="13"/>
  <c r="P549" i="13" s="1"/>
  <c r="P550" i="13"/>
  <c r="P547" i="13"/>
  <c r="N546" i="13"/>
  <c r="P546" i="13" s="1"/>
  <c r="J540" i="13"/>
  <c r="I490" i="15"/>
  <c r="H489" i="15"/>
  <c r="J550" i="13"/>
  <c r="H549" i="13"/>
  <c r="J549" i="13" s="1"/>
  <c r="I481" i="15"/>
  <c r="H480" i="15"/>
  <c r="E489" i="15"/>
  <c r="F490" i="15"/>
  <c r="H546" i="13"/>
  <c r="J546" i="13" s="1"/>
  <c r="J547" i="13"/>
  <c r="E482" i="15"/>
  <c r="F482" i="15" s="1"/>
  <c r="F483" i="15"/>
  <c r="J226" i="12"/>
  <c r="K230" i="12"/>
  <c r="H644" i="12"/>
  <c r="J644" i="12" s="1"/>
  <c r="E500" i="14"/>
  <c r="F501" i="14"/>
  <c r="J635" i="12"/>
  <c r="F498" i="14"/>
  <c r="E497" i="14"/>
  <c r="F495" i="14"/>
  <c r="E494" i="14"/>
  <c r="K480" i="11"/>
  <c r="H480" i="11"/>
  <c r="I484" i="11"/>
  <c r="H991" i="13"/>
  <c r="H990" i="13" s="1"/>
  <c r="H798" i="15"/>
  <c r="I799" i="15"/>
  <c r="P206" i="13"/>
  <c r="N205" i="13"/>
  <c r="H577" i="10"/>
  <c r="H558" i="10" s="1"/>
  <c r="I578" i="10"/>
  <c r="J230" i="12"/>
  <c r="I204" i="13"/>
  <c r="K205" i="13"/>
  <c r="J204" i="13"/>
  <c r="H203" i="13"/>
  <c r="J203" i="13" s="1"/>
  <c r="I225" i="12"/>
  <c r="K226" i="12"/>
  <c r="K165" i="11"/>
  <c r="L166" i="11"/>
  <c r="H165" i="11"/>
  <c r="I166" i="11"/>
  <c r="N991" i="13"/>
  <c r="N990" i="13" s="1"/>
  <c r="E35" i="15"/>
  <c r="I190" i="10"/>
  <c r="H189" i="10"/>
  <c r="F777" i="15"/>
  <c r="E775" i="15"/>
  <c r="E755" i="15" s="1"/>
  <c r="E749" i="15" s="1"/>
  <c r="H446" i="13"/>
  <c r="H426" i="13" s="1"/>
  <c r="H425" i="13" s="1"/>
  <c r="H424" i="13" s="1"/>
  <c r="J448" i="13"/>
  <c r="F860" i="14"/>
  <c r="P837" i="13"/>
  <c r="I157" i="15"/>
  <c r="H775" i="15" l="1"/>
  <c r="H755" i="15" s="1"/>
  <c r="H749" i="15" s="1"/>
  <c r="J831" i="13"/>
  <c r="F887" i="14"/>
  <c r="P831" i="13"/>
  <c r="I577" i="10"/>
  <c r="Q539" i="13"/>
  <c r="I538" i="13"/>
  <c r="K538" i="13" s="1"/>
  <c r="K539" i="13"/>
  <c r="H224" i="12"/>
  <c r="J224" i="12" s="1"/>
  <c r="J225" i="12"/>
  <c r="E882" i="14"/>
  <c r="F882" i="14" s="1"/>
  <c r="F886" i="14"/>
  <c r="J837" i="13"/>
  <c r="Q205" i="13"/>
  <c r="O204" i="13"/>
  <c r="H634" i="12"/>
  <c r="H633" i="12" s="1"/>
  <c r="H614" i="12" s="1"/>
  <c r="E488" i="15"/>
  <c r="F488" i="15" s="1"/>
  <c r="F489" i="15"/>
  <c r="H479" i="15"/>
  <c r="I480" i="15"/>
  <c r="H488" i="15"/>
  <c r="I488" i="15" s="1"/>
  <c r="I489" i="15"/>
  <c r="I483" i="15"/>
  <c r="H482" i="15"/>
  <c r="I482" i="15" s="1"/>
  <c r="H485" i="15"/>
  <c r="I485" i="15" s="1"/>
  <c r="I486" i="15"/>
  <c r="H539" i="13"/>
  <c r="N539" i="13"/>
  <c r="P540" i="13"/>
  <c r="F497" i="14"/>
  <c r="E496" i="14"/>
  <c r="F496" i="14" s="1"/>
  <c r="F500" i="14"/>
  <c r="E499" i="14"/>
  <c r="F499" i="14" s="1"/>
  <c r="E493" i="14"/>
  <c r="F493" i="14" s="1"/>
  <c r="F494" i="14"/>
  <c r="L480" i="11"/>
  <c r="K479" i="11"/>
  <c r="K470" i="11" s="1"/>
  <c r="H479" i="11"/>
  <c r="H470" i="11" s="1"/>
  <c r="I480" i="11"/>
  <c r="H797" i="15"/>
  <c r="I798" i="15"/>
  <c r="P205" i="13"/>
  <c r="N204" i="13"/>
  <c r="I203" i="13"/>
  <c r="K203" i="13" s="1"/>
  <c r="K204" i="13"/>
  <c r="I224" i="12"/>
  <c r="K224" i="12" s="1"/>
  <c r="K225" i="12"/>
  <c r="K164" i="11"/>
  <c r="L164" i="11" s="1"/>
  <c r="L165" i="11"/>
  <c r="H164" i="11"/>
  <c r="I164" i="11" s="1"/>
  <c r="I165" i="11"/>
  <c r="I189" i="10"/>
  <c r="H188" i="10"/>
  <c r="I188" i="10" s="1"/>
  <c r="J633" i="12" l="1"/>
  <c r="E881" i="14"/>
  <c r="F881" i="14" s="1"/>
  <c r="L479" i="11"/>
  <c r="K469" i="11"/>
  <c r="I479" i="11"/>
  <c r="H469" i="11"/>
  <c r="J634" i="12"/>
  <c r="E478" i="15"/>
  <c r="E477" i="15" s="1"/>
  <c r="E463" i="15" s="1"/>
  <c r="O203" i="13"/>
  <c r="Q203" i="13" s="1"/>
  <c r="Q204" i="13"/>
  <c r="H538" i="13"/>
  <c r="H529" i="13" s="1"/>
  <c r="J539" i="13"/>
  <c r="H478" i="15"/>
  <c r="H477" i="15" s="1"/>
  <c r="H463" i="15" s="1"/>
  <c r="I479" i="15"/>
  <c r="P539" i="13"/>
  <c r="N538" i="13"/>
  <c r="N529" i="13" s="1"/>
  <c r="I797" i="15"/>
  <c r="H796" i="15"/>
  <c r="P204" i="13"/>
  <c r="N203" i="13"/>
  <c r="P203" i="13" s="1"/>
  <c r="P538" i="13" l="1"/>
  <c r="N528" i="13"/>
  <c r="J538" i="13"/>
  <c r="H528" i="13"/>
  <c r="I796" i="15"/>
  <c r="H795" i="15"/>
  <c r="H785" i="15" s="1"/>
  <c r="I795" i="15" l="1"/>
  <c r="H1146" i="10" l="1"/>
  <c r="H1145" i="10" s="1"/>
  <c r="I1147" i="10"/>
  <c r="I1073" i="12"/>
  <c r="K1075" i="12"/>
  <c r="H1075" i="12"/>
  <c r="J1075" i="12" s="1"/>
  <c r="I1275" i="10"/>
  <c r="H1273" i="10"/>
  <c r="H1235" i="10"/>
  <c r="I1146" i="10" l="1"/>
  <c r="E247" i="14"/>
  <c r="F247" i="14" s="1"/>
  <c r="H629" i="13" l="1"/>
  <c r="H628" i="13" s="1"/>
  <c r="E835" i="15"/>
  <c r="E834" i="15" s="1"/>
  <c r="N629" i="13"/>
  <c r="N628" i="13" s="1"/>
  <c r="H835" i="15"/>
  <c r="H834" i="15" s="1"/>
  <c r="I989" i="12"/>
  <c r="I988" i="12" s="1"/>
  <c r="K990" i="12"/>
  <c r="H990" i="12"/>
  <c r="E1024" i="14" s="1"/>
  <c r="H873" i="10"/>
  <c r="H872" i="10" s="1"/>
  <c r="I874" i="10"/>
  <c r="I976" i="12"/>
  <c r="I975" i="12" s="1"/>
  <c r="K977" i="12"/>
  <c r="H977" i="12"/>
  <c r="H976" i="12" s="1"/>
  <c r="H860" i="10"/>
  <c r="H859" i="10" s="1"/>
  <c r="I861" i="10"/>
  <c r="H83" i="10"/>
  <c r="H82" i="10" s="1"/>
  <c r="H81" i="10"/>
  <c r="I704" i="12"/>
  <c r="I703" i="12" s="1"/>
  <c r="K705" i="12"/>
  <c r="H705" i="12"/>
  <c r="E469" i="14" s="1"/>
  <c r="H648" i="10"/>
  <c r="H647" i="10" s="1"/>
  <c r="H646" i="10" s="1"/>
  <c r="I649" i="10"/>
  <c r="I241" i="12"/>
  <c r="K242" i="12"/>
  <c r="H242" i="12"/>
  <c r="E1081" i="14" s="1"/>
  <c r="H205" i="10"/>
  <c r="H204" i="10" s="1"/>
  <c r="I206" i="10"/>
  <c r="H462" i="10"/>
  <c r="I1285" i="12"/>
  <c r="K1285" i="12" s="1"/>
  <c r="K1286" i="12"/>
  <c r="H1479" i="10"/>
  <c r="H1478" i="10" s="1"/>
  <c r="H1477" i="10" s="1"/>
  <c r="H570" i="11" l="1"/>
  <c r="H569" i="11" s="1"/>
  <c r="K570" i="11"/>
  <c r="K569" i="11" s="1"/>
  <c r="I82" i="10"/>
  <c r="J976" i="12"/>
  <c r="I873" i="10"/>
  <c r="K989" i="12"/>
  <c r="I860" i="10"/>
  <c r="K241" i="12"/>
  <c r="I240" i="12"/>
  <c r="K240" i="12" s="1"/>
  <c r="I872" i="10"/>
  <c r="I859" i="10"/>
  <c r="E1023" i="14"/>
  <c r="F1024" i="14"/>
  <c r="H989" i="12"/>
  <c r="H988" i="12" s="1"/>
  <c r="J988" i="12" s="1"/>
  <c r="J990" i="12"/>
  <c r="K988" i="12"/>
  <c r="J977" i="12"/>
  <c r="E171" i="14"/>
  <c r="K975" i="12"/>
  <c r="I974" i="12"/>
  <c r="K974" i="12" s="1"/>
  <c r="K976" i="12"/>
  <c r="H975" i="12"/>
  <c r="H974" i="12" s="1"/>
  <c r="J974" i="12" s="1"/>
  <c r="K704" i="12"/>
  <c r="H858" i="10"/>
  <c r="I858" i="10" s="1"/>
  <c r="I204" i="10"/>
  <c r="I83" i="10"/>
  <c r="H94" i="12"/>
  <c r="I94" i="12" s="1"/>
  <c r="I93" i="12" s="1"/>
  <c r="K93" i="12" s="1"/>
  <c r="H1286" i="12"/>
  <c r="E279" i="14" s="1"/>
  <c r="E278" i="14" s="1"/>
  <c r="I648" i="10"/>
  <c r="I1479" i="10"/>
  <c r="I205" i="10"/>
  <c r="J705" i="12"/>
  <c r="H704" i="12"/>
  <c r="H703" i="12" s="1"/>
  <c r="H702" i="12" s="1"/>
  <c r="H701" i="12" s="1"/>
  <c r="E468" i="14"/>
  <c r="F469" i="14"/>
  <c r="K703" i="12"/>
  <c r="I702" i="12"/>
  <c r="H645" i="10"/>
  <c r="J242" i="12"/>
  <c r="H241" i="12"/>
  <c r="H240" i="12" s="1"/>
  <c r="J240" i="12" s="1"/>
  <c r="E1080" i="14"/>
  <c r="F1081" i="14"/>
  <c r="I1478" i="10"/>
  <c r="F278" i="14" l="1"/>
  <c r="E277" i="14"/>
  <c r="I646" i="10"/>
  <c r="I647" i="10"/>
  <c r="J989" i="12"/>
  <c r="E1022" i="14"/>
  <c r="F1022" i="14" s="1"/>
  <c r="F1023" i="14"/>
  <c r="F171" i="14"/>
  <c r="E170" i="14"/>
  <c r="J975" i="12"/>
  <c r="F279" i="14"/>
  <c r="H1285" i="12"/>
  <c r="J1286" i="12"/>
  <c r="E541" i="14"/>
  <c r="E540" i="14" s="1"/>
  <c r="F540" i="14" s="1"/>
  <c r="J94" i="12"/>
  <c r="K94" i="12"/>
  <c r="H93" i="12"/>
  <c r="J93" i="12" s="1"/>
  <c r="J702" i="12"/>
  <c r="J703" i="12"/>
  <c r="J704" i="12"/>
  <c r="E467" i="14"/>
  <c r="F468" i="14"/>
  <c r="J701" i="12"/>
  <c r="H700" i="12"/>
  <c r="J700" i="12" s="1"/>
  <c r="I701" i="12"/>
  <c r="K702" i="12"/>
  <c r="H644" i="10"/>
  <c r="I644" i="10" s="1"/>
  <c r="I645" i="10"/>
  <c r="J241" i="12"/>
  <c r="E1079" i="14"/>
  <c r="F1079" i="14" s="1"/>
  <c r="F1080" i="14"/>
  <c r="J1285" i="12" l="1"/>
  <c r="H1284" i="12"/>
  <c r="F467" i="14"/>
  <c r="E466" i="14"/>
  <c r="E169" i="14"/>
  <c r="F170" i="14"/>
  <c r="F541" i="14"/>
  <c r="I700" i="12"/>
  <c r="K700" i="12" s="1"/>
  <c r="K701" i="12"/>
  <c r="E168" i="14" l="1"/>
  <c r="F168" i="14" s="1"/>
  <c r="F169" i="14"/>
  <c r="I611" i="12" l="1"/>
  <c r="I606" i="12" s="1"/>
  <c r="K612" i="12"/>
  <c r="H612" i="12"/>
  <c r="E1073" i="14" s="1"/>
  <c r="H555" i="10"/>
  <c r="H550" i="10" s="1"/>
  <c r="I556" i="10"/>
  <c r="I237" i="12"/>
  <c r="I234" i="12" s="1"/>
  <c r="K239" i="12"/>
  <c r="H239" i="12"/>
  <c r="I203" i="10"/>
  <c r="H237" i="12" l="1"/>
  <c r="H234" i="12" s="1"/>
  <c r="J234" i="12" s="1"/>
  <c r="H611" i="12"/>
  <c r="F1073" i="14"/>
  <c r="H549" i="10"/>
  <c r="I549" i="10" s="1"/>
  <c r="I555" i="10"/>
  <c r="I198" i="10"/>
  <c r="I201" i="10"/>
  <c r="K237" i="12"/>
  <c r="K611" i="12"/>
  <c r="J612" i="12"/>
  <c r="K606" i="12"/>
  <c r="I605" i="12"/>
  <c r="K605" i="12" s="1"/>
  <c r="E1074" i="14"/>
  <c r="F1074" i="14" s="1"/>
  <c r="J239" i="12"/>
  <c r="K234" i="12"/>
  <c r="O45" i="1"/>
  <c r="K720" i="11"/>
  <c r="K719" i="11" s="1"/>
  <c r="K718" i="11" s="1"/>
  <c r="K713" i="11" s="1"/>
  <c r="K712" i="11" s="1"/>
  <c r="K705" i="11" s="1"/>
  <c r="H720" i="11"/>
  <c r="H719" i="11" s="1"/>
  <c r="H718" i="11" s="1"/>
  <c r="H713" i="11" s="1"/>
  <c r="H712" i="11" s="1"/>
  <c r="C54" i="2"/>
  <c r="H161" i="15"/>
  <c r="H160" i="15" s="1"/>
  <c r="O834" i="13"/>
  <c r="Q834" i="13" s="1"/>
  <c r="N834" i="13"/>
  <c r="P834" i="13" s="1"/>
  <c r="Q835" i="13"/>
  <c r="P835" i="13"/>
  <c r="I834" i="13"/>
  <c r="I833" i="13" s="1"/>
  <c r="K835" i="13"/>
  <c r="H835" i="13"/>
  <c r="J835" i="13" s="1"/>
  <c r="K710" i="11"/>
  <c r="K709" i="11" s="1"/>
  <c r="K708" i="11" s="1"/>
  <c r="L711" i="11"/>
  <c r="H710" i="11"/>
  <c r="H709" i="11" s="1"/>
  <c r="H708" i="11" s="1"/>
  <c r="I711" i="11"/>
  <c r="F17" i="2"/>
  <c r="C17" i="2"/>
  <c r="K1051" i="11"/>
  <c r="K1050" i="11" s="1"/>
  <c r="K1049" i="11" s="1"/>
  <c r="H1051" i="11"/>
  <c r="H1050" i="11" s="1"/>
  <c r="H1049" i="11" s="1"/>
  <c r="I710" i="11" l="1"/>
  <c r="H606" i="12"/>
  <c r="H605" i="12" s="1"/>
  <c r="J605" i="12" s="1"/>
  <c r="O833" i="13"/>
  <c r="Q833" i="13" s="1"/>
  <c r="N833" i="13"/>
  <c r="N829" i="13" s="1"/>
  <c r="J237" i="12"/>
  <c r="J611" i="12"/>
  <c r="N803" i="13"/>
  <c r="N802" i="13" s="1"/>
  <c r="N801" i="13" s="1"/>
  <c r="H707" i="11"/>
  <c r="H706" i="11" s="1"/>
  <c r="H705" i="11" s="1"/>
  <c r="L709" i="11"/>
  <c r="H803" i="13"/>
  <c r="I803" i="13" s="1"/>
  <c r="I802" i="13" s="1"/>
  <c r="I801" i="13" s="1"/>
  <c r="H848" i="13"/>
  <c r="E921" i="15" s="1"/>
  <c r="E920" i="15" s="1"/>
  <c r="E919" i="15" s="1"/>
  <c r="E918" i="15" s="1"/>
  <c r="N848" i="13"/>
  <c r="N847" i="13" s="1"/>
  <c r="N846" i="13" s="1"/>
  <c r="N845" i="13" s="1"/>
  <c r="N840" i="13" s="1"/>
  <c r="N839" i="13" s="1"/>
  <c r="I709" i="11"/>
  <c r="L710" i="11"/>
  <c r="H159" i="15"/>
  <c r="H155" i="15" s="1"/>
  <c r="I160" i="15"/>
  <c r="I161" i="15"/>
  <c r="H834" i="13"/>
  <c r="H833" i="13" s="1"/>
  <c r="H829" i="13" s="1"/>
  <c r="E161" i="15"/>
  <c r="I550" i="10"/>
  <c r="K833" i="13"/>
  <c r="K834" i="13"/>
  <c r="J606" i="12" l="1"/>
  <c r="P833" i="13"/>
  <c r="H124" i="15"/>
  <c r="H123" i="15" s="1"/>
  <c r="H122" i="15" s="1"/>
  <c r="O803" i="13"/>
  <c r="O802" i="13" s="1"/>
  <c r="O801" i="13" s="1"/>
  <c r="H921" i="15"/>
  <c r="H920" i="15" s="1"/>
  <c r="H919" i="15" s="1"/>
  <c r="H918" i="15" s="1"/>
  <c r="J834" i="13"/>
  <c r="H802" i="13"/>
  <c r="H801" i="13" s="1"/>
  <c r="E124" i="15"/>
  <c r="E123" i="15" s="1"/>
  <c r="E122" i="15" s="1"/>
  <c r="H847" i="13"/>
  <c r="H846" i="13" s="1"/>
  <c r="H845" i="13" s="1"/>
  <c r="H840" i="13" s="1"/>
  <c r="H839" i="13" s="1"/>
  <c r="J833" i="13"/>
  <c r="I159" i="15"/>
  <c r="E160" i="15"/>
  <c r="F161" i="15"/>
  <c r="E159" i="15" l="1"/>
  <c r="E155" i="15" s="1"/>
  <c r="F160" i="15"/>
  <c r="O829" i="13"/>
  <c r="I829" i="13"/>
  <c r="F20" i="2"/>
  <c r="C20" i="2"/>
  <c r="K1047" i="11"/>
  <c r="K1046" i="11" s="1"/>
  <c r="K1045" i="11" s="1"/>
  <c r="H1047" i="11"/>
  <c r="H1046" i="11" s="1"/>
  <c r="H1045" i="11" s="1"/>
  <c r="H1197" i="10"/>
  <c r="N800" i="13"/>
  <c r="P800" i="13" s="1"/>
  <c r="H800" i="13"/>
  <c r="J800" i="13" s="1"/>
  <c r="L1048" i="11"/>
  <c r="I1048" i="11"/>
  <c r="H945" i="12"/>
  <c r="I945" i="12" s="1"/>
  <c r="K945" i="12" s="1"/>
  <c r="I1199" i="10"/>
  <c r="O783" i="13"/>
  <c r="O782" i="13" s="1"/>
  <c r="Q784" i="13"/>
  <c r="N784" i="13"/>
  <c r="N783" i="13" s="1"/>
  <c r="P783" i="13" s="1"/>
  <c r="I783" i="13"/>
  <c r="I782" i="13" s="1"/>
  <c r="K784" i="13"/>
  <c r="H784" i="13"/>
  <c r="E913" i="15" s="1"/>
  <c r="G56" i="2"/>
  <c r="D56" i="2"/>
  <c r="K703" i="11"/>
  <c r="K702" i="11" s="1"/>
  <c r="L704" i="11"/>
  <c r="H703" i="11"/>
  <c r="H702" i="11" s="1"/>
  <c r="I704" i="11"/>
  <c r="P58" i="1"/>
  <c r="I850" i="10"/>
  <c r="I926" i="12"/>
  <c r="I925" i="12" s="1"/>
  <c r="K927" i="12"/>
  <c r="O869" i="13"/>
  <c r="O868" i="13" s="1"/>
  <c r="Q870" i="13"/>
  <c r="N870" i="13"/>
  <c r="H184" i="15" s="1"/>
  <c r="I869" i="13"/>
  <c r="I868" i="13" s="1"/>
  <c r="K870" i="13"/>
  <c r="H870" i="13"/>
  <c r="J870" i="13" s="1"/>
  <c r="K1104" i="11"/>
  <c r="K1103" i="11" s="1"/>
  <c r="K1102" i="11" s="1"/>
  <c r="K1086" i="11" s="1"/>
  <c r="I1104" i="11"/>
  <c r="I1103" i="11" s="1"/>
  <c r="H1104" i="11"/>
  <c r="H1103" i="11" s="1"/>
  <c r="L1105" i="11"/>
  <c r="C44" i="2"/>
  <c r="H1032" i="11"/>
  <c r="H775" i="13" s="1"/>
  <c r="H774" i="13" s="1"/>
  <c r="H773" i="13" s="1"/>
  <c r="H769" i="13" s="1"/>
  <c r="H768" i="13" s="1"/>
  <c r="H767" i="13" s="1"/>
  <c r="H969" i="13"/>
  <c r="E48" i="15" s="1"/>
  <c r="E47" i="15" s="1"/>
  <c r="E46" i="15" s="1"/>
  <c r="E34" i="15" s="1"/>
  <c r="C41" i="2"/>
  <c r="H1192" i="11"/>
  <c r="H1191" i="11" s="1"/>
  <c r="H1183" i="11" s="1"/>
  <c r="O39" i="1"/>
  <c r="N621" i="13"/>
  <c r="N620" i="13" s="1"/>
  <c r="N619" i="13" s="1"/>
  <c r="F55" i="2"/>
  <c r="K562" i="11"/>
  <c r="K561" i="11" s="1"/>
  <c r="K560" i="11" s="1"/>
  <c r="F45" i="2"/>
  <c r="C45" i="2"/>
  <c r="K742" i="11"/>
  <c r="N929" i="13" s="1"/>
  <c r="H248" i="15" s="1"/>
  <c r="H247" i="15" s="1"/>
  <c r="H246" i="15" s="1"/>
  <c r="H245" i="15" s="1"/>
  <c r="H244" i="15" s="1"/>
  <c r="H193" i="15" s="1"/>
  <c r="H742" i="11"/>
  <c r="H741" i="11" s="1"/>
  <c r="H740" i="11" s="1"/>
  <c r="H739" i="11" s="1"/>
  <c r="H738" i="11" s="1"/>
  <c r="H737" i="11" s="1"/>
  <c r="H736" i="11" s="1"/>
  <c r="P57" i="1"/>
  <c r="N799" i="13" l="1"/>
  <c r="N798" i="13" s="1"/>
  <c r="N797" i="13" s="1"/>
  <c r="H1036" i="11"/>
  <c r="H1035" i="11" s="1"/>
  <c r="H1034" i="11" s="1"/>
  <c r="H1033" i="11" s="1"/>
  <c r="K1036" i="11"/>
  <c r="K1035" i="11" s="1"/>
  <c r="K1034" i="11" s="1"/>
  <c r="K1033" i="11" s="1"/>
  <c r="K869" i="13"/>
  <c r="Q869" i="13"/>
  <c r="H1102" i="11"/>
  <c r="L702" i="11"/>
  <c r="H929" i="13"/>
  <c r="H928" i="13" s="1"/>
  <c r="H927" i="13" s="1"/>
  <c r="H926" i="13" s="1"/>
  <c r="H925" i="13" s="1"/>
  <c r="H924" i="13" s="1"/>
  <c r="H907" i="13" s="1"/>
  <c r="H1031" i="11"/>
  <c r="H1030" i="11" s="1"/>
  <c r="H1029" i="11" s="1"/>
  <c r="H1028" i="11" s="1"/>
  <c r="H1027" i="11" s="1"/>
  <c r="H1008" i="11" s="1"/>
  <c r="L703" i="11"/>
  <c r="H799" i="13"/>
  <c r="I799" i="13" s="1"/>
  <c r="K741" i="11"/>
  <c r="K740" i="11" s="1"/>
  <c r="K739" i="11" s="1"/>
  <c r="K738" i="11" s="1"/>
  <c r="K737" i="11" s="1"/>
  <c r="K736" i="11" s="1"/>
  <c r="K1085" i="11"/>
  <c r="K1084" i="11" s="1"/>
  <c r="I702" i="11"/>
  <c r="L1103" i="11"/>
  <c r="L1104" i="11"/>
  <c r="K783" i="13"/>
  <c r="F159" i="15"/>
  <c r="I703" i="11"/>
  <c r="K926" i="12"/>
  <c r="H849" i="10"/>
  <c r="H848" i="10" s="1"/>
  <c r="I848" i="10" s="1"/>
  <c r="H927" i="12"/>
  <c r="E1013" i="14" s="1"/>
  <c r="F1013" i="14" s="1"/>
  <c r="J945" i="12"/>
  <c r="E134" i="14"/>
  <c r="F134" i="14" s="1"/>
  <c r="Q783" i="13"/>
  <c r="H827" i="15"/>
  <c r="H826" i="15" s="1"/>
  <c r="H825" i="15" s="1"/>
  <c r="H783" i="13"/>
  <c r="J783" i="13" s="1"/>
  <c r="O800" i="13"/>
  <c r="Q800" i="13" s="1"/>
  <c r="H121" i="15"/>
  <c r="I121" i="15" s="1"/>
  <c r="J784" i="13"/>
  <c r="I800" i="13"/>
  <c r="K800" i="13" s="1"/>
  <c r="E121" i="15"/>
  <c r="F121" i="15" s="1"/>
  <c r="P784" i="13"/>
  <c r="H913" i="15"/>
  <c r="H912" i="15" s="1"/>
  <c r="H911" i="15" s="1"/>
  <c r="I911" i="15" s="1"/>
  <c r="E912" i="15"/>
  <c r="F913" i="15"/>
  <c r="Q782" i="13"/>
  <c r="N782" i="13"/>
  <c r="N777" i="13" s="1"/>
  <c r="N776" i="13" s="1"/>
  <c r="K782" i="13"/>
  <c r="H869" i="13"/>
  <c r="H868" i="13" s="1"/>
  <c r="J868" i="13" s="1"/>
  <c r="P870" i="13"/>
  <c r="N869" i="13"/>
  <c r="P869" i="13" s="1"/>
  <c r="H183" i="15"/>
  <c r="I184" i="15"/>
  <c r="E184" i="15"/>
  <c r="K925" i="12"/>
  <c r="Q868" i="13"/>
  <c r="K868" i="13"/>
  <c r="H968" i="13"/>
  <c r="H967" i="13" s="1"/>
  <c r="H959" i="13" s="1"/>
  <c r="E235" i="15"/>
  <c r="E234" i="15" s="1"/>
  <c r="E233" i="15" s="1"/>
  <c r="E219" i="15" s="1"/>
  <c r="E218" i="15" s="1"/>
  <c r="N928" i="13"/>
  <c r="N927" i="13" s="1"/>
  <c r="N926" i="13" s="1"/>
  <c r="N925" i="13" s="1"/>
  <c r="N924" i="13" s="1"/>
  <c r="N907" i="13" s="1"/>
  <c r="H1086" i="11" l="1"/>
  <c r="H1085" i="11" s="1"/>
  <c r="H1084" i="11" s="1"/>
  <c r="H1007" i="11" s="1"/>
  <c r="H120" i="15"/>
  <c r="H119" i="15" s="1"/>
  <c r="H118" i="15" s="1"/>
  <c r="O799" i="13"/>
  <c r="O798" i="13" s="1"/>
  <c r="O797" i="13" s="1"/>
  <c r="N788" i="13"/>
  <c r="N787" i="13" s="1"/>
  <c r="N786" i="13" s="1"/>
  <c r="N785" i="13" s="1"/>
  <c r="K1007" i="11"/>
  <c r="N868" i="13"/>
  <c r="P868" i="13" s="1"/>
  <c r="H867" i="13"/>
  <c r="E248" i="15"/>
  <c r="E247" i="15" s="1"/>
  <c r="E246" i="15" s="1"/>
  <c r="E245" i="15" s="1"/>
  <c r="E244" i="15" s="1"/>
  <c r="E193" i="15" s="1"/>
  <c r="H798" i="13"/>
  <c r="H797" i="13" s="1"/>
  <c r="E120" i="15"/>
  <c r="E119" i="15" s="1"/>
  <c r="E118" i="15" s="1"/>
  <c r="I849" i="10"/>
  <c r="J927" i="12"/>
  <c r="E1012" i="14"/>
  <c r="E1011" i="14" s="1"/>
  <c r="H926" i="12"/>
  <c r="H782" i="13"/>
  <c r="J782" i="13" s="1"/>
  <c r="I913" i="15"/>
  <c r="I798" i="13"/>
  <c r="I797" i="13" s="1"/>
  <c r="I788" i="13" s="1"/>
  <c r="I912" i="15"/>
  <c r="H907" i="15"/>
  <c r="P782" i="13"/>
  <c r="E911" i="15"/>
  <c r="F911" i="15" s="1"/>
  <c r="F912" i="15"/>
  <c r="J869" i="13"/>
  <c r="H182" i="15"/>
  <c r="I183" i="15"/>
  <c r="E183" i="15"/>
  <c r="F184" i="15"/>
  <c r="H851" i="13" l="1"/>
  <c r="H850" i="13" s="1"/>
  <c r="H849" i="13" s="1"/>
  <c r="H788" i="13"/>
  <c r="H787" i="13" s="1"/>
  <c r="H786" i="13" s="1"/>
  <c r="H785" i="13" s="1"/>
  <c r="H107" i="15"/>
  <c r="H106" i="15" s="1"/>
  <c r="O788" i="13"/>
  <c r="O787" i="13" s="1"/>
  <c r="O786" i="13" s="1"/>
  <c r="O785" i="13" s="1"/>
  <c r="O747" i="13" s="1"/>
  <c r="E107" i="15"/>
  <c r="E106" i="15" s="1"/>
  <c r="N867" i="13"/>
  <c r="I182" i="15"/>
  <c r="H181" i="15"/>
  <c r="H165" i="15" s="1"/>
  <c r="F1012" i="14"/>
  <c r="J926" i="12"/>
  <c r="H925" i="12"/>
  <c r="J925" i="12" s="1"/>
  <c r="I787" i="13"/>
  <c r="E182" i="15"/>
  <c r="E181" i="15" s="1"/>
  <c r="E165" i="15" s="1"/>
  <c r="F183" i="15"/>
  <c r="F1011" i="14"/>
  <c r="N851" i="13" l="1"/>
  <c r="N850" i="13" s="1"/>
  <c r="N849" i="13" s="1"/>
  <c r="H81" i="15"/>
  <c r="I786" i="13"/>
  <c r="E81" i="15"/>
  <c r="F182" i="15"/>
  <c r="I785" i="13" l="1"/>
  <c r="O40" i="1"/>
  <c r="K556" i="11"/>
  <c r="I247" i="12" l="1"/>
  <c r="I246" i="12" s="1"/>
  <c r="K248" i="12"/>
  <c r="H248" i="12"/>
  <c r="E1094" i="14" s="1"/>
  <c r="K247" i="12" l="1"/>
  <c r="E1093" i="14"/>
  <c r="E1092" i="14" s="1"/>
  <c r="F1092" i="14" s="1"/>
  <c r="F1094" i="14"/>
  <c r="J248" i="12"/>
  <c r="H247" i="12"/>
  <c r="H246" i="12" s="1"/>
  <c r="J246" i="12" s="1"/>
  <c r="K246" i="12"/>
  <c r="F1093" i="14" l="1"/>
  <c r="J247" i="12"/>
  <c r="H211" i="10"/>
  <c r="H210" i="10" s="1"/>
  <c r="I212" i="10"/>
  <c r="I211" i="10" l="1"/>
  <c r="I210" i="10"/>
  <c r="I908" i="12"/>
  <c r="I907" i="12" s="1"/>
  <c r="K909" i="12"/>
  <c r="H909" i="12"/>
  <c r="E115" i="14" s="1"/>
  <c r="H1179" i="10"/>
  <c r="H1178" i="10" s="1"/>
  <c r="H1177" i="10" s="1"/>
  <c r="I1180" i="10"/>
  <c r="O56" i="1"/>
  <c r="P56" i="1" s="1"/>
  <c r="K908" i="12" l="1"/>
  <c r="I1179" i="10"/>
  <c r="J909" i="12"/>
  <c r="H908" i="12"/>
  <c r="H907" i="12" s="1"/>
  <c r="H906" i="12" s="1"/>
  <c r="E114" i="14"/>
  <c r="F115" i="14"/>
  <c r="I906" i="12"/>
  <c r="K906" i="12" s="1"/>
  <c r="K907" i="12"/>
  <c r="J906" i="12" l="1"/>
  <c r="I1177" i="10"/>
  <c r="I1178" i="10"/>
  <c r="J908" i="12"/>
  <c r="J907" i="12"/>
  <c r="E113" i="14"/>
  <c r="E112" i="14" s="1"/>
  <c r="F114" i="14"/>
  <c r="F113" i="14" l="1"/>
  <c r="F112" i="14"/>
  <c r="H545" i="15" l="1"/>
  <c r="H544" i="15" s="1"/>
  <c r="H541" i="15" s="1"/>
  <c r="H537" i="15" s="1"/>
  <c r="H536" i="15" s="1"/>
  <c r="H510" i="15" s="1"/>
  <c r="E545" i="15"/>
  <c r="E544" i="15" s="1"/>
  <c r="E541" i="15" s="1"/>
  <c r="E537" i="15" s="1"/>
  <c r="E536" i="15" s="1"/>
  <c r="E510" i="15" s="1"/>
  <c r="H33" i="15"/>
  <c r="H18" i="15" s="1"/>
  <c r="H958" i="13"/>
  <c r="H943" i="13" s="1"/>
  <c r="H942" i="13" s="1"/>
  <c r="H941" i="13" s="1"/>
  <c r="N96" i="13"/>
  <c r="N95" i="13" s="1"/>
  <c r="N92" i="13" s="1"/>
  <c r="N91" i="13" s="1"/>
  <c r="N90" i="13" s="1"/>
  <c r="N89" i="13" s="1"/>
  <c r="N35" i="13" s="1"/>
  <c r="H96" i="13"/>
  <c r="H95" i="13" s="1"/>
  <c r="K1182" i="11"/>
  <c r="K1170" i="11" s="1"/>
  <c r="K1169" i="11" s="1"/>
  <c r="K1168" i="11" s="1"/>
  <c r="H1182" i="11"/>
  <c r="H1170" i="11" s="1"/>
  <c r="H1169" i="11" s="1"/>
  <c r="H1168" i="11" s="1"/>
  <c r="K1153" i="11"/>
  <c r="K1152" i="11" s="1"/>
  <c r="K1151" i="11" s="1"/>
  <c r="K1150" i="11" s="1"/>
  <c r="K1149" i="11" s="1"/>
  <c r="K1148" i="11" s="1"/>
  <c r="K1147" i="11" s="1"/>
  <c r="K1146" i="11" s="1"/>
  <c r="H1153" i="11"/>
  <c r="H1152" i="11" s="1"/>
  <c r="H1151" i="11" s="1"/>
  <c r="H1150" i="11" s="1"/>
  <c r="H1149" i="11" s="1"/>
  <c r="H1148" i="11" s="1"/>
  <c r="H1147" i="11" s="1"/>
  <c r="H1146" i="11" s="1"/>
  <c r="C52" i="2"/>
  <c r="K460" i="11"/>
  <c r="K459" i="11" s="1"/>
  <c r="K458" i="11" s="1"/>
  <c r="K457" i="11" s="1"/>
  <c r="K456" i="11" s="1"/>
  <c r="K440" i="11" s="1"/>
  <c r="H461" i="11"/>
  <c r="H520" i="13" s="1"/>
  <c r="H519" i="13" s="1"/>
  <c r="H518" i="13" s="1"/>
  <c r="H517" i="13" s="1"/>
  <c r="H516" i="13" s="1"/>
  <c r="H515" i="13" s="1"/>
  <c r="H499" i="13" s="1"/>
  <c r="F40" i="2"/>
  <c r="C40" i="2"/>
  <c r="K306" i="11"/>
  <c r="N351" i="13" s="1"/>
  <c r="H306" i="11"/>
  <c r="H351" i="13" s="1"/>
  <c r="H350" i="13" s="1"/>
  <c r="H349" i="13" s="1"/>
  <c r="H342" i="13" s="1"/>
  <c r="H341" i="13" s="1"/>
  <c r="H340" i="13" s="1"/>
  <c r="H339" i="13" s="1"/>
  <c r="H287" i="13" s="1"/>
  <c r="O41" i="1"/>
  <c r="P16" i="1"/>
  <c r="H906" i="15"/>
  <c r="H905" i="15" s="1"/>
  <c r="N748" i="13"/>
  <c r="N747" i="13" s="1"/>
  <c r="I748" i="13"/>
  <c r="I747" i="13" s="1"/>
  <c r="H781" i="13"/>
  <c r="E910" i="15" s="1"/>
  <c r="E909" i="15" s="1"/>
  <c r="E908" i="15" s="1"/>
  <c r="K700" i="11"/>
  <c r="K699" i="11" s="1"/>
  <c r="K698" i="11" s="1"/>
  <c r="K697" i="11" s="1"/>
  <c r="K696" i="11" s="1"/>
  <c r="K689" i="11" s="1"/>
  <c r="K688" i="11" s="1"/>
  <c r="H700" i="11"/>
  <c r="H699" i="11" s="1"/>
  <c r="H698" i="11" s="1"/>
  <c r="H697" i="11" s="1"/>
  <c r="H696" i="11" s="1"/>
  <c r="H689" i="11" s="1"/>
  <c r="H688" i="11" s="1"/>
  <c r="K305" i="11" l="1"/>
  <c r="K304" i="11" s="1"/>
  <c r="K297" i="11" s="1"/>
  <c r="K296" i="11" s="1"/>
  <c r="K295" i="11" s="1"/>
  <c r="K294" i="11" s="1"/>
  <c r="K246" i="11" s="1"/>
  <c r="H92" i="13"/>
  <c r="H91" i="13" s="1"/>
  <c r="H90" i="13" s="1"/>
  <c r="H89" i="13" s="1"/>
  <c r="H35" i="13" s="1"/>
  <c r="N350" i="13"/>
  <c r="N349" i="13" s="1"/>
  <c r="N342" i="13" s="1"/>
  <c r="N341" i="13" s="1"/>
  <c r="N340" i="13" s="1"/>
  <c r="N339" i="13" s="1"/>
  <c r="N287" i="13" s="1"/>
  <c r="H687" i="15"/>
  <c r="H686" i="15" s="1"/>
  <c r="H685" i="15" s="1"/>
  <c r="H678" i="15" s="1"/>
  <c r="H677" i="15" s="1"/>
  <c r="H676" i="15" s="1"/>
  <c r="H305" i="11"/>
  <c r="H304" i="11" s="1"/>
  <c r="H297" i="11" s="1"/>
  <c r="H296" i="11" s="1"/>
  <c r="H295" i="11" s="1"/>
  <c r="H294" i="11" s="1"/>
  <c r="H246" i="11" s="1"/>
  <c r="H460" i="11"/>
  <c r="H459" i="11" s="1"/>
  <c r="H458" i="11" s="1"/>
  <c r="H457" i="11" s="1"/>
  <c r="H456" i="11" s="1"/>
  <c r="H440" i="11" s="1"/>
  <c r="E907" i="15"/>
  <c r="E906" i="15" s="1"/>
  <c r="E905" i="15" s="1"/>
  <c r="E687" i="15"/>
  <c r="E686" i="15" s="1"/>
  <c r="E685" i="15" s="1"/>
  <c r="E678" i="15" s="1"/>
  <c r="E677" i="15" s="1"/>
  <c r="E676" i="15" s="1"/>
  <c r="H780" i="13"/>
  <c r="H779" i="13" s="1"/>
  <c r="H778" i="13" s="1"/>
  <c r="E33" i="15"/>
  <c r="E18" i="15" s="1"/>
  <c r="E895" i="15"/>
  <c r="E894" i="15" s="1"/>
  <c r="E893" i="15" s="1"/>
  <c r="E892" i="15" s="1"/>
  <c r="E891" i="15" s="1"/>
  <c r="N958" i="13"/>
  <c r="N943" i="13" s="1"/>
  <c r="N942" i="13" s="1"/>
  <c r="N941" i="13" s="1"/>
  <c r="I335" i="12"/>
  <c r="I334" i="12" s="1"/>
  <c r="K336" i="12"/>
  <c r="H336" i="12"/>
  <c r="J336" i="12" s="1"/>
  <c r="H296" i="10"/>
  <c r="H295" i="10" s="1"/>
  <c r="I297" i="10"/>
  <c r="I222" i="12"/>
  <c r="I221" i="12" s="1"/>
  <c r="I220" i="12" s="1"/>
  <c r="K223" i="12"/>
  <c r="H223" i="12"/>
  <c r="E834" i="14" s="1"/>
  <c r="I215" i="12"/>
  <c r="K216" i="12"/>
  <c r="H216" i="12"/>
  <c r="J216" i="12" s="1"/>
  <c r="H186" i="10"/>
  <c r="H185" i="10" s="1"/>
  <c r="H184" i="10" s="1"/>
  <c r="I187" i="10"/>
  <c r="H179" i="10"/>
  <c r="H178" i="10" s="1"/>
  <c r="I180" i="10"/>
  <c r="I1303" i="12"/>
  <c r="I1302" i="12" s="1"/>
  <c r="K1304" i="12"/>
  <c r="H1304" i="12"/>
  <c r="H1303" i="12" s="1"/>
  <c r="H1016" i="10"/>
  <c r="I1017" i="10"/>
  <c r="N196" i="13"/>
  <c r="N195" i="13" s="1"/>
  <c r="H196" i="13"/>
  <c r="H203" i="12"/>
  <c r="L157" i="11"/>
  <c r="K156" i="11"/>
  <c r="K155" i="11" s="1"/>
  <c r="K154" i="11" s="1"/>
  <c r="K153" i="11" s="1"/>
  <c r="K147" i="11" s="1"/>
  <c r="K103" i="11" s="1"/>
  <c r="H156" i="11"/>
  <c r="H155" i="11" s="1"/>
  <c r="I157" i="11"/>
  <c r="H166" i="10"/>
  <c r="H165" i="10" s="1"/>
  <c r="I167" i="10"/>
  <c r="I196" i="13" l="1"/>
  <c r="E670" i="15"/>
  <c r="E669" i="15" s="1"/>
  <c r="E668" i="15" s="1"/>
  <c r="E667" i="15" s="1"/>
  <c r="E666" i="15" s="1"/>
  <c r="E614" i="15" s="1"/>
  <c r="J203" i="12"/>
  <c r="E721" i="14"/>
  <c r="K1303" i="12"/>
  <c r="K13" i="11"/>
  <c r="J1303" i="12"/>
  <c r="I1016" i="10"/>
  <c r="I296" i="10"/>
  <c r="H777" i="13"/>
  <c r="H776" i="13" s="1"/>
  <c r="H748" i="13" s="1"/>
  <c r="H747" i="13" s="1"/>
  <c r="I295" i="10"/>
  <c r="I178" i="10"/>
  <c r="I185" i="10"/>
  <c r="H1015" i="10"/>
  <c r="I179" i="10"/>
  <c r="I186" i="10"/>
  <c r="K335" i="12"/>
  <c r="K215" i="12"/>
  <c r="K222" i="12"/>
  <c r="H335" i="12"/>
  <c r="J335" i="12" s="1"/>
  <c r="E44" i="14"/>
  <c r="K334" i="12"/>
  <c r="F834" i="14"/>
  <c r="E833" i="14"/>
  <c r="E832" i="14" s="1"/>
  <c r="H215" i="12"/>
  <c r="H214" i="12" s="1"/>
  <c r="J223" i="12"/>
  <c r="H222" i="12"/>
  <c r="J222" i="12" s="1"/>
  <c r="E827" i="14"/>
  <c r="E826" i="14" s="1"/>
  <c r="E825" i="14" s="1"/>
  <c r="K221" i="12"/>
  <c r="I214" i="12"/>
  <c r="K214" i="12" s="1"/>
  <c r="E628" i="14"/>
  <c r="J1304" i="12"/>
  <c r="K1302" i="12"/>
  <c r="I1301" i="12"/>
  <c r="H1302" i="12"/>
  <c r="H1301" i="12" s="1"/>
  <c r="H202" i="12"/>
  <c r="J202" i="12" s="1"/>
  <c r="I203" i="12"/>
  <c r="I202" i="12" s="1"/>
  <c r="K202" i="12" s="1"/>
  <c r="I166" i="10"/>
  <c r="I165" i="10"/>
  <c r="H164" i="10"/>
  <c r="I164" i="10" s="1"/>
  <c r="H195" i="13"/>
  <c r="J195" i="13" s="1"/>
  <c r="J196" i="13"/>
  <c r="I156" i="11"/>
  <c r="I195" i="13"/>
  <c r="K195" i="13" s="1"/>
  <c r="K196" i="13"/>
  <c r="I155" i="11"/>
  <c r="H154" i="11"/>
  <c r="H153" i="11" s="1"/>
  <c r="O196" i="13"/>
  <c r="O195" i="13" s="1"/>
  <c r="Q195" i="13" s="1"/>
  <c r="H670" i="15"/>
  <c r="H669" i="15" s="1"/>
  <c r="H668" i="15" s="1"/>
  <c r="H667" i="15" s="1"/>
  <c r="H666" i="15" s="1"/>
  <c r="H614" i="15" s="1"/>
  <c r="P196" i="13"/>
  <c r="P195" i="13"/>
  <c r="N194" i="13"/>
  <c r="N193" i="13" s="1"/>
  <c r="L153" i="11"/>
  <c r="L155" i="11"/>
  <c r="L156" i="11"/>
  <c r="L154" i="11"/>
  <c r="H824" i="15"/>
  <c r="H823" i="15" s="1"/>
  <c r="H822" i="15" s="1"/>
  <c r="O617" i="13"/>
  <c r="O616" i="13" s="1"/>
  <c r="O612" i="13" s="1"/>
  <c r="N617" i="13"/>
  <c r="N616" i="13" s="1"/>
  <c r="Q618" i="13"/>
  <c r="P618" i="13"/>
  <c r="I617" i="13"/>
  <c r="I616" i="13" s="1"/>
  <c r="I612" i="13" s="1"/>
  <c r="K618" i="13"/>
  <c r="H618" i="13"/>
  <c r="E824" i="15" s="1"/>
  <c r="H558" i="11"/>
  <c r="H557" i="11" s="1"/>
  <c r="K558" i="11"/>
  <c r="K557" i="11" s="1"/>
  <c r="L559" i="11"/>
  <c r="I559" i="11"/>
  <c r="N615" i="13"/>
  <c r="H821" i="15" s="1"/>
  <c r="H820" i="15" s="1"/>
  <c r="H819" i="15" s="1"/>
  <c r="H818" i="15" s="1"/>
  <c r="K555" i="11"/>
  <c r="K554" i="11" s="1"/>
  <c r="K553" i="11" s="1"/>
  <c r="H556" i="11"/>
  <c r="H555" i="11" s="1"/>
  <c r="H554" i="11" s="1"/>
  <c r="N605" i="13"/>
  <c r="N604" i="13" s="1"/>
  <c r="N603" i="13" s="1"/>
  <c r="N596" i="13" s="1"/>
  <c r="H605" i="13"/>
  <c r="H604" i="13" s="1"/>
  <c r="H603" i="13" s="1"/>
  <c r="H596" i="13" s="1"/>
  <c r="I871" i="12"/>
  <c r="H872" i="12"/>
  <c r="J872" i="12" s="1"/>
  <c r="K872" i="12"/>
  <c r="H815" i="10"/>
  <c r="H814" i="10" s="1"/>
  <c r="I816" i="10"/>
  <c r="Q737" i="13"/>
  <c r="N737" i="13"/>
  <c r="N736" i="13" s="1"/>
  <c r="O736" i="13"/>
  <c r="I736" i="13"/>
  <c r="I735" i="13" s="1"/>
  <c r="K737" i="13"/>
  <c r="H737" i="13"/>
  <c r="E309" i="15" s="1"/>
  <c r="K868" i="12"/>
  <c r="K869" i="12"/>
  <c r="H869" i="12"/>
  <c r="E307" i="14" s="1"/>
  <c r="L678" i="11"/>
  <c r="K677" i="11"/>
  <c r="K676" i="11" s="1"/>
  <c r="H677" i="11"/>
  <c r="H676" i="11" s="1"/>
  <c r="I678" i="11"/>
  <c r="H812" i="10"/>
  <c r="H811" i="10" s="1"/>
  <c r="I813" i="10"/>
  <c r="O745" i="13"/>
  <c r="O744" i="13" s="1"/>
  <c r="I745" i="13"/>
  <c r="I744" i="13" s="1"/>
  <c r="Q746" i="13"/>
  <c r="N746" i="13"/>
  <c r="P746" i="13" s="1"/>
  <c r="K746" i="13"/>
  <c r="H746" i="13"/>
  <c r="E318" i="15" s="1"/>
  <c r="I882" i="12"/>
  <c r="I881" i="12" s="1"/>
  <c r="K883" i="12"/>
  <c r="H883" i="12"/>
  <c r="J883" i="12" s="1"/>
  <c r="K686" i="11"/>
  <c r="K685" i="11" s="1"/>
  <c r="K684" i="11" s="1"/>
  <c r="H686" i="11"/>
  <c r="H685" i="11" s="1"/>
  <c r="H684" i="11" s="1"/>
  <c r="H683" i="11" s="1"/>
  <c r="L687" i="11"/>
  <c r="I687" i="11"/>
  <c r="H826" i="10"/>
  <c r="H825" i="10" s="1"/>
  <c r="H824" i="10" s="1"/>
  <c r="I827" i="10"/>
  <c r="O733" i="13"/>
  <c r="Q734" i="13"/>
  <c r="N734" i="13"/>
  <c r="N733" i="13" s="1"/>
  <c r="I733" i="13"/>
  <c r="I732" i="13" s="1"/>
  <c r="K734" i="13"/>
  <c r="H734" i="13"/>
  <c r="H733" i="13" s="1"/>
  <c r="K674" i="11"/>
  <c r="K673" i="11" s="1"/>
  <c r="H674" i="11"/>
  <c r="H673" i="11" s="1"/>
  <c r="L675" i="11"/>
  <c r="I675" i="11"/>
  <c r="I865" i="12"/>
  <c r="I864" i="12" s="1"/>
  <c r="K866" i="12"/>
  <c r="H866" i="12"/>
  <c r="H865" i="12" s="1"/>
  <c r="H809" i="10"/>
  <c r="I810" i="10"/>
  <c r="I599" i="13" l="1"/>
  <c r="I602" i="13"/>
  <c r="F825" i="14"/>
  <c r="J214" i="12"/>
  <c r="H553" i="11"/>
  <c r="I814" i="10"/>
  <c r="F832" i="14"/>
  <c r="E831" i="14"/>
  <c r="K871" i="12"/>
  <c r="H545" i="11"/>
  <c r="H544" i="11" s="1"/>
  <c r="H537" i="11" s="1"/>
  <c r="H615" i="13"/>
  <c r="H614" i="13" s="1"/>
  <c r="H613" i="13" s="1"/>
  <c r="K545" i="11"/>
  <c r="K544" i="11" s="1"/>
  <c r="P736" i="13"/>
  <c r="I822" i="15"/>
  <c r="I731" i="13"/>
  <c r="K617" i="13"/>
  <c r="I1015" i="10"/>
  <c r="H1014" i="10"/>
  <c r="H334" i="12"/>
  <c r="J334" i="12" s="1"/>
  <c r="E43" i="14"/>
  <c r="F44" i="14"/>
  <c r="J215" i="12"/>
  <c r="F826" i="14"/>
  <c r="F827" i="14"/>
  <c r="H221" i="12"/>
  <c r="F833" i="14"/>
  <c r="J1302" i="12"/>
  <c r="E627" i="14"/>
  <c r="F628" i="14"/>
  <c r="J1301" i="12"/>
  <c r="H1300" i="12"/>
  <c r="I1300" i="12"/>
  <c r="K1301" i="12"/>
  <c r="I201" i="12"/>
  <c r="K201" i="12" s="1"/>
  <c r="L676" i="11"/>
  <c r="I194" i="13"/>
  <c r="I193" i="13" s="1"/>
  <c r="K193" i="13" s="1"/>
  <c r="L558" i="11"/>
  <c r="H194" i="13"/>
  <c r="H193" i="13" s="1"/>
  <c r="J193" i="13" s="1"/>
  <c r="I558" i="11"/>
  <c r="I154" i="11"/>
  <c r="L557" i="11"/>
  <c r="L674" i="11"/>
  <c r="H672" i="11"/>
  <c r="I672" i="11" s="1"/>
  <c r="I557" i="11"/>
  <c r="I676" i="11"/>
  <c r="L677" i="11"/>
  <c r="K203" i="12"/>
  <c r="H201" i="12"/>
  <c r="H200" i="12" s="1"/>
  <c r="J200" i="12" s="1"/>
  <c r="I815" i="10"/>
  <c r="L673" i="11"/>
  <c r="Q196" i="13"/>
  <c r="I677" i="11"/>
  <c r="O194" i="13"/>
  <c r="Q194" i="13" s="1"/>
  <c r="I153" i="11"/>
  <c r="H147" i="11"/>
  <c r="H103" i="11" s="1"/>
  <c r="K672" i="11"/>
  <c r="L672" i="11" s="1"/>
  <c r="K870" i="12"/>
  <c r="K864" i="12"/>
  <c r="K882" i="12"/>
  <c r="K736" i="13"/>
  <c r="J733" i="13"/>
  <c r="Q744" i="13"/>
  <c r="O743" i="13"/>
  <c r="O742" i="13" s="1"/>
  <c r="P733" i="13"/>
  <c r="Q745" i="13"/>
  <c r="K612" i="13"/>
  <c r="Q617" i="13"/>
  <c r="P194" i="13"/>
  <c r="Q616" i="13"/>
  <c r="N192" i="13"/>
  <c r="P193" i="13"/>
  <c r="I823" i="15"/>
  <c r="I824" i="15"/>
  <c r="H617" i="13"/>
  <c r="H616" i="13" s="1"/>
  <c r="J616" i="13" s="1"/>
  <c r="I818" i="15"/>
  <c r="E823" i="15"/>
  <c r="F824" i="15"/>
  <c r="J618" i="13"/>
  <c r="P617" i="13"/>
  <c r="P616" i="13"/>
  <c r="K616" i="13"/>
  <c r="E811" i="15"/>
  <c r="E810" i="15" s="1"/>
  <c r="E809" i="15" s="1"/>
  <c r="E802" i="15" s="1"/>
  <c r="H811" i="15"/>
  <c r="H810" i="15" s="1"/>
  <c r="H809" i="15" s="1"/>
  <c r="H802" i="15" s="1"/>
  <c r="N614" i="13"/>
  <c r="N613" i="13" s="1"/>
  <c r="N612" i="13" s="1"/>
  <c r="H736" i="13"/>
  <c r="J736" i="13" s="1"/>
  <c r="H309" i="15"/>
  <c r="E308" i="15"/>
  <c r="F309" i="15"/>
  <c r="J737" i="13"/>
  <c r="P737" i="13"/>
  <c r="H871" i="12"/>
  <c r="H870" i="12" s="1"/>
  <c r="E316" i="14"/>
  <c r="I809" i="10"/>
  <c r="I826" i="10"/>
  <c r="I811" i="10"/>
  <c r="I812" i="10"/>
  <c r="H808" i="10"/>
  <c r="E306" i="14"/>
  <c r="F307" i="14"/>
  <c r="H868" i="12"/>
  <c r="J869" i="12"/>
  <c r="Q736" i="13"/>
  <c r="N735" i="13"/>
  <c r="P735" i="13" s="1"/>
  <c r="O735" i="13"/>
  <c r="Q735" i="13" s="1"/>
  <c r="K735" i="13"/>
  <c r="Q733" i="13"/>
  <c r="K733" i="13"/>
  <c r="K867" i="12"/>
  <c r="K865" i="12"/>
  <c r="I683" i="11"/>
  <c r="I685" i="11"/>
  <c r="H318" i="15"/>
  <c r="I318" i="15" s="1"/>
  <c r="I674" i="11"/>
  <c r="J746" i="13"/>
  <c r="H745" i="13"/>
  <c r="H744" i="13" s="1"/>
  <c r="J744" i="13" s="1"/>
  <c r="N745" i="13"/>
  <c r="N744" i="13" s="1"/>
  <c r="N743" i="13" s="1"/>
  <c r="F318" i="15"/>
  <c r="E317" i="15"/>
  <c r="E316" i="15" s="1"/>
  <c r="F316" i="15" s="1"/>
  <c r="H882" i="12"/>
  <c r="J882" i="12" s="1"/>
  <c r="E335" i="14"/>
  <c r="I743" i="13"/>
  <c r="K744" i="13"/>
  <c r="K745" i="13"/>
  <c r="J734" i="13"/>
  <c r="K881" i="12"/>
  <c r="I880" i="12"/>
  <c r="K683" i="11"/>
  <c r="L683" i="11" s="1"/>
  <c r="L684" i="11"/>
  <c r="L685" i="11"/>
  <c r="L686" i="11"/>
  <c r="I684" i="11"/>
  <c r="I686" i="11"/>
  <c r="P734" i="13"/>
  <c r="H823" i="10"/>
  <c r="I823" i="10" s="1"/>
  <c r="I824" i="10"/>
  <c r="I825" i="10"/>
  <c r="H864" i="12"/>
  <c r="J865" i="12"/>
  <c r="J866" i="12"/>
  <c r="N732" i="13"/>
  <c r="O732" i="13"/>
  <c r="K732" i="13"/>
  <c r="H732" i="13"/>
  <c r="I673" i="11"/>
  <c r="I863" i="12"/>
  <c r="K863" i="12" s="1"/>
  <c r="I740" i="13"/>
  <c r="I739" i="13" s="1"/>
  <c r="I738" i="13" s="1"/>
  <c r="O565" i="13"/>
  <c r="O564" i="13" s="1"/>
  <c r="Q566" i="13"/>
  <c r="N566" i="13"/>
  <c r="I565" i="13"/>
  <c r="I564" i="13" s="1"/>
  <c r="K566" i="13"/>
  <c r="H566" i="13"/>
  <c r="H979" i="15"/>
  <c r="I979" i="15" s="1"/>
  <c r="E979" i="15"/>
  <c r="I978" i="15"/>
  <c r="I977" i="15"/>
  <c r="I976" i="15"/>
  <c r="I975" i="15"/>
  <c r="I974" i="15"/>
  <c r="I973" i="15"/>
  <c r="I972" i="15"/>
  <c r="I971" i="15"/>
  <c r="I970" i="15"/>
  <c r="I969" i="15"/>
  <c r="I968" i="15"/>
  <c r="I967" i="15"/>
  <c r="I966" i="15"/>
  <c r="I965" i="15"/>
  <c r="I964" i="15"/>
  <c r="I963" i="15"/>
  <c r="I962" i="15"/>
  <c r="I961" i="15"/>
  <c r="I960" i="15"/>
  <c r="I959" i="15"/>
  <c r="I958" i="15"/>
  <c r="I957" i="15"/>
  <c r="I956" i="15"/>
  <c r="I955" i="15"/>
  <c r="I954" i="15"/>
  <c r="I953" i="15"/>
  <c r="I952" i="15"/>
  <c r="I951" i="15"/>
  <c r="I950" i="15"/>
  <c r="I949" i="15"/>
  <c r="I948" i="15"/>
  <c r="I947" i="15"/>
  <c r="I946" i="15"/>
  <c r="I945" i="15"/>
  <c r="I944" i="15"/>
  <c r="I943" i="15"/>
  <c r="I942" i="15"/>
  <c r="I941" i="15"/>
  <c r="I940" i="15"/>
  <c r="I939" i="15"/>
  <c r="I938" i="15"/>
  <c r="I937" i="15"/>
  <c r="I936" i="15"/>
  <c r="I935" i="15"/>
  <c r="I934" i="15"/>
  <c r="I933" i="15"/>
  <c r="I932" i="15"/>
  <c r="I931" i="15"/>
  <c r="I930" i="15"/>
  <c r="F978" i="15"/>
  <c r="F977" i="15"/>
  <c r="F976" i="15"/>
  <c r="F975" i="15"/>
  <c r="F974" i="15"/>
  <c r="F973" i="15"/>
  <c r="F972" i="15"/>
  <c r="F971" i="15"/>
  <c r="F970" i="15"/>
  <c r="F969" i="15"/>
  <c r="F968" i="15"/>
  <c r="F967" i="15"/>
  <c r="F966" i="15"/>
  <c r="F965" i="15"/>
  <c r="F964" i="15"/>
  <c r="F963" i="15"/>
  <c r="F962" i="15"/>
  <c r="F961" i="15"/>
  <c r="F960" i="15"/>
  <c r="F959" i="15"/>
  <c r="F958" i="15"/>
  <c r="F957" i="15"/>
  <c r="F956" i="15"/>
  <c r="F955" i="15"/>
  <c r="F954" i="15"/>
  <c r="F953" i="15"/>
  <c r="F952" i="15"/>
  <c r="F951" i="15"/>
  <c r="F950" i="15"/>
  <c r="F949" i="15"/>
  <c r="F948" i="15"/>
  <c r="F947" i="15"/>
  <c r="F946" i="15"/>
  <c r="F945" i="15"/>
  <c r="F944" i="15"/>
  <c r="F943" i="15"/>
  <c r="F942" i="15"/>
  <c r="F941" i="15"/>
  <c r="F940" i="15"/>
  <c r="F939" i="15"/>
  <c r="F938" i="15"/>
  <c r="F937" i="15"/>
  <c r="F936" i="15"/>
  <c r="F935" i="15"/>
  <c r="F934" i="15"/>
  <c r="F933" i="15"/>
  <c r="F932" i="15"/>
  <c r="F931" i="15"/>
  <c r="F930" i="15"/>
  <c r="I926" i="15"/>
  <c r="I925" i="15"/>
  <c r="I924" i="15"/>
  <c r="I923" i="15"/>
  <c r="I922" i="15"/>
  <c r="I921" i="15"/>
  <c r="I920" i="15"/>
  <c r="I919" i="15"/>
  <c r="I918" i="15"/>
  <c r="I917" i="15"/>
  <c r="I916" i="15"/>
  <c r="I915" i="15"/>
  <c r="I914" i="15"/>
  <c r="I910" i="15"/>
  <c r="I909" i="15"/>
  <c r="I908" i="15"/>
  <c r="I907" i="15"/>
  <c r="I906" i="15"/>
  <c r="I905" i="15"/>
  <c r="I904" i="15"/>
  <c r="I903" i="15"/>
  <c r="I902" i="15"/>
  <c r="I901" i="15"/>
  <c r="I900" i="15"/>
  <c r="I899" i="15"/>
  <c r="I898" i="15"/>
  <c r="I897" i="15"/>
  <c r="I896" i="15"/>
  <c r="I895" i="15"/>
  <c r="I894" i="15"/>
  <c r="I893" i="15"/>
  <c r="I892" i="15"/>
  <c r="I891" i="15"/>
  <c r="I890" i="15"/>
  <c r="I889" i="15"/>
  <c r="I888" i="15"/>
  <c r="I887" i="15"/>
  <c r="I886" i="15"/>
  <c r="I885" i="15"/>
  <c r="I884" i="15"/>
  <c r="I883" i="15"/>
  <c r="I882" i="15"/>
  <c r="I881" i="15"/>
  <c r="I880" i="15"/>
  <c r="I879" i="15"/>
  <c r="I876" i="15"/>
  <c r="I875" i="15"/>
  <c r="I874" i="15"/>
  <c r="I873" i="15"/>
  <c r="I872" i="15"/>
  <c r="I871" i="15"/>
  <c r="I870" i="15"/>
  <c r="I869" i="15"/>
  <c r="I868" i="15"/>
  <c r="I867" i="15"/>
  <c r="I866" i="15"/>
  <c r="I865" i="15"/>
  <c r="I864" i="15"/>
  <c r="I863" i="15"/>
  <c r="I862" i="15"/>
  <c r="I861" i="15"/>
  <c r="I860" i="15"/>
  <c r="I857" i="15"/>
  <c r="I856" i="15"/>
  <c r="I855" i="15"/>
  <c r="I854" i="15"/>
  <c r="I853" i="15"/>
  <c r="I852" i="15"/>
  <c r="I851" i="15"/>
  <c r="I850" i="15"/>
  <c r="I849" i="15"/>
  <c r="I848" i="15"/>
  <c r="I847" i="15"/>
  <c r="I846" i="15"/>
  <c r="I845" i="15"/>
  <c r="I844" i="15"/>
  <c r="I843" i="15"/>
  <c r="I842" i="15"/>
  <c r="I841" i="15"/>
  <c r="I840" i="15"/>
  <c r="I839" i="15"/>
  <c r="I836" i="15"/>
  <c r="I835" i="15"/>
  <c r="I834" i="15"/>
  <c r="I828" i="15"/>
  <c r="I827" i="15"/>
  <c r="I826" i="15"/>
  <c r="I825" i="15"/>
  <c r="I821" i="15"/>
  <c r="I820" i="15"/>
  <c r="I819" i="15"/>
  <c r="I794" i="15"/>
  <c r="I793" i="15"/>
  <c r="I792" i="15"/>
  <c r="I791" i="15"/>
  <c r="I790" i="15"/>
  <c r="I789" i="15"/>
  <c r="I788" i="15"/>
  <c r="I787" i="15"/>
  <c r="I786" i="15"/>
  <c r="I782" i="15"/>
  <c r="I779" i="15"/>
  <c r="I776" i="15"/>
  <c r="I775" i="15"/>
  <c r="I774" i="15"/>
  <c r="I773" i="15"/>
  <c r="I772" i="15"/>
  <c r="I771" i="15"/>
  <c r="I770" i="15"/>
  <c r="I769" i="15"/>
  <c r="I768" i="15"/>
  <c r="I767" i="15"/>
  <c r="I766" i="15"/>
  <c r="I765" i="15"/>
  <c r="I764" i="15"/>
  <c r="I763" i="15"/>
  <c r="I762" i="15"/>
  <c r="I761" i="15"/>
  <c r="I760" i="15"/>
  <c r="I759" i="15"/>
  <c r="I758" i="15"/>
  <c r="I757" i="15"/>
  <c r="I756" i="15"/>
  <c r="I755" i="15"/>
  <c r="I754" i="15"/>
  <c r="I753" i="15"/>
  <c r="I752" i="15"/>
  <c r="I751" i="15"/>
  <c r="I750" i="15"/>
  <c r="I749" i="15"/>
  <c r="I748" i="15"/>
  <c r="I747" i="15"/>
  <c r="I746" i="15"/>
  <c r="I745" i="15"/>
  <c r="I744" i="15"/>
  <c r="I743" i="15"/>
  <c r="I742" i="15"/>
  <c r="I741" i="15"/>
  <c r="I740" i="15"/>
  <c r="I739" i="15"/>
  <c r="I738" i="15"/>
  <c r="I737" i="15"/>
  <c r="I736" i="15"/>
  <c r="I735" i="15"/>
  <c r="I734" i="15"/>
  <c r="I731" i="15"/>
  <c r="I730" i="15"/>
  <c r="I729" i="15"/>
  <c r="I728" i="15"/>
  <c r="I727" i="15"/>
  <c r="I726" i="15"/>
  <c r="I725" i="15"/>
  <c r="I724" i="15"/>
  <c r="I723" i="15"/>
  <c r="I722" i="15"/>
  <c r="I721" i="15"/>
  <c r="I720" i="15"/>
  <c r="I719" i="15"/>
  <c r="I718" i="15"/>
  <c r="I717" i="15"/>
  <c r="I716" i="15"/>
  <c r="I715" i="15"/>
  <c r="I714" i="15"/>
  <c r="I713" i="15"/>
  <c r="I712" i="15"/>
  <c r="I709" i="15"/>
  <c r="I708" i="15"/>
  <c r="I707" i="15"/>
  <c r="I706" i="15"/>
  <c r="I705" i="15"/>
  <c r="I704" i="15"/>
  <c r="I703" i="15"/>
  <c r="I702" i="15"/>
  <c r="I701" i="15"/>
  <c r="I700" i="15"/>
  <c r="I699" i="15"/>
  <c r="I698" i="15"/>
  <c r="I697" i="15"/>
  <c r="I696" i="15"/>
  <c r="I695" i="15"/>
  <c r="I694" i="15"/>
  <c r="I693" i="15"/>
  <c r="I692" i="15"/>
  <c r="I691" i="15"/>
  <c r="I690" i="15"/>
  <c r="I689" i="15"/>
  <c r="I688" i="15"/>
  <c r="I687" i="15"/>
  <c r="I686" i="15"/>
  <c r="I685" i="15"/>
  <c r="I684" i="15"/>
  <c r="I683" i="15"/>
  <c r="I682" i="15"/>
  <c r="I681" i="15"/>
  <c r="I680" i="15"/>
  <c r="I679" i="15"/>
  <c r="I678" i="15"/>
  <c r="I677" i="15"/>
  <c r="I676" i="15"/>
  <c r="I675" i="15"/>
  <c r="I674" i="15"/>
  <c r="I673" i="15"/>
  <c r="I672" i="15"/>
  <c r="I671" i="15"/>
  <c r="I670" i="15"/>
  <c r="I669" i="15"/>
  <c r="I668" i="15"/>
  <c r="I667" i="15"/>
  <c r="I666" i="15"/>
  <c r="I665" i="15"/>
  <c r="I664" i="15"/>
  <c r="I663" i="15"/>
  <c r="I662" i="15"/>
  <c r="I661" i="15"/>
  <c r="I660" i="15"/>
  <c r="I659" i="15"/>
  <c r="I658" i="15"/>
  <c r="I657" i="15"/>
  <c r="I656" i="15"/>
  <c r="I653" i="15"/>
  <c r="I652" i="15"/>
  <c r="I651" i="15"/>
  <c r="I650" i="15"/>
  <c r="I649" i="15"/>
  <c r="I648" i="15"/>
  <c r="I647" i="15"/>
  <c r="I646" i="15"/>
  <c r="I645" i="15"/>
  <c r="I644" i="15"/>
  <c r="I643" i="15"/>
  <c r="I642" i="15"/>
  <c r="I641" i="15"/>
  <c r="I640" i="15"/>
  <c r="I639" i="15"/>
  <c r="I638" i="15"/>
  <c r="I637" i="15"/>
  <c r="I636" i="15"/>
  <c r="I635" i="15"/>
  <c r="I634" i="15"/>
  <c r="I633" i="15"/>
  <c r="I632" i="15"/>
  <c r="I631" i="15"/>
  <c r="I630" i="15"/>
  <c r="I629" i="15"/>
  <c r="I628" i="15"/>
  <c r="I627" i="15"/>
  <c r="I626" i="15"/>
  <c r="I625" i="15"/>
  <c r="I624" i="15"/>
  <c r="I623" i="15"/>
  <c r="I622" i="15"/>
  <c r="I621" i="15"/>
  <c r="I620" i="15"/>
  <c r="I619" i="15"/>
  <c r="I618" i="15"/>
  <c r="I617" i="15"/>
  <c r="I616" i="15"/>
  <c r="I615" i="15"/>
  <c r="I614" i="15"/>
  <c r="I613" i="15"/>
  <c r="I612" i="15"/>
  <c r="I611" i="15"/>
  <c r="I610" i="15"/>
  <c r="I609" i="15"/>
  <c r="I608" i="15"/>
  <c r="I607" i="15"/>
  <c r="I606" i="15"/>
  <c r="I605" i="15"/>
  <c r="I604" i="15"/>
  <c r="I603" i="15"/>
  <c r="I602" i="15"/>
  <c r="I601" i="15"/>
  <c r="I600" i="15"/>
  <c r="I599" i="15"/>
  <c r="I598" i="15"/>
  <c r="I597" i="15"/>
  <c r="I596" i="15"/>
  <c r="I595" i="15"/>
  <c r="I594" i="15"/>
  <c r="I593" i="15"/>
  <c r="I592" i="15"/>
  <c r="I591" i="15"/>
  <c r="I590" i="15"/>
  <c r="I589" i="15"/>
  <c r="I588" i="15"/>
  <c r="I587" i="15"/>
  <c r="I586" i="15"/>
  <c r="I585" i="15"/>
  <c r="I584" i="15"/>
  <c r="I583" i="15"/>
  <c r="I582" i="15"/>
  <c r="I581" i="15"/>
  <c r="I580" i="15"/>
  <c r="I579" i="15"/>
  <c r="I578" i="15"/>
  <c r="I577" i="15"/>
  <c r="I576" i="15"/>
  <c r="I575" i="15"/>
  <c r="I574" i="15"/>
  <c r="I573" i="15"/>
  <c r="I572" i="15"/>
  <c r="I571" i="15"/>
  <c r="I570" i="15"/>
  <c r="I569" i="15"/>
  <c r="I568" i="15"/>
  <c r="I567" i="15"/>
  <c r="I566" i="15"/>
  <c r="I565" i="15"/>
  <c r="I564" i="15"/>
  <c r="I563" i="15"/>
  <c r="I562" i="15"/>
  <c r="I561" i="15"/>
  <c r="I560" i="15"/>
  <c r="I559" i="15"/>
  <c r="I558" i="15"/>
  <c r="I557" i="15"/>
  <c r="I556" i="15"/>
  <c r="I555" i="15"/>
  <c r="I554" i="15"/>
  <c r="I553" i="15"/>
  <c r="I552" i="15"/>
  <c r="I551" i="15"/>
  <c r="I550" i="15"/>
  <c r="I549" i="15"/>
  <c r="I548" i="15"/>
  <c r="I547" i="15"/>
  <c r="I546" i="15"/>
  <c r="I545" i="15"/>
  <c r="I544" i="15"/>
  <c r="I543" i="15"/>
  <c r="I542" i="15"/>
  <c r="I541" i="15"/>
  <c r="I540" i="15"/>
  <c r="I539" i="15"/>
  <c r="I538" i="15"/>
  <c r="I537" i="15"/>
  <c r="I536" i="15"/>
  <c r="I535" i="15"/>
  <c r="I534" i="15"/>
  <c r="I533" i="15"/>
  <c r="I532" i="15"/>
  <c r="I531" i="15"/>
  <c r="I530" i="15"/>
  <c r="I529" i="15"/>
  <c r="I528" i="15"/>
  <c r="I527" i="15"/>
  <c r="I526" i="15"/>
  <c r="I525" i="15"/>
  <c r="I524" i="15"/>
  <c r="I523" i="15"/>
  <c r="I522" i="15"/>
  <c r="I521" i="15"/>
  <c r="I520" i="15"/>
  <c r="I519" i="15"/>
  <c r="I518" i="15"/>
  <c r="I517" i="15"/>
  <c r="I516" i="15"/>
  <c r="I515" i="15"/>
  <c r="I514" i="15"/>
  <c r="I513" i="15"/>
  <c r="I512" i="15"/>
  <c r="I511" i="15"/>
  <c r="I510" i="15"/>
  <c r="I509" i="15"/>
  <c r="I508" i="15"/>
  <c r="I507" i="15"/>
  <c r="I506" i="15"/>
  <c r="I505" i="15"/>
  <c r="I504" i="15"/>
  <c r="I503" i="15"/>
  <c r="I502" i="15"/>
  <c r="I501" i="15"/>
  <c r="I500" i="15"/>
  <c r="I499" i="15"/>
  <c r="I498" i="15"/>
  <c r="I497" i="15"/>
  <c r="I496" i="15"/>
  <c r="I495" i="15"/>
  <c r="I494" i="15"/>
  <c r="I493" i="15"/>
  <c r="I492" i="15"/>
  <c r="I491" i="15"/>
  <c r="I478" i="15"/>
  <c r="I477" i="15"/>
  <c r="I463" i="15"/>
  <c r="I462" i="15"/>
  <c r="I461" i="15"/>
  <c r="I460" i="15"/>
  <c r="I459" i="15"/>
  <c r="I458" i="15"/>
  <c r="I457" i="15"/>
  <c r="I456" i="15"/>
  <c r="I455" i="15"/>
  <c r="I454" i="15"/>
  <c r="I453" i="15"/>
  <c r="I452" i="15"/>
  <c r="I451" i="15"/>
  <c r="I450" i="15"/>
  <c r="I449" i="15"/>
  <c r="I448" i="15"/>
  <c r="I447" i="15"/>
  <c r="I446" i="15"/>
  <c r="I445" i="15"/>
  <c r="I444" i="15"/>
  <c r="I443" i="15"/>
  <c r="I442" i="15"/>
  <c r="I441" i="15"/>
  <c r="I440" i="15"/>
  <c r="I439" i="15"/>
  <c r="I438" i="15"/>
  <c r="I437" i="15"/>
  <c r="I436" i="15"/>
  <c r="I435" i="15"/>
  <c r="I434" i="15"/>
  <c r="I433" i="15"/>
  <c r="I432" i="15"/>
  <c r="I431" i="15"/>
  <c r="I430" i="15"/>
  <c r="I429" i="15"/>
  <c r="I428" i="15"/>
  <c r="I427" i="15"/>
  <c r="I426" i="15"/>
  <c r="I425" i="15"/>
  <c r="I424" i="15"/>
  <c r="I423" i="15"/>
  <c r="I422" i="15"/>
  <c r="I421" i="15"/>
  <c r="I420" i="15"/>
  <c r="I419" i="15"/>
  <c r="I418" i="15"/>
  <c r="I417" i="15"/>
  <c r="I416" i="15"/>
  <c r="I415" i="15"/>
  <c r="I414" i="15"/>
  <c r="I413" i="15"/>
  <c r="I412" i="15"/>
  <c r="I411" i="15"/>
  <c r="I410" i="15"/>
  <c r="I409" i="15"/>
  <c r="I408" i="15"/>
  <c r="I407" i="15"/>
  <c r="I406" i="15"/>
  <c r="I405" i="15"/>
  <c r="I404" i="15"/>
  <c r="I403" i="15"/>
  <c r="I402" i="15"/>
  <c r="I401" i="15"/>
  <c r="I400" i="15"/>
  <c r="I399" i="15"/>
  <c r="I398" i="15"/>
  <c r="I397" i="15"/>
  <c r="I394" i="15"/>
  <c r="I393" i="15"/>
  <c r="I392" i="15"/>
  <c r="I391" i="15"/>
  <c r="I390" i="15"/>
  <c r="I389" i="15"/>
  <c r="I388" i="15"/>
  <c r="I374" i="15"/>
  <c r="I373" i="15"/>
  <c r="I372" i="15"/>
  <c r="I371" i="15"/>
  <c r="I370" i="15"/>
  <c r="I369" i="15"/>
  <c r="I368" i="15"/>
  <c r="I367" i="15"/>
  <c r="I366" i="15"/>
  <c r="I365" i="15"/>
  <c r="I364" i="15"/>
  <c r="I363" i="15"/>
  <c r="I362" i="15"/>
  <c r="I361" i="15"/>
  <c r="I360" i="15"/>
  <c r="I359" i="15"/>
  <c r="I358" i="15"/>
  <c r="I357" i="15"/>
  <c r="I356" i="15"/>
  <c r="I355" i="15"/>
  <c r="I354" i="15"/>
  <c r="I353" i="15"/>
  <c r="I352" i="15"/>
  <c r="I351" i="15"/>
  <c r="I350" i="15"/>
  <c r="I349" i="15"/>
  <c r="I348" i="15"/>
  <c r="I347" i="15"/>
  <c r="I346" i="15"/>
  <c r="I345" i="15"/>
  <c r="I344" i="15"/>
  <c r="I343" i="15"/>
  <c r="I342" i="15"/>
  <c r="I341" i="15"/>
  <c r="I340" i="15"/>
  <c r="I339" i="15"/>
  <c r="I338" i="15"/>
  <c r="I337" i="15"/>
  <c r="I336" i="15"/>
  <c r="I335" i="15"/>
  <c r="I334" i="15"/>
  <c r="I333" i="15"/>
  <c r="I332" i="15"/>
  <c r="I331" i="15"/>
  <c r="I330" i="15"/>
  <c r="I329" i="15"/>
  <c r="I328" i="15"/>
  <c r="I325" i="15"/>
  <c r="I324" i="15"/>
  <c r="I323" i="15"/>
  <c r="I322" i="15"/>
  <c r="I321" i="15"/>
  <c r="I320" i="15"/>
  <c r="I319" i="15"/>
  <c r="I300" i="15"/>
  <c r="I299" i="15"/>
  <c r="I298" i="15"/>
  <c r="I297" i="15"/>
  <c r="I296" i="15"/>
  <c r="I295" i="15"/>
  <c r="I294" i="15"/>
  <c r="I293" i="15"/>
  <c r="I292" i="15"/>
  <c r="I291" i="15"/>
  <c r="I290" i="15"/>
  <c r="I289" i="15"/>
  <c r="I284" i="15"/>
  <c r="I283" i="15"/>
  <c r="I282" i="15"/>
  <c r="I281" i="15"/>
  <c r="I280" i="15"/>
  <c r="I279" i="15"/>
  <c r="I278" i="15"/>
  <c r="I277" i="15"/>
  <c r="I276" i="15"/>
  <c r="I275" i="15"/>
  <c r="I274" i="15"/>
  <c r="I273" i="15"/>
  <c r="I272" i="15"/>
  <c r="I271" i="15"/>
  <c r="I270" i="15"/>
  <c r="I269" i="15"/>
  <c r="I268" i="15"/>
  <c r="I267" i="15"/>
  <c r="I266" i="15"/>
  <c r="I265" i="15"/>
  <c r="I264" i="15"/>
  <c r="I263" i="15"/>
  <c r="I262" i="15"/>
  <c r="I261" i="15"/>
  <c r="I260" i="15"/>
  <c r="I259" i="15"/>
  <c r="I258" i="15"/>
  <c r="I257" i="15"/>
  <c r="I256" i="15"/>
  <c r="I255" i="15"/>
  <c r="I254" i="15"/>
  <c r="I253" i="15"/>
  <c r="I252" i="15"/>
  <c r="I251" i="15"/>
  <c r="I250" i="15"/>
  <c r="I249" i="15"/>
  <c r="I248" i="15"/>
  <c r="I247" i="15"/>
  <c r="I246" i="15"/>
  <c r="I245" i="15"/>
  <c r="I244" i="15"/>
  <c r="I242" i="15"/>
  <c r="I241" i="15"/>
  <c r="I240" i="15"/>
  <c r="I239" i="15"/>
  <c r="I238" i="15"/>
  <c r="I237" i="15"/>
  <c r="I236" i="15"/>
  <c r="I235" i="15"/>
  <c r="I234" i="15"/>
  <c r="I233" i="15"/>
  <c r="I232" i="15"/>
  <c r="I231" i="15"/>
  <c r="I230" i="15"/>
  <c r="I229" i="15"/>
  <c r="I228" i="15"/>
  <c r="I227" i="15"/>
  <c r="I226" i="15"/>
  <c r="I225" i="15"/>
  <c r="I224" i="15"/>
  <c r="I223" i="15"/>
  <c r="I222" i="15"/>
  <c r="I221" i="15"/>
  <c r="I220" i="15"/>
  <c r="I219" i="15"/>
  <c r="I218" i="15"/>
  <c r="I217" i="15"/>
  <c r="I216" i="15"/>
  <c r="I215" i="15"/>
  <c r="I214" i="15"/>
  <c r="I213" i="15"/>
  <c r="I212" i="15"/>
  <c r="I211" i="15"/>
  <c r="I210" i="15"/>
  <c r="I209" i="15"/>
  <c r="I208" i="15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1" i="15"/>
  <c r="I175" i="15"/>
  <c r="I174" i="15"/>
  <c r="I173" i="15"/>
  <c r="I172" i="15"/>
  <c r="I171" i="15"/>
  <c r="I170" i="15"/>
  <c r="I169" i="15"/>
  <c r="I168" i="15"/>
  <c r="I167" i="15"/>
  <c r="I166" i="15"/>
  <c r="I165" i="15"/>
  <c r="I162" i="15"/>
  <c r="I156" i="15"/>
  <c r="I155" i="15"/>
  <c r="I149" i="15"/>
  <c r="I148" i="15"/>
  <c r="I147" i="15"/>
  <c r="I146" i="15"/>
  <c r="I145" i="15"/>
  <c r="I144" i="15"/>
  <c r="I143" i="15"/>
  <c r="I142" i="15"/>
  <c r="I141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22" i="15"/>
  <c r="I120" i="15"/>
  <c r="I119" i="15"/>
  <c r="I118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F926" i="15"/>
  <c r="F925" i="15"/>
  <c r="F924" i="15"/>
  <c r="F923" i="15"/>
  <c r="F922" i="15"/>
  <c r="F921" i="15"/>
  <c r="F920" i="15"/>
  <c r="F919" i="15"/>
  <c r="F918" i="15"/>
  <c r="F917" i="15"/>
  <c r="F916" i="15"/>
  <c r="F915" i="15"/>
  <c r="F914" i="15"/>
  <c r="F910" i="15"/>
  <c r="F909" i="15"/>
  <c r="F908" i="15"/>
  <c r="F907" i="15"/>
  <c r="F906" i="15"/>
  <c r="F905" i="15"/>
  <c r="F904" i="15"/>
  <c r="F903" i="15"/>
  <c r="F902" i="15"/>
  <c r="F901" i="15"/>
  <c r="F900" i="15"/>
  <c r="F899" i="15"/>
  <c r="F898" i="15"/>
  <c r="F897" i="15"/>
  <c r="F896" i="15"/>
  <c r="F895" i="15"/>
  <c r="F894" i="15"/>
  <c r="F893" i="15"/>
  <c r="F892" i="15"/>
  <c r="F891" i="15"/>
  <c r="F890" i="15"/>
  <c r="F889" i="15"/>
  <c r="F888" i="15"/>
  <c r="F887" i="15"/>
  <c r="F886" i="15"/>
  <c r="F885" i="15"/>
  <c r="F884" i="15"/>
  <c r="F883" i="15"/>
  <c r="F882" i="15"/>
  <c r="F881" i="15"/>
  <c r="F880" i="15"/>
  <c r="F879" i="15"/>
  <c r="F876" i="15"/>
  <c r="F875" i="15"/>
  <c r="F874" i="15"/>
  <c r="F873" i="15"/>
  <c r="F872" i="15"/>
  <c r="F871" i="15"/>
  <c r="F870" i="15"/>
  <c r="F869" i="15"/>
  <c r="F868" i="15"/>
  <c r="F867" i="15"/>
  <c r="F866" i="15"/>
  <c r="F865" i="15"/>
  <c r="F864" i="15"/>
  <c r="F863" i="15"/>
  <c r="F862" i="15"/>
  <c r="F861" i="15"/>
  <c r="F860" i="15"/>
  <c r="F857" i="15"/>
  <c r="F856" i="15"/>
  <c r="F855" i="15"/>
  <c r="F854" i="15"/>
  <c r="F853" i="15"/>
  <c r="F852" i="15"/>
  <c r="F851" i="15"/>
  <c r="F850" i="15"/>
  <c r="F849" i="15"/>
  <c r="F848" i="15"/>
  <c r="F847" i="15"/>
  <c r="F846" i="15"/>
  <c r="F845" i="15"/>
  <c r="F844" i="15"/>
  <c r="F843" i="15"/>
  <c r="F842" i="15"/>
  <c r="F841" i="15"/>
  <c r="F840" i="15"/>
  <c r="F839" i="15"/>
  <c r="F836" i="15"/>
  <c r="F835" i="15"/>
  <c r="F834" i="15"/>
  <c r="F828" i="15"/>
  <c r="F827" i="15"/>
  <c r="F826" i="15"/>
  <c r="F825" i="15"/>
  <c r="F794" i="15"/>
  <c r="F793" i="15"/>
  <c r="F792" i="15"/>
  <c r="F791" i="15"/>
  <c r="F790" i="15"/>
  <c r="F789" i="15"/>
  <c r="F788" i="15"/>
  <c r="F787" i="15"/>
  <c r="F786" i="15"/>
  <c r="F785" i="15"/>
  <c r="F782" i="15"/>
  <c r="F779" i="15"/>
  <c r="F776" i="15"/>
  <c r="F775" i="15"/>
  <c r="F774" i="15"/>
  <c r="F773" i="15"/>
  <c r="F772" i="15"/>
  <c r="F771" i="15"/>
  <c r="F770" i="15"/>
  <c r="F769" i="15"/>
  <c r="F768" i="15"/>
  <c r="F767" i="15"/>
  <c r="F766" i="15"/>
  <c r="F765" i="15"/>
  <c r="F764" i="15"/>
  <c r="F763" i="15"/>
  <c r="F762" i="15"/>
  <c r="F761" i="15"/>
  <c r="F760" i="15"/>
  <c r="F759" i="15"/>
  <c r="F758" i="15"/>
  <c r="F757" i="15"/>
  <c r="F756" i="15"/>
  <c r="F755" i="15"/>
  <c r="F754" i="15"/>
  <c r="F753" i="15"/>
  <c r="F752" i="15"/>
  <c r="F751" i="15"/>
  <c r="F750" i="15"/>
  <c r="F749" i="15"/>
  <c r="F748" i="15"/>
  <c r="F747" i="15"/>
  <c r="F746" i="15"/>
  <c r="F745" i="15"/>
  <c r="F744" i="15"/>
  <c r="F743" i="15"/>
  <c r="F742" i="15"/>
  <c r="F741" i="15"/>
  <c r="F740" i="15"/>
  <c r="F739" i="15"/>
  <c r="F738" i="15"/>
  <c r="F737" i="15"/>
  <c r="F736" i="15"/>
  <c r="F735" i="15"/>
  <c r="F734" i="15"/>
  <c r="F731" i="15"/>
  <c r="F730" i="15"/>
  <c r="F729" i="15"/>
  <c r="F728" i="15"/>
  <c r="F727" i="15"/>
  <c r="F726" i="15"/>
  <c r="F725" i="15"/>
  <c r="F724" i="15"/>
  <c r="F723" i="15"/>
  <c r="F722" i="15"/>
  <c r="F721" i="15"/>
  <c r="F720" i="15"/>
  <c r="F719" i="15"/>
  <c r="F718" i="15"/>
  <c r="F717" i="15"/>
  <c r="F716" i="15"/>
  <c r="F715" i="15"/>
  <c r="F714" i="15"/>
  <c r="F713" i="15"/>
  <c r="F712" i="15"/>
  <c r="F709" i="15"/>
  <c r="F708" i="15"/>
  <c r="F707" i="15"/>
  <c r="F706" i="15"/>
  <c r="F705" i="15"/>
  <c r="F704" i="15"/>
  <c r="F703" i="15"/>
  <c r="F702" i="15"/>
  <c r="F701" i="15"/>
  <c r="F700" i="15"/>
  <c r="F699" i="15"/>
  <c r="F698" i="15"/>
  <c r="F697" i="15"/>
  <c r="F696" i="15"/>
  <c r="F695" i="15"/>
  <c r="F694" i="15"/>
  <c r="F693" i="15"/>
  <c r="F692" i="15"/>
  <c r="F691" i="15"/>
  <c r="F690" i="15"/>
  <c r="F689" i="15"/>
  <c r="F688" i="15"/>
  <c r="F687" i="15"/>
  <c r="F686" i="15"/>
  <c r="F685" i="15"/>
  <c r="F684" i="15"/>
  <c r="F683" i="15"/>
  <c r="F682" i="15"/>
  <c r="F681" i="15"/>
  <c r="F680" i="15"/>
  <c r="F679" i="15"/>
  <c r="F678" i="15"/>
  <c r="F677" i="15"/>
  <c r="F676" i="15"/>
  <c r="F675" i="15"/>
  <c r="F674" i="15"/>
  <c r="F673" i="15"/>
  <c r="F672" i="15"/>
  <c r="F671" i="15"/>
  <c r="F670" i="15"/>
  <c r="F669" i="15"/>
  <c r="F668" i="15"/>
  <c r="F667" i="15"/>
  <c r="F666" i="15"/>
  <c r="F665" i="15"/>
  <c r="F664" i="15"/>
  <c r="F663" i="15"/>
  <c r="F662" i="15"/>
  <c r="F661" i="15"/>
  <c r="F660" i="15"/>
  <c r="F659" i="15"/>
  <c r="F658" i="15"/>
  <c r="F657" i="15"/>
  <c r="F656" i="15"/>
  <c r="F653" i="15"/>
  <c r="F652" i="15"/>
  <c r="F651" i="15"/>
  <c r="F650" i="15"/>
  <c r="F649" i="15"/>
  <c r="F648" i="15"/>
  <c r="F647" i="15"/>
  <c r="F646" i="15"/>
  <c r="F645" i="15"/>
  <c r="F644" i="15"/>
  <c r="F643" i="15"/>
  <c r="F642" i="15"/>
  <c r="F641" i="15"/>
  <c r="F640" i="15"/>
  <c r="F639" i="15"/>
  <c r="F638" i="15"/>
  <c r="F637" i="15"/>
  <c r="F636" i="15"/>
  <c r="F635" i="15"/>
  <c r="F634" i="15"/>
  <c r="F633" i="15"/>
  <c r="F632" i="15"/>
  <c r="F631" i="15"/>
  <c r="F630" i="15"/>
  <c r="F629" i="15"/>
  <c r="F628" i="15"/>
  <c r="F627" i="15"/>
  <c r="F626" i="15"/>
  <c r="F625" i="15"/>
  <c r="F624" i="15"/>
  <c r="F623" i="15"/>
  <c r="F622" i="15"/>
  <c r="F621" i="15"/>
  <c r="F620" i="15"/>
  <c r="F619" i="15"/>
  <c r="F618" i="15"/>
  <c r="F617" i="15"/>
  <c r="F616" i="15"/>
  <c r="F615" i="15"/>
  <c r="F614" i="15"/>
  <c r="F613" i="15"/>
  <c r="F612" i="15"/>
  <c r="F611" i="15"/>
  <c r="F610" i="15"/>
  <c r="F609" i="15"/>
  <c r="F608" i="15"/>
  <c r="F607" i="15"/>
  <c r="F606" i="15"/>
  <c r="F605" i="15"/>
  <c r="F604" i="15"/>
  <c r="F603" i="15"/>
  <c r="F602" i="15"/>
  <c r="F601" i="15"/>
  <c r="F600" i="15"/>
  <c r="F599" i="15"/>
  <c r="F598" i="15"/>
  <c r="F597" i="15"/>
  <c r="F596" i="15"/>
  <c r="F595" i="15"/>
  <c r="F594" i="15"/>
  <c r="F593" i="15"/>
  <c r="F592" i="15"/>
  <c r="F591" i="15"/>
  <c r="F590" i="15"/>
  <c r="F589" i="15"/>
  <c r="F588" i="15"/>
  <c r="F587" i="15"/>
  <c r="F586" i="15"/>
  <c r="F585" i="15"/>
  <c r="F584" i="15"/>
  <c r="F583" i="15"/>
  <c r="F582" i="15"/>
  <c r="F581" i="15"/>
  <c r="F580" i="15"/>
  <c r="F579" i="15"/>
  <c r="F578" i="15"/>
  <c r="F577" i="15"/>
  <c r="F576" i="15"/>
  <c r="F575" i="15"/>
  <c r="F574" i="15"/>
  <c r="F573" i="15"/>
  <c r="F572" i="15"/>
  <c r="F571" i="15"/>
  <c r="F570" i="15"/>
  <c r="F569" i="15"/>
  <c r="F568" i="15"/>
  <c r="F567" i="15"/>
  <c r="F566" i="15"/>
  <c r="F565" i="15"/>
  <c r="F564" i="15"/>
  <c r="F563" i="15"/>
  <c r="F562" i="15"/>
  <c r="F561" i="15"/>
  <c r="F560" i="15"/>
  <c r="F559" i="15"/>
  <c r="F558" i="15"/>
  <c r="F557" i="15"/>
  <c r="F556" i="15"/>
  <c r="F555" i="15"/>
  <c r="F554" i="15"/>
  <c r="F553" i="15"/>
  <c r="F552" i="15"/>
  <c r="F551" i="15"/>
  <c r="F550" i="15"/>
  <c r="F549" i="15"/>
  <c r="F548" i="15"/>
  <c r="F547" i="15"/>
  <c r="F546" i="15"/>
  <c r="F545" i="15"/>
  <c r="F544" i="15"/>
  <c r="F543" i="15"/>
  <c r="F542" i="15"/>
  <c r="F541" i="15"/>
  <c r="F540" i="15"/>
  <c r="F539" i="15"/>
  <c r="F538" i="15"/>
  <c r="F537" i="15"/>
  <c r="F536" i="15"/>
  <c r="F535" i="15"/>
  <c r="F534" i="15"/>
  <c r="F533" i="15"/>
  <c r="F532" i="15"/>
  <c r="F531" i="15"/>
  <c r="F530" i="15"/>
  <c r="F529" i="15"/>
  <c r="F528" i="15"/>
  <c r="F527" i="15"/>
  <c r="F526" i="15"/>
  <c r="F525" i="15"/>
  <c r="F524" i="15"/>
  <c r="F523" i="15"/>
  <c r="F522" i="15"/>
  <c r="F521" i="15"/>
  <c r="F520" i="15"/>
  <c r="F519" i="15"/>
  <c r="F518" i="15"/>
  <c r="F517" i="15"/>
  <c r="F516" i="15"/>
  <c r="F515" i="15"/>
  <c r="F514" i="15"/>
  <c r="F513" i="15"/>
  <c r="F512" i="15"/>
  <c r="F511" i="15"/>
  <c r="F510" i="15"/>
  <c r="F509" i="15"/>
  <c r="F508" i="15"/>
  <c r="F507" i="15"/>
  <c r="F506" i="15"/>
  <c r="F505" i="15"/>
  <c r="F504" i="15"/>
  <c r="F503" i="15"/>
  <c r="F502" i="15"/>
  <c r="F501" i="15"/>
  <c r="F500" i="15"/>
  <c r="F499" i="15"/>
  <c r="F498" i="15"/>
  <c r="F497" i="15"/>
  <c r="F496" i="15"/>
  <c r="F495" i="15"/>
  <c r="F494" i="15"/>
  <c r="F493" i="15"/>
  <c r="F492" i="15"/>
  <c r="F491" i="15"/>
  <c r="F478" i="15"/>
  <c r="F477" i="15"/>
  <c r="F463" i="15"/>
  <c r="F462" i="15"/>
  <c r="F461" i="15"/>
  <c r="F460" i="15"/>
  <c r="F459" i="15"/>
  <c r="F458" i="15"/>
  <c r="F457" i="15"/>
  <c r="F456" i="15"/>
  <c r="F455" i="15"/>
  <c r="F454" i="15"/>
  <c r="F453" i="15"/>
  <c r="F452" i="15"/>
  <c r="F451" i="15"/>
  <c r="F450" i="15"/>
  <c r="F449" i="15"/>
  <c r="F448" i="15"/>
  <c r="F447" i="15"/>
  <c r="F446" i="15"/>
  <c r="F445" i="15"/>
  <c r="F444" i="15"/>
  <c r="F443" i="15"/>
  <c r="F442" i="15"/>
  <c r="F441" i="15"/>
  <c r="F440" i="15"/>
  <c r="F439" i="15"/>
  <c r="F438" i="15"/>
  <c r="F437" i="15"/>
  <c r="F436" i="15"/>
  <c r="F435" i="15"/>
  <c r="F434" i="15"/>
  <c r="F433" i="15"/>
  <c r="F432" i="15"/>
  <c r="F431" i="15"/>
  <c r="F430" i="15"/>
  <c r="F429" i="15"/>
  <c r="F428" i="15"/>
  <c r="F427" i="15"/>
  <c r="F426" i="15"/>
  <c r="F425" i="15"/>
  <c r="F424" i="15"/>
  <c r="F423" i="15"/>
  <c r="F422" i="15"/>
  <c r="F421" i="15"/>
  <c r="F420" i="15"/>
  <c r="F419" i="15"/>
  <c r="F418" i="15"/>
  <c r="F417" i="15"/>
  <c r="F416" i="15"/>
  <c r="F415" i="15"/>
  <c r="F414" i="15"/>
  <c r="F413" i="15"/>
  <c r="F412" i="15"/>
  <c r="F411" i="15"/>
  <c r="F410" i="15"/>
  <c r="F409" i="15"/>
  <c r="F408" i="15"/>
  <c r="F407" i="15"/>
  <c r="F406" i="15"/>
  <c r="F405" i="15"/>
  <c r="F404" i="15"/>
  <c r="F403" i="15"/>
  <c r="F402" i="15"/>
  <c r="F401" i="15"/>
  <c r="F400" i="15"/>
  <c r="F399" i="15"/>
  <c r="F398" i="15"/>
  <c r="F397" i="15"/>
  <c r="F394" i="15"/>
  <c r="F393" i="15"/>
  <c r="F392" i="15"/>
  <c r="F391" i="15"/>
  <c r="F390" i="15"/>
  <c r="F389" i="15"/>
  <c r="F388" i="15"/>
  <c r="F374" i="15"/>
  <c r="F373" i="15"/>
  <c r="F372" i="15"/>
  <c r="F371" i="15"/>
  <c r="F370" i="15"/>
  <c r="F369" i="15"/>
  <c r="F368" i="15"/>
  <c r="F367" i="15"/>
  <c r="F366" i="15"/>
  <c r="F365" i="15"/>
  <c r="F364" i="15"/>
  <c r="F363" i="15"/>
  <c r="F362" i="15"/>
  <c r="F361" i="15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9" i="15"/>
  <c r="F338" i="15"/>
  <c r="F337" i="15"/>
  <c r="F336" i="15"/>
  <c r="F335" i="15"/>
  <c r="F334" i="15"/>
  <c r="F333" i="15"/>
  <c r="F332" i="15"/>
  <c r="F331" i="15"/>
  <c r="F330" i="15"/>
  <c r="F329" i="15"/>
  <c r="F328" i="15"/>
  <c r="F325" i="15"/>
  <c r="F324" i="15"/>
  <c r="F323" i="15"/>
  <c r="F322" i="15"/>
  <c r="F321" i="15"/>
  <c r="F320" i="15"/>
  <c r="F319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1" i="15"/>
  <c r="F175" i="15"/>
  <c r="F174" i="15"/>
  <c r="F173" i="15"/>
  <c r="F172" i="15"/>
  <c r="F171" i="15"/>
  <c r="F170" i="15"/>
  <c r="F169" i="15"/>
  <c r="F168" i="15"/>
  <c r="F167" i="15"/>
  <c r="F166" i="15"/>
  <c r="F165" i="15"/>
  <c r="F162" i="15"/>
  <c r="F156" i="15"/>
  <c r="F155" i="15"/>
  <c r="F149" i="15"/>
  <c r="F148" i="15"/>
  <c r="F147" i="15"/>
  <c r="F146" i="15"/>
  <c r="F145" i="15"/>
  <c r="F144" i="15"/>
  <c r="F143" i="15"/>
  <c r="F142" i="15"/>
  <c r="F141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0" i="15"/>
  <c r="F119" i="15"/>
  <c r="F118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O1208" i="13"/>
  <c r="N1208" i="13"/>
  <c r="Q1204" i="13"/>
  <c r="P1204" i="13"/>
  <c r="Q1203" i="13"/>
  <c r="P1203" i="13"/>
  <c r="Q1202" i="13"/>
  <c r="P1202" i="13"/>
  <c r="Q1201" i="13"/>
  <c r="P1201" i="13"/>
  <c r="Q1200" i="13"/>
  <c r="P1200" i="13"/>
  <c r="Q1199" i="13"/>
  <c r="P1199" i="13"/>
  <c r="Q1198" i="13"/>
  <c r="P1198" i="13"/>
  <c r="Q1197" i="13"/>
  <c r="P1197" i="13"/>
  <c r="Q1196" i="13"/>
  <c r="P1196" i="13"/>
  <c r="Q1195" i="13"/>
  <c r="P1195" i="13"/>
  <c r="Q1194" i="13"/>
  <c r="P1194" i="13"/>
  <c r="Q1193" i="13"/>
  <c r="P1193" i="13"/>
  <c r="Q1192" i="13"/>
  <c r="P1192" i="13"/>
  <c r="Q1191" i="13"/>
  <c r="P1191" i="13"/>
  <c r="Q1190" i="13"/>
  <c r="P1190" i="13"/>
  <c r="Q1189" i="13"/>
  <c r="P1189" i="13"/>
  <c r="Q1188" i="13"/>
  <c r="P1188" i="13"/>
  <c r="Q1187" i="13"/>
  <c r="P1187" i="13"/>
  <c r="Q1186" i="13"/>
  <c r="P1186" i="13"/>
  <c r="Q1185" i="13"/>
  <c r="P1185" i="13"/>
  <c r="Q1182" i="13"/>
  <c r="P1182" i="13"/>
  <c r="Q1181" i="13"/>
  <c r="P1181" i="13"/>
  <c r="Q1180" i="13"/>
  <c r="P1180" i="13"/>
  <c r="Q1179" i="13"/>
  <c r="P1179" i="13"/>
  <c r="Q1178" i="13"/>
  <c r="P1178" i="13"/>
  <c r="Q1177" i="13"/>
  <c r="P1177" i="13"/>
  <c r="Q1176" i="13"/>
  <c r="P1176" i="13"/>
  <c r="Q1175" i="13"/>
  <c r="P1175" i="13"/>
  <c r="Q1174" i="13"/>
  <c r="P1174" i="13"/>
  <c r="Q1173" i="13"/>
  <c r="P1173" i="13"/>
  <c r="Q1172" i="13"/>
  <c r="P1172" i="13"/>
  <c r="Q1171" i="13"/>
  <c r="P1171" i="13"/>
  <c r="Q1170" i="13"/>
  <c r="P1170" i="13"/>
  <c r="Q1169" i="13"/>
  <c r="P1169" i="13"/>
  <c r="Q1168" i="13"/>
  <c r="P1168" i="13"/>
  <c r="Q1167" i="13"/>
  <c r="P1167" i="13"/>
  <c r="Q1166" i="13"/>
  <c r="P1166" i="13"/>
  <c r="Q1165" i="13"/>
  <c r="P1165" i="13"/>
  <c r="Q1164" i="13"/>
  <c r="P1164" i="13"/>
  <c r="Q1163" i="13"/>
  <c r="P1163" i="13"/>
  <c r="Q1162" i="13"/>
  <c r="P1162" i="13"/>
  <c r="Q1161" i="13"/>
  <c r="P1161" i="13"/>
  <c r="Q1160" i="13"/>
  <c r="P1160" i="13"/>
  <c r="Q1159" i="13"/>
  <c r="P1159" i="13"/>
  <c r="Q1158" i="13"/>
  <c r="P1158" i="13"/>
  <c r="Q1157" i="13"/>
  <c r="P1157" i="13"/>
  <c r="Q1156" i="13"/>
  <c r="P1156" i="13"/>
  <c r="Q1155" i="13"/>
  <c r="P1155" i="13"/>
  <c r="Q1154" i="13"/>
  <c r="P1154" i="13"/>
  <c r="Q1153" i="13"/>
  <c r="P1153" i="13"/>
  <c r="Q1152" i="13"/>
  <c r="P1152" i="13"/>
  <c r="Q1151" i="13"/>
  <c r="P1151" i="13"/>
  <c r="Q1150" i="13"/>
  <c r="P1150" i="13"/>
  <c r="Q1149" i="13"/>
  <c r="P1149" i="13"/>
  <c r="Q1148" i="13"/>
  <c r="P1148" i="13"/>
  <c r="Q1147" i="13"/>
  <c r="P1147" i="13"/>
  <c r="Q1146" i="13"/>
  <c r="P1146" i="13"/>
  <c r="Q1145" i="13"/>
  <c r="P1145" i="13"/>
  <c r="Q1144" i="13"/>
  <c r="P1144" i="13"/>
  <c r="Q1143" i="13"/>
  <c r="P1143" i="13"/>
  <c r="Q1142" i="13"/>
  <c r="P1142" i="13"/>
  <c r="Q1141" i="13"/>
  <c r="P1141" i="13"/>
  <c r="Q1140" i="13"/>
  <c r="P1140" i="13"/>
  <c r="Q1139" i="13"/>
  <c r="P1139" i="13"/>
  <c r="Q1138" i="13"/>
  <c r="P1138" i="13"/>
  <c r="Q1137" i="13"/>
  <c r="P1137" i="13"/>
  <c r="Q1136" i="13"/>
  <c r="P1136" i="13"/>
  <c r="Q1135" i="13"/>
  <c r="P1135" i="13"/>
  <c r="Q1134" i="13"/>
  <c r="P1134" i="13"/>
  <c r="Q1133" i="13"/>
  <c r="P1133" i="13"/>
  <c r="Q1132" i="13"/>
  <c r="P1132" i="13"/>
  <c r="Q1131" i="13"/>
  <c r="P1131" i="13"/>
  <c r="Q1130" i="13"/>
  <c r="P1130" i="13"/>
  <c r="Q1129" i="13"/>
  <c r="P1129" i="13"/>
  <c r="Q1128" i="13"/>
  <c r="P1128" i="13"/>
  <c r="Q1127" i="13"/>
  <c r="P1127" i="13"/>
  <c r="Q1126" i="13"/>
  <c r="P1126" i="13"/>
  <c r="Q1125" i="13"/>
  <c r="P1125" i="13"/>
  <c r="Q1124" i="13"/>
  <c r="P1124" i="13"/>
  <c r="Q1123" i="13"/>
  <c r="P1123" i="13"/>
  <c r="Q1122" i="13"/>
  <c r="P1122" i="13"/>
  <c r="Q1121" i="13"/>
  <c r="P1121" i="13"/>
  <c r="Q1120" i="13"/>
  <c r="P1120" i="13"/>
  <c r="Q1119" i="13"/>
  <c r="P1119" i="13"/>
  <c r="Q1118" i="13"/>
  <c r="P1118" i="13"/>
  <c r="Q1117" i="13"/>
  <c r="P1117" i="13"/>
  <c r="Q1116" i="13"/>
  <c r="P1116" i="13"/>
  <c r="Q1115" i="13"/>
  <c r="P1115" i="13"/>
  <c r="Q1114" i="13"/>
  <c r="P1114" i="13"/>
  <c r="Q1113" i="13"/>
  <c r="P1113" i="13"/>
  <c r="Q1112" i="13"/>
  <c r="P1112" i="13"/>
  <c r="Q1111" i="13"/>
  <c r="P1111" i="13"/>
  <c r="Q1110" i="13"/>
  <c r="P1110" i="13"/>
  <c r="Q1109" i="13"/>
  <c r="P1109" i="13"/>
  <c r="Q1108" i="13"/>
  <c r="P1108" i="13"/>
  <c r="Q1107" i="13"/>
  <c r="P1107" i="13"/>
  <c r="Q1106" i="13"/>
  <c r="P1106" i="13"/>
  <c r="Q1105" i="13"/>
  <c r="P1105" i="13"/>
  <c r="Q1104" i="13"/>
  <c r="P1104" i="13"/>
  <c r="Q1103" i="13"/>
  <c r="P1103" i="13"/>
  <c r="Q1102" i="13"/>
  <c r="P1102" i="13"/>
  <c r="Q1101" i="13"/>
  <c r="P1101" i="13"/>
  <c r="Q1100" i="13"/>
  <c r="P1100" i="13"/>
  <c r="Q1099" i="13"/>
  <c r="P1099" i="13"/>
  <c r="Q1098" i="13"/>
  <c r="P1098" i="13"/>
  <c r="Q1097" i="13"/>
  <c r="P1097" i="13"/>
  <c r="Q1096" i="13"/>
  <c r="P1096" i="13"/>
  <c r="Q1095" i="13"/>
  <c r="P1095" i="13"/>
  <c r="Q1094" i="13"/>
  <c r="P1094" i="13"/>
  <c r="Q1093" i="13"/>
  <c r="P1093" i="13"/>
  <c r="Q1092" i="13"/>
  <c r="P1092" i="13"/>
  <c r="Q1091" i="13"/>
  <c r="P1091" i="13"/>
  <c r="Q1090" i="13"/>
  <c r="P1090" i="13"/>
  <c r="Q1089" i="13"/>
  <c r="P1089" i="13"/>
  <c r="Q1088" i="13"/>
  <c r="P1088" i="13"/>
  <c r="Q1087" i="13"/>
  <c r="P1087" i="13"/>
  <c r="Q1086" i="13"/>
  <c r="P1086" i="13"/>
  <c r="Q1085" i="13"/>
  <c r="P1085" i="13"/>
  <c r="Q1084" i="13"/>
  <c r="P1084" i="13"/>
  <c r="Q1083" i="13"/>
  <c r="P1083" i="13"/>
  <c r="P1082" i="13"/>
  <c r="P1081" i="13"/>
  <c r="P1080" i="13"/>
  <c r="P1079" i="13"/>
  <c r="P1078" i="13"/>
  <c r="Q1077" i="13"/>
  <c r="P1077" i="13"/>
  <c r="P1076" i="13"/>
  <c r="P1075" i="13"/>
  <c r="P1074" i="13"/>
  <c r="P1073" i="13"/>
  <c r="P1072" i="13"/>
  <c r="P1071" i="13"/>
  <c r="P1070" i="13"/>
  <c r="P1069" i="13"/>
  <c r="P1068" i="13"/>
  <c r="P1067" i="13"/>
  <c r="P1066" i="13"/>
  <c r="P1065" i="13"/>
  <c r="P1064" i="13"/>
  <c r="P1063" i="13"/>
  <c r="Q1062" i="13"/>
  <c r="P1062" i="13"/>
  <c r="Q1061" i="13"/>
  <c r="P1061" i="13"/>
  <c r="Q1060" i="13"/>
  <c r="P1060" i="13"/>
  <c r="Q1059" i="13"/>
  <c r="P1059" i="13"/>
  <c r="Q1058" i="13"/>
  <c r="P1058" i="13"/>
  <c r="Q1057" i="13"/>
  <c r="P1057" i="13"/>
  <c r="Q1056" i="13"/>
  <c r="P1056" i="13"/>
  <c r="P1055" i="13"/>
  <c r="P1054" i="13"/>
  <c r="P1053" i="13"/>
  <c r="P1052" i="13"/>
  <c r="P1051" i="13"/>
  <c r="P1050" i="13"/>
  <c r="P1049" i="13"/>
  <c r="P1048" i="13"/>
  <c r="Q1047" i="13"/>
  <c r="P1047" i="13"/>
  <c r="Q1046" i="13"/>
  <c r="P1046" i="13"/>
  <c r="Q1045" i="13"/>
  <c r="P1045" i="13"/>
  <c r="Q1044" i="13"/>
  <c r="P1044" i="13"/>
  <c r="Q1043" i="13"/>
  <c r="P1043" i="13"/>
  <c r="Q1042" i="13"/>
  <c r="P1042" i="13"/>
  <c r="Q1041" i="13"/>
  <c r="P1041" i="13"/>
  <c r="Q1040" i="13"/>
  <c r="P1040" i="13"/>
  <c r="Q1039" i="13"/>
  <c r="P1039" i="13"/>
  <c r="Q1038" i="13"/>
  <c r="P1038" i="13"/>
  <c r="P1037" i="13"/>
  <c r="Q1036" i="13"/>
  <c r="P1036" i="13"/>
  <c r="Q1035" i="13"/>
  <c r="P1035" i="13"/>
  <c r="Q1034" i="13"/>
  <c r="P1034" i="13"/>
  <c r="Q1033" i="13"/>
  <c r="P1033" i="13"/>
  <c r="P1032" i="13"/>
  <c r="P1031" i="13"/>
  <c r="P1030" i="13"/>
  <c r="P1029" i="13"/>
  <c r="P1028" i="13"/>
  <c r="P1027" i="13"/>
  <c r="P1026" i="13"/>
  <c r="P1025" i="13"/>
  <c r="Q1024" i="13"/>
  <c r="P1024" i="13"/>
  <c r="Q1023" i="13"/>
  <c r="P1023" i="13"/>
  <c r="Q1022" i="13"/>
  <c r="P1022" i="13"/>
  <c r="Q1021" i="13"/>
  <c r="P1021" i="13"/>
  <c r="Q1020" i="13"/>
  <c r="P1020" i="13"/>
  <c r="Q1019" i="13"/>
  <c r="P1019" i="13"/>
  <c r="P1018" i="13"/>
  <c r="Q1017" i="13"/>
  <c r="P1017" i="13"/>
  <c r="Q1016" i="13"/>
  <c r="P1016" i="13"/>
  <c r="Q1015" i="13"/>
  <c r="P1015" i="13"/>
  <c r="Q1014" i="13"/>
  <c r="P1014" i="13"/>
  <c r="Q1013" i="13"/>
  <c r="P1013" i="13"/>
  <c r="Q1012" i="13"/>
  <c r="P1012" i="13"/>
  <c r="Q1011" i="13"/>
  <c r="P1011" i="13"/>
  <c r="P1010" i="13"/>
  <c r="Q1009" i="13"/>
  <c r="P1009" i="13"/>
  <c r="Q1008" i="13"/>
  <c r="P1008" i="13"/>
  <c r="Q1007" i="13"/>
  <c r="P1007" i="13"/>
  <c r="Q1006" i="13"/>
  <c r="P1006" i="13"/>
  <c r="Q1005" i="13"/>
  <c r="P1005" i="13"/>
  <c r="Q1004" i="13"/>
  <c r="P1004" i="13"/>
  <c r="Q1003" i="13"/>
  <c r="P1003" i="13"/>
  <c r="Q1002" i="13"/>
  <c r="P1002" i="13"/>
  <c r="Q1001" i="13"/>
  <c r="P1001" i="13"/>
  <c r="Q1000" i="13"/>
  <c r="P1000" i="13"/>
  <c r="Q998" i="13"/>
  <c r="P998" i="13"/>
  <c r="Q997" i="13"/>
  <c r="P997" i="13"/>
  <c r="Q996" i="13"/>
  <c r="P996" i="13"/>
  <c r="Q994" i="13"/>
  <c r="P994" i="13"/>
  <c r="Q993" i="13"/>
  <c r="P993" i="13"/>
  <c r="Q992" i="13"/>
  <c r="P992" i="13"/>
  <c r="Q991" i="13"/>
  <c r="P991" i="13"/>
  <c r="Q990" i="13"/>
  <c r="P990" i="13"/>
  <c r="Q989" i="13"/>
  <c r="P989" i="13"/>
  <c r="Q988" i="13"/>
  <c r="P988" i="13"/>
  <c r="Q987" i="13"/>
  <c r="P987" i="13"/>
  <c r="Q986" i="13"/>
  <c r="P986" i="13"/>
  <c r="Q985" i="13"/>
  <c r="P985" i="13"/>
  <c r="Q984" i="13"/>
  <c r="P984" i="13"/>
  <c r="Q983" i="13"/>
  <c r="P983" i="13"/>
  <c r="Q982" i="13"/>
  <c r="P982" i="13"/>
  <c r="Q981" i="13"/>
  <c r="P981" i="13"/>
  <c r="Q980" i="13"/>
  <c r="P980" i="13"/>
  <c r="Q979" i="13"/>
  <c r="P979" i="13"/>
  <c r="Q978" i="13"/>
  <c r="P978" i="13"/>
  <c r="Q977" i="13"/>
  <c r="P977" i="13"/>
  <c r="Q976" i="13"/>
  <c r="P976" i="13"/>
  <c r="Q975" i="13"/>
  <c r="P975" i="13"/>
  <c r="Q974" i="13"/>
  <c r="P974" i="13"/>
  <c r="Q973" i="13"/>
  <c r="P973" i="13"/>
  <c r="Q972" i="13"/>
  <c r="P972" i="13"/>
  <c r="Q971" i="13"/>
  <c r="P971" i="13"/>
  <c r="Q970" i="13"/>
  <c r="P970" i="13"/>
  <c r="Q969" i="13"/>
  <c r="P969" i="13"/>
  <c r="Q968" i="13"/>
  <c r="P968" i="13"/>
  <c r="Q967" i="13"/>
  <c r="P967" i="13"/>
  <c r="Q966" i="13"/>
  <c r="P966" i="13"/>
  <c r="Q965" i="13"/>
  <c r="P965" i="13"/>
  <c r="Q964" i="13"/>
  <c r="P964" i="13"/>
  <c r="Q963" i="13"/>
  <c r="P963" i="13"/>
  <c r="Q962" i="13"/>
  <c r="P962" i="13"/>
  <c r="Q961" i="13"/>
  <c r="P961" i="13"/>
  <c r="Q960" i="13"/>
  <c r="P960" i="13"/>
  <c r="Q959" i="13"/>
  <c r="P959" i="13"/>
  <c r="Q958" i="13"/>
  <c r="P958" i="13"/>
  <c r="Q957" i="13"/>
  <c r="P957" i="13"/>
  <c r="Q956" i="13"/>
  <c r="P956" i="13"/>
  <c r="Q955" i="13"/>
  <c r="P955" i="13"/>
  <c r="Q954" i="13"/>
  <c r="P954" i="13"/>
  <c r="Q953" i="13"/>
  <c r="P953" i="13"/>
  <c r="Q952" i="13"/>
  <c r="P952" i="13"/>
  <c r="Q951" i="13"/>
  <c r="P951" i="13"/>
  <c r="Q950" i="13"/>
  <c r="P950" i="13"/>
  <c r="Q949" i="13"/>
  <c r="P949" i="13"/>
  <c r="Q948" i="13"/>
  <c r="P948" i="13"/>
  <c r="Q947" i="13"/>
  <c r="P947" i="13"/>
  <c r="Q946" i="13"/>
  <c r="P946" i="13"/>
  <c r="Q945" i="13"/>
  <c r="P945" i="13"/>
  <c r="Q944" i="13"/>
  <c r="P944" i="13"/>
  <c r="Q943" i="13"/>
  <c r="P943" i="13"/>
  <c r="Q942" i="13"/>
  <c r="P942" i="13"/>
  <c r="Q941" i="13"/>
  <c r="P941" i="13"/>
  <c r="Q940" i="13"/>
  <c r="P940" i="13"/>
  <c r="Q939" i="13"/>
  <c r="P939" i="13"/>
  <c r="Q938" i="13"/>
  <c r="P938" i="13"/>
  <c r="Q937" i="13"/>
  <c r="P937" i="13"/>
  <c r="Q936" i="13"/>
  <c r="P936" i="13"/>
  <c r="Q935" i="13"/>
  <c r="P935" i="13"/>
  <c r="Q934" i="13"/>
  <c r="P934" i="13"/>
  <c r="Q933" i="13"/>
  <c r="P933" i="13"/>
  <c r="Q932" i="13"/>
  <c r="P932" i="13"/>
  <c r="Q931" i="13"/>
  <c r="P931" i="13"/>
  <c r="Q930" i="13"/>
  <c r="P930" i="13"/>
  <c r="Q929" i="13"/>
  <c r="P929" i="13"/>
  <c r="Q928" i="13"/>
  <c r="P928" i="13"/>
  <c r="Q927" i="13"/>
  <c r="P927" i="13"/>
  <c r="Q926" i="13"/>
  <c r="P926" i="13"/>
  <c r="Q925" i="13"/>
  <c r="P925" i="13"/>
  <c r="Q924" i="13"/>
  <c r="P924" i="13"/>
  <c r="Q923" i="13"/>
  <c r="P923" i="13"/>
  <c r="Q922" i="13"/>
  <c r="P922" i="13"/>
  <c r="Q921" i="13"/>
  <c r="P921" i="13"/>
  <c r="Q920" i="13"/>
  <c r="P920" i="13"/>
  <c r="Q919" i="13"/>
  <c r="P919" i="13"/>
  <c r="Q918" i="13"/>
  <c r="P918" i="13"/>
  <c r="Q917" i="13"/>
  <c r="P917" i="13"/>
  <c r="Q916" i="13"/>
  <c r="P916" i="13"/>
  <c r="Q915" i="13"/>
  <c r="P915" i="13"/>
  <c r="Q914" i="13"/>
  <c r="P914" i="13"/>
  <c r="Q913" i="13"/>
  <c r="P913" i="13"/>
  <c r="Q912" i="13"/>
  <c r="P912" i="13"/>
  <c r="Q911" i="13"/>
  <c r="P911" i="13"/>
  <c r="Q910" i="13"/>
  <c r="P910" i="13"/>
  <c r="Q909" i="13"/>
  <c r="P909" i="13"/>
  <c r="Q908" i="13"/>
  <c r="P908" i="13"/>
  <c r="Q907" i="13"/>
  <c r="P907" i="13"/>
  <c r="Q906" i="13"/>
  <c r="P906" i="13"/>
  <c r="Q905" i="13"/>
  <c r="P905" i="13"/>
  <c r="Q904" i="13"/>
  <c r="P904" i="13"/>
  <c r="Q903" i="13"/>
  <c r="P903" i="13"/>
  <c r="Q902" i="13"/>
  <c r="P902" i="13"/>
  <c r="Q901" i="13"/>
  <c r="P901" i="13"/>
  <c r="Q900" i="13"/>
  <c r="P900" i="13"/>
  <c r="Q899" i="13"/>
  <c r="P899" i="13"/>
  <c r="Q898" i="13"/>
  <c r="P898" i="13"/>
  <c r="Q897" i="13"/>
  <c r="P897" i="13"/>
  <c r="Q896" i="13"/>
  <c r="P896" i="13"/>
  <c r="Q895" i="13"/>
  <c r="P895" i="13"/>
  <c r="Q894" i="13"/>
  <c r="P894" i="13"/>
  <c r="Q893" i="13"/>
  <c r="P893" i="13"/>
  <c r="Q892" i="13"/>
  <c r="P892" i="13"/>
  <c r="Q891" i="13"/>
  <c r="P891" i="13"/>
  <c r="Q890" i="13"/>
  <c r="P890" i="13"/>
  <c r="Q889" i="13"/>
  <c r="P889" i="13"/>
  <c r="Q888" i="13"/>
  <c r="P888" i="13"/>
  <c r="Q887" i="13"/>
  <c r="P887" i="13"/>
  <c r="Q886" i="13"/>
  <c r="P886" i="13"/>
  <c r="Q885" i="13"/>
  <c r="P885" i="13"/>
  <c r="Q884" i="13"/>
  <c r="P884" i="13"/>
  <c r="Q883" i="13"/>
  <c r="P883" i="13"/>
  <c r="Q882" i="13"/>
  <c r="P882" i="13"/>
  <c r="Q881" i="13"/>
  <c r="P881" i="13"/>
  <c r="Q880" i="13"/>
  <c r="P880" i="13"/>
  <c r="Q879" i="13"/>
  <c r="P879" i="13"/>
  <c r="Q878" i="13"/>
  <c r="P878" i="13"/>
  <c r="Q877" i="13"/>
  <c r="P877" i="13"/>
  <c r="Q876" i="13"/>
  <c r="P876" i="13"/>
  <c r="Q875" i="13"/>
  <c r="P875" i="13"/>
  <c r="Q874" i="13"/>
  <c r="P874" i="13"/>
  <c r="Q873" i="13"/>
  <c r="P873" i="13"/>
  <c r="Q872" i="13"/>
  <c r="P872" i="13"/>
  <c r="Q871" i="13"/>
  <c r="P871" i="13"/>
  <c r="Q867" i="13"/>
  <c r="P867" i="13"/>
  <c r="Q861" i="13"/>
  <c r="P861" i="13"/>
  <c r="Q860" i="13"/>
  <c r="P860" i="13"/>
  <c r="Q859" i="13"/>
  <c r="P859" i="13"/>
  <c r="Q858" i="13"/>
  <c r="P858" i="13"/>
  <c r="Q857" i="13"/>
  <c r="P857" i="13"/>
  <c r="Q856" i="13"/>
  <c r="P856" i="13"/>
  <c r="Q855" i="13"/>
  <c r="P855" i="13"/>
  <c r="Q854" i="13"/>
  <c r="P854" i="13"/>
  <c r="Q853" i="13"/>
  <c r="P853" i="13"/>
  <c r="Q852" i="13"/>
  <c r="P852" i="13"/>
  <c r="Q851" i="13"/>
  <c r="P851" i="13"/>
  <c r="Q850" i="13"/>
  <c r="P850" i="13"/>
  <c r="Q849" i="13"/>
  <c r="P849" i="13"/>
  <c r="Q848" i="13"/>
  <c r="P848" i="13"/>
  <c r="Q847" i="13"/>
  <c r="P847" i="13"/>
  <c r="Q846" i="13"/>
  <c r="P846" i="13"/>
  <c r="Q845" i="13"/>
  <c r="P845" i="13"/>
  <c r="Q844" i="13"/>
  <c r="P844" i="13"/>
  <c r="Q843" i="13"/>
  <c r="P843" i="13"/>
  <c r="Q842" i="13"/>
  <c r="P842" i="13"/>
  <c r="Q841" i="13"/>
  <c r="P841" i="13"/>
  <c r="Q840" i="13"/>
  <c r="P840" i="13"/>
  <c r="Q839" i="13"/>
  <c r="P839" i="13"/>
  <c r="P836" i="13"/>
  <c r="P830" i="13"/>
  <c r="P829" i="13"/>
  <c r="P823" i="13"/>
  <c r="P822" i="13"/>
  <c r="P821" i="13"/>
  <c r="P820" i="13"/>
  <c r="P819" i="13"/>
  <c r="P818" i="13"/>
  <c r="P817" i="13"/>
  <c r="P816" i="13"/>
  <c r="P815" i="13"/>
  <c r="P808" i="13"/>
  <c r="P807" i="13"/>
  <c r="P806" i="13"/>
  <c r="P805" i="13"/>
  <c r="P804" i="13"/>
  <c r="P803" i="13"/>
  <c r="P802" i="13"/>
  <c r="P801" i="13"/>
  <c r="P799" i="13"/>
  <c r="P798" i="13"/>
  <c r="P797" i="13"/>
  <c r="Q792" i="13"/>
  <c r="P792" i="13"/>
  <c r="Q791" i="13"/>
  <c r="P791" i="13"/>
  <c r="Q790" i="13"/>
  <c r="P790" i="13"/>
  <c r="Q789" i="13"/>
  <c r="P789" i="13"/>
  <c r="P788" i="13"/>
  <c r="P787" i="13"/>
  <c r="P786" i="13"/>
  <c r="P785" i="13"/>
  <c r="Q781" i="13"/>
  <c r="P781" i="13"/>
  <c r="Q780" i="13"/>
  <c r="P780" i="13"/>
  <c r="Q779" i="13"/>
  <c r="P779" i="13"/>
  <c r="Q778" i="13"/>
  <c r="P778" i="13"/>
  <c r="Q777" i="13"/>
  <c r="P777" i="13"/>
  <c r="Q776" i="13"/>
  <c r="P776" i="13"/>
  <c r="Q775" i="13"/>
  <c r="P775" i="13"/>
  <c r="Q774" i="13"/>
  <c r="P774" i="13"/>
  <c r="Q773" i="13"/>
  <c r="P773" i="13"/>
  <c r="Q772" i="13"/>
  <c r="P772" i="13"/>
  <c r="Q771" i="13"/>
  <c r="P771" i="13"/>
  <c r="Q770" i="13"/>
  <c r="P770" i="13"/>
  <c r="Q769" i="13"/>
  <c r="P769" i="13"/>
  <c r="Q768" i="13"/>
  <c r="P768" i="13"/>
  <c r="Q767" i="13"/>
  <c r="P767" i="13"/>
  <c r="Q766" i="13"/>
  <c r="P766" i="13"/>
  <c r="Q765" i="13"/>
  <c r="P765" i="13"/>
  <c r="Q764" i="13"/>
  <c r="P764" i="13"/>
  <c r="Q763" i="13"/>
  <c r="P763" i="13"/>
  <c r="P762" i="13"/>
  <c r="P761" i="13"/>
  <c r="P760" i="13"/>
  <c r="P759" i="13"/>
  <c r="P758" i="13"/>
  <c r="P757" i="13"/>
  <c r="P756" i="13"/>
  <c r="Q755" i="13"/>
  <c r="P755" i="13"/>
  <c r="Q754" i="13"/>
  <c r="P754" i="13"/>
  <c r="Q753" i="13"/>
  <c r="P753" i="13"/>
  <c r="Q752" i="13"/>
  <c r="P752" i="13"/>
  <c r="P751" i="13"/>
  <c r="P750" i="13"/>
  <c r="P749" i="13"/>
  <c r="P748" i="13"/>
  <c r="P747" i="13"/>
  <c r="Q741" i="13"/>
  <c r="Q740" i="13"/>
  <c r="Q739" i="13"/>
  <c r="Q738" i="13"/>
  <c r="Q728" i="13"/>
  <c r="Q720" i="13"/>
  <c r="Q719" i="13"/>
  <c r="P719" i="13"/>
  <c r="Q718" i="13"/>
  <c r="P718" i="13"/>
  <c r="Q717" i="13"/>
  <c r="P717" i="13"/>
  <c r="Q716" i="13"/>
  <c r="P716" i="13"/>
  <c r="Q715" i="13"/>
  <c r="P715" i="13"/>
  <c r="Q714" i="13"/>
  <c r="P714" i="13"/>
  <c r="Q713" i="13"/>
  <c r="P713" i="13"/>
  <c r="Q712" i="13"/>
  <c r="P712" i="13"/>
  <c r="Q711" i="13"/>
  <c r="P711" i="13"/>
  <c r="Q710" i="13"/>
  <c r="P710" i="13"/>
  <c r="Q709" i="13"/>
  <c r="P709" i="13"/>
  <c r="Q708" i="13"/>
  <c r="P708" i="13"/>
  <c r="Q707" i="13"/>
  <c r="P707" i="13"/>
  <c r="Q706" i="13"/>
  <c r="P706" i="13"/>
  <c r="Q705" i="13"/>
  <c r="P705" i="13"/>
  <c r="Q704" i="13"/>
  <c r="P704" i="13"/>
  <c r="Q703" i="13"/>
  <c r="P703" i="13"/>
  <c r="Q702" i="13"/>
  <c r="P702" i="13"/>
  <c r="Q701" i="13"/>
  <c r="P701" i="13"/>
  <c r="Q700" i="13"/>
  <c r="P700" i="13"/>
  <c r="Q699" i="13"/>
  <c r="P699" i="13"/>
  <c r="Q698" i="13"/>
  <c r="P698" i="13"/>
  <c r="Q697" i="13"/>
  <c r="P697" i="13"/>
  <c r="Q696" i="13"/>
  <c r="P696" i="13"/>
  <c r="Q695" i="13"/>
  <c r="P695" i="13"/>
  <c r="Q694" i="13"/>
  <c r="P694" i="13"/>
  <c r="Q693" i="13"/>
  <c r="P693" i="13"/>
  <c r="Q692" i="13"/>
  <c r="P692" i="13"/>
  <c r="Q691" i="13"/>
  <c r="P691" i="13"/>
  <c r="Q690" i="13"/>
  <c r="P690" i="13"/>
  <c r="Q689" i="13"/>
  <c r="P689" i="13"/>
  <c r="Q688" i="13"/>
  <c r="P688" i="13"/>
  <c r="Q687" i="13"/>
  <c r="P687" i="13"/>
  <c r="Q686" i="13"/>
  <c r="P686" i="13"/>
  <c r="P685" i="13"/>
  <c r="Q684" i="13"/>
  <c r="P684" i="13"/>
  <c r="Q683" i="13"/>
  <c r="P683" i="13"/>
  <c r="Q682" i="13"/>
  <c r="P682" i="13"/>
  <c r="Q681" i="13"/>
  <c r="P681" i="13"/>
  <c r="Q680" i="13"/>
  <c r="P680" i="13"/>
  <c r="Q679" i="13"/>
  <c r="P679" i="13"/>
  <c r="Q678" i="13"/>
  <c r="P678" i="13"/>
  <c r="Q677" i="13"/>
  <c r="P677" i="13"/>
  <c r="Q676" i="13"/>
  <c r="P676" i="13"/>
  <c r="Q675" i="13"/>
  <c r="P675" i="13"/>
  <c r="Q674" i="13"/>
  <c r="P674" i="13"/>
  <c r="Q673" i="13"/>
  <c r="P673" i="13"/>
  <c r="Q670" i="13"/>
  <c r="P670" i="13"/>
  <c r="Q669" i="13"/>
  <c r="P669" i="13"/>
  <c r="Q668" i="13"/>
  <c r="P668" i="13"/>
  <c r="Q667" i="13"/>
  <c r="P667" i="13"/>
  <c r="Q666" i="13"/>
  <c r="P666" i="13"/>
  <c r="Q665" i="13"/>
  <c r="P665" i="13"/>
  <c r="Q664" i="13"/>
  <c r="P664" i="13"/>
  <c r="Q663" i="13"/>
  <c r="P663" i="13"/>
  <c r="Q662" i="13"/>
  <c r="P662" i="13"/>
  <c r="Q661" i="13"/>
  <c r="P661" i="13"/>
  <c r="Q660" i="13"/>
  <c r="P660" i="13"/>
  <c r="Q659" i="13"/>
  <c r="P659" i="13"/>
  <c r="Q658" i="13"/>
  <c r="P658" i="13"/>
  <c r="Q657" i="13"/>
  <c r="P657" i="13"/>
  <c r="Q656" i="13"/>
  <c r="P656" i="13"/>
  <c r="Q655" i="13"/>
  <c r="P655" i="13"/>
  <c r="Q654" i="13"/>
  <c r="P654" i="13"/>
  <c r="Q651" i="13"/>
  <c r="P651" i="13"/>
  <c r="Q650" i="13"/>
  <c r="P650" i="13"/>
  <c r="Q649" i="13"/>
  <c r="P649" i="13"/>
  <c r="Q648" i="13"/>
  <c r="P648" i="13"/>
  <c r="Q647" i="13"/>
  <c r="P647" i="13"/>
  <c r="Q646" i="13"/>
  <c r="P646" i="13"/>
  <c r="Q645" i="13"/>
  <c r="P645" i="13"/>
  <c r="Q644" i="13"/>
  <c r="P644" i="13"/>
  <c r="Q643" i="13"/>
  <c r="P643" i="13"/>
  <c r="Q642" i="13"/>
  <c r="P642" i="13"/>
  <c r="Q641" i="13"/>
  <c r="P641" i="13"/>
  <c r="Q640" i="13"/>
  <c r="P640" i="13"/>
  <c r="Q639" i="13"/>
  <c r="P639" i="13"/>
  <c r="Q638" i="13"/>
  <c r="P638" i="13"/>
  <c r="Q637" i="13"/>
  <c r="P637" i="13"/>
  <c r="Q636" i="13"/>
  <c r="P636" i="13"/>
  <c r="Q635" i="13"/>
  <c r="P635" i="13"/>
  <c r="Q634" i="13"/>
  <c r="P634" i="13"/>
  <c r="Q633" i="13"/>
  <c r="P633" i="13"/>
  <c r="Q630" i="13"/>
  <c r="P630" i="13"/>
  <c r="Q629" i="13"/>
  <c r="P629" i="13"/>
  <c r="Q628" i="13"/>
  <c r="P628" i="13"/>
  <c r="Q622" i="13"/>
  <c r="P622" i="13"/>
  <c r="Q621" i="13"/>
  <c r="P621" i="13"/>
  <c r="Q620" i="13"/>
  <c r="P620" i="13"/>
  <c r="Q619" i="13"/>
  <c r="P619" i="13"/>
  <c r="Q615" i="13"/>
  <c r="P615" i="13"/>
  <c r="Q614" i="13"/>
  <c r="Q613" i="13"/>
  <c r="Q612" i="13"/>
  <c r="Q605" i="13"/>
  <c r="P605" i="13"/>
  <c r="Q604" i="13"/>
  <c r="P604" i="13"/>
  <c r="Q603" i="13"/>
  <c r="P603" i="13"/>
  <c r="Q596" i="13"/>
  <c r="P596" i="13"/>
  <c r="Q595" i="13"/>
  <c r="Q594" i="13"/>
  <c r="Q593" i="13"/>
  <c r="P593" i="13"/>
  <c r="Q592" i="13"/>
  <c r="P592" i="13"/>
  <c r="Q591" i="13"/>
  <c r="P591" i="13"/>
  <c r="Q590" i="13"/>
  <c r="P590" i="13"/>
  <c r="Q589" i="13"/>
  <c r="P589" i="13"/>
  <c r="Q588" i="13"/>
  <c r="P588" i="13"/>
  <c r="Q584" i="13"/>
  <c r="P584" i="13"/>
  <c r="Q583" i="13"/>
  <c r="P583" i="13"/>
  <c r="Q582" i="13"/>
  <c r="P582" i="13"/>
  <c r="Q581" i="13"/>
  <c r="P581" i="13"/>
  <c r="Q580" i="13"/>
  <c r="P580" i="13"/>
  <c r="Q579" i="13"/>
  <c r="P579" i="13"/>
  <c r="Q578" i="13"/>
  <c r="P578" i="13"/>
  <c r="Q577" i="13"/>
  <c r="P577" i="13"/>
  <c r="Q576" i="13"/>
  <c r="P576" i="13"/>
  <c r="Q575" i="13"/>
  <c r="P575" i="13"/>
  <c r="Q574" i="13"/>
  <c r="P574" i="13"/>
  <c r="Q573" i="13"/>
  <c r="P573" i="13"/>
  <c r="Q572" i="13"/>
  <c r="P572" i="13"/>
  <c r="Q571" i="13"/>
  <c r="P571" i="13"/>
  <c r="Q570" i="13"/>
  <c r="P570" i="13"/>
  <c r="Q569" i="13"/>
  <c r="P569" i="13"/>
  <c r="Q568" i="13"/>
  <c r="P568" i="13"/>
  <c r="Q567" i="13"/>
  <c r="P567" i="13"/>
  <c r="Q559" i="13"/>
  <c r="P559" i="13"/>
  <c r="Q558" i="13"/>
  <c r="P558" i="13"/>
  <c r="Q557" i="13"/>
  <c r="P557" i="13"/>
  <c r="Q556" i="13"/>
  <c r="P556" i="13"/>
  <c r="Q555" i="13"/>
  <c r="P555" i="13"/>
  <c r="Q554" i="13"/>
  <c r="P554" i="13"/>
  <c r="Q553" i="13"/>
  <c r="P553" i="13"/>
  <c r="Q552" i="13"/>
  <c r="P552" i="13"/>
  <c r="Q529" i="13"/>
  <c r="P529" i="13"/>
  <c r="Q528" i="13"/>
  <c r="P528" i="13"/>
  <c r="Q527" i="13"/>
  <c r="P527" i="13"/>
  <c r="Q526" i="13"/>
  <c r="P526" i="13"/>
  <c r="Q525" i="13"/>
  <c r="P525" i="13"/>
  <c r="Q524" i="13"/>
  <c r="P524" i="13"/>
  <c r="Q523" i="13"/>
  <c r="P523" i="13"/>
  <c r="Q522" i="13"/>
  <c r="P522" i="13"/>
  <c r="Q521" i="13"/>
  <c r="P521" i="13"/>
  <c r="Q520" i="13"/>
  <c r="P520" i="13"/>
  <c r="Q519" i="13"/>
  <c r="P519" i="13"/>
  <c r="Q518" i="13"/>
  <c r="P518" i="13"/>
  <c r="Q517" i="13"/>
  <c r="P517" i="13"/>
  <c r="Q516" i="13"/>
  <c r="P516" i="13"/>
  <c r="Q515" i="13"/>
  <c r="P515" i="13"/>
  <c r="Q514" i="13"/>
  <c r="P514" i="13"/>
  <c r="Q513" i="13"/>
  <c r="P513" i="13"/>
  <c r="Q512" i="13"/>
  <c r="P512" i="13"/>
  <c r="Q511" i="13"/>
  <c r="P511" i="13"/>
  <c r="Q510" i="13"/>
  <c r="P510" i="13"/>
  <c r="Q509" i="13"/>
  <c r="P509" i="13"/>
  <c r="Q508" i="13"/>
  <c r="P508" i="13"/>
  <c r="Q507" i="13"/>
  <c r="P507" i="13"/>
  <c r="Q506" i="13"/>
  <c r="P506" i="13"/>
  <c r="Q505" i="13"/>
  <c r="P505" i="13"/>
  <c r="Q504" i="13"/>
  <c r="P504" i="13"/>
  <c r="Q503" i="13"/>
  <c r="P503" i="13"/>
  <c r="Q502" i="13"/>
  <c r="P502" i="13"/>
  <c r="Q501" i="13"/>
  <c r="P501" i="13"/>
  <c r="Q500" i="13"/>
  <c r="P500" i="13"/>
  <c r="Q499" i="13"/>
  <c r="P499" i="13"/>
  <c r="Q497" i="13"/>
  <c r="P497" i="13"/>
  <c r="Q496" i="13"/>
  <c r="P496" i="13"/>
  <c r="Q495" i="13"/>
  <c r="P495" i="13"/>
  <c r="Q494" i="13"/>
  <c r="P494" i="13"/>
  <c r="Q493" i="13"/>
  <c r="P493" i="13"/>
  <c r="Q492" i="13"/>
  <c r="P492" i="13"/>
  <c r="Q491" i="13"/>
  <c r="P491" i="13"/>
  <c r="Q490" i="13"/>
  <c r="P490" i="13"/>
  <c r="Q489" i="13"/>
  <c r="P489" i="13"/>
  <c r="Q488" i="13"/>
  <c r="P488" i="13"/>
  <c r="Q487" i="13"/>
  <c r="P487" i="13"/>
  <c r="Q486" i="13"/>
  <c r="P486" i="13"/>
  <c r="Q485" i="13"/>
  <c r="P485" i="13"/>
  <c r="Q484" i="13"/>
  <c r="P484" i="13"/>
  <c r="Q483" i="13"/>
  <c r="P483" i="13"/>
  <c r="Q482" i="13"/>
  <c r="P482" i="13"/>
  <c r="Q481" i="13"/>
  <c r="P481" i="13"/>
  <c r="P464" i="13"/>
  <c r="P463" i="13"/>
  <c r="P462" i="13"/>
  <c r="P461" i="13"/>
  <c r="P460" i="13"/>
  <c r="P459" i="13"/>
  <c r="P458" i="13"/>
  <c r="P457" i="13"/>
  <c r="P456" i="13"/>
  <c r="Q453" i="13"/>
  <c r="P453" i="13"/>
  <c r="Q450" i="13"/>
  <c r="P450" i="13"/>
  <c r="Q447" i="13"/>
  <c r="P447" i="13"/>
  <c r="Q446" i="13"/>
  <c r="P446" i="13"/>
  <c r="Q445" i="13"/>
  <c r="P445" i="13"/>
  <c r="Q444" i="13"/>
  <c r="P444" i="13"/>
  <c r="Q443" i="13"/>
  <c r="P443" i="13"/>
  <c r="Q442" i="13"/>
  <c r="P442" i="13"/>
  <c r="Q441" i="13"/>
  <c r="P441" i="13"/>
  <c r="Q440" i="13"/>
  <c r="P440" i="13"/>
  <c r="Q439" i="13"/>
  <c r="P439" i="13"/>
  <c r="Q438" i="13"/>
  <c r="P438" i="13"/>
  <c r="Q437" i="13"/>
  <c r="P437" i="13"/>
  <c r="Q436" i="13"/>
  <c r="P436" i="13"/>
  <c r="Q435" i="13"/>
  <c r="P435" i="13"/>
  <c r="Q434" i="13"/>
  <c r="P434" i="13"/>
  <c r="Q433" i="13"/>
  <c r="P433" i="13"/>
  <c r="Q432" i="13"/>
  <c r="P432" i="13"/>
  <c r="Q431" i="13"/>
  <c r="P431" i="13"/>
  <c r="Q430" i="13"/>
  <c r="P430" i="13"/>
  <c r="Q429" i="13"/>
  <c r="P429" i="13"/>
  <c r="Q428" i="13"/>
  <c r="P428" i="13"/>
  <c r="Q427" i="13"/>
  <c r="P427" i="13"/>
  <c r="Q426" i="13"/>
  <c r="P426" i="13"/>
  <c r="Q425" i="13"/>
  <c r="P425" i="13"/>
  <c r="Q424" i="13"/>
  <c r="P424" i="13"/>
  <c r="Q423" i="13"/>
  <c r="P423" i="13"/>
  <c r="Q422" i="13"/>
  <c r="P422" i="13"/>
  <c r="Q421" i="13"/>
  <c r="P421" i="13"/>
  <c r="Q420" i="13"/>
  <c r="P420" i="13"/>
  <c r="Q419" i="13"/>
  <c r="P419" i="13"/>
  <c r="Q418" i="13"/>
  <c r="P418" i="13"/>
  <c r="Q417" i="13"/>
  <c r="P417" i="13"/>
  <c r="Q416" i="13"/>
  <c r="P416" i="13"/>
  <c r="Q415" i="13"/>
  <c r="P415" i="13"/>
  <c r="Q414" i="13"/>
  <c r="P414" i="13"/>
  <c r="Q413" i="13"/>
  <c r="P413" i="13"/>
  <c r="Q412" i="13"/>
  <c r="P412" i="13"/>
  <c r="Q411" i="13"/>
  <c r="P411" i="13"/>
  <c r="Q410" i="13"/>
  <c r="P410" i="13"/>
  <c r="Q409" i="13"/>
  <c r="P409" i="13"/>
  <c r="Q406" i="13"/>
  <c r="P406" i="13"/>
  <c r="Q405" i="13"/>
  <c r="P405" i="13"/>
  <c r="Q404" i="13"/>
  <c r="P404" i="13"/>
  <c r="Q403" i="13"/>
  <c r="P403" i="13"/>
  <c r="Q402" i="13"/>
  <c r="P402" i="13"/>
  <c r="Q401" i="13"/>
  <c r="P401" i="13"/>
  <c r="Q400" i="13"/>
  <c r="P400" i="13"/>
  <c r="Q399" i="13"/>
  <c r="P399" i="13"/>
  <c r="Q398" i="13"/>
  <c r="P398" i="13"/>
  <c r="Q397" i="13"/>
  <c r="P397" i="13"/>
  <c r="Q396" i="13"/>
  <c r="P396" i="13"/>
  <c r="Q395" i="13"/>
  <c r="P395" i="13"/>
  <c r="Q394" i="13"/>
  <c r="P394" i="13"/>
  <c r="Q393" i="13"/>
  <c r="P393" i="13"/>
  <c r="Q392" i="13"/>
  <c r="P392" i="13"/>
  <c r="Q391" i="13"/>
  <c r="P391" i="13"/>
  <c r="Q390" i="13"/>
  <c r="P390" i="13"/>
  <c r="Q389" i="13"/>
  <c r="P389" i="13"/>
  <c r="Q388" i="13"/>
  <c r="P388" i="13"/>
  <c r="Q387" i="13"/>
  <c r="P387" i="13"/>
  <c r="Q384" i="13"/>
  <c r="P384" i="13"/>
  <c r="Q383" i="13"/>
  <c r="P383" i="13"/>
  <c r="Q382" i="13"/>
  <c r="P382" i="13"/>
  <c r="Q381" i="13"/>
  <c r="P381" i="13"/>
  <c r="Q380" i="13"/>
  <c r="P380" i="13"/>
  <c r="Q379" i="13"/>
  <c r="P379" i="13"/>
  <c r="Q378" i="13"/>
  <c r="P378" i="13"/>
  <c r="Q377" i="13"/>
  <c r="P377" i="13"/>
  <c r="Q376" i="13"/>
  <c r="P376" i="13"/>
  <c r="Q375" i="13"/>
  <c r="P375" i="13"/>
  <c r="Q374" i="13"/>
  <c r="P374" i="13"/>
  <c r="Q373" i="13"/>
  <c r="P373" i="13"/>
  <c r="Q372" i="13"/>
  <c r="P372" i="13"/>
  <c r="Q371" i="13"/>
  <c r="P371" i="13"/>
  <c r="Q370" i="13"/>
  <c r="P370" i="13"/>
  <c r="Q369" i="13"/>
  <c r="P369" i="13"/>
  <c r="Q368" i="13"/>
  <c r="P368" i="13"/>
  <c r="Q367" i="13"/>
  <c r="P367" i="13"/>
  <c r="Q366" i="13"/>
  <c r="P366" i="13"/>
  <c r="Q365" i="13"/>
  <c r="P365" i="13"/>
  <c r="Q364" i="13"/>
  <c r="P364" i="13"/>
  <c r="Q363" i="13"/>
  <c r="P363" i="13"/>
  <c r="Q362" i="13"/>
  <c r="P362" i="13"/>
  <c r="Q361" i="13"/>
  <c r="P361" i="13"/>
  <c r="Q360" i="13"/>
  <c r="P360" i="13"/>
  <c r="Q359" i="13"/>
  <c r="P359" i="13"/>
  <c r="Q358" i="13"/>
  <c r="P358" i="13"/>
  <c r="Q357" i="13"/>
  <c r="P357" i="13"/>
  <c r="Q356" i="13"/>
  <c r="P356" i="13"/>
  <c r="Q355" i="13"/>
  <c r="P355" i="13"/>
  <c r="Q354" i="13"/>
  <c r="P354" i="13"/>
  <c r="Q353" i="13"/>
  <c r="P353" i="13"/>
  <c r="Q352" i="13"/>
  <c r="P352" i="13"/>
  <c r="Q351" i="13"/>
  <c r="P351" i="13"/>
  <c r="Q350" i="13"/>
  <c r="P350" i="13"/>
  <c r="Q349" i="13"/>
  <c r="P349" i="13"/>
  <c r="Q348" i="13"/>
  <c r="P348" i="13"/>
  <c r="Q347" i="13"/>
  <c r="P347" i="13"/>
  <c r="Q346" i="13"/>
  <c r="P346" i="13"/>
  <c r="Q345" i="13"/>
  <c r="P345" i="13"/>
  <c r="Q344" i="13"/>
  <c r="P344" i="13"/>
  <c r="Q343" i="13"/>
  <c r="P343" i="13"/>
  <c r="Q342" i="13"/>
  <c r="P342" i="13"/>
  <c r="Q341" i="13"/>
  <c r="P341" i="13"/>
  <c r="Q340" i="13"/>
  <c r="P340" i="13"/>
  <c r="Q339" i="13"/>
  <c r="P339" i="13"/>
  <c r="P338" i="13"/>
  <c r="P337" i="13"/>
  <c r="P336" i="13"/>
  <c r="P335" i="13"/>
  <c r="P334" i="13"/>
  <c r="Q333" i="13"/>
  <c r="P333" i="13"/>
  <c r="Q332" i="13"/>
  <c r="P332" i="13"/>
  <c r="Q331" i="13"/>
  <c r="P331" i="13"/>
  <c r="Q330" i="13"/>
  <c r="P330" i="13"/>
  <c r="Q329" i="13"/>
  <c r="P329" i="13"/>
  <c r="Q324" i="13"/>
  <c r="P324" i="13"/>
  <c r="Q323" i="13"/>
  <c r="P323" i="13"/>
  <c r="Q322" i="13"/>
  <c r="P322" i="13"/>
  <c r="Q321" i="13"/>
  <c r="P321" i="13"/>
  <c r="Q320" i="13"/>
  <c r="P320" i="13"/>
  <c r="P319" i="13"/>
  <c r="P318" i="13"/>
  <c r="Q317" i="13"/>
  <c r="P317" i="13"/>
  <c r="Q316" i="13"/>
  <c r="P316" i="13"/>
  <c r="Q315" i="13"/>
  <c r="P315" i="13"/>
  <c r="Q312" i="13"/>
  <c r="P312" i="13"/>
  <c r="Q311" i="13"/>
  <c r="P311" i="13"/>
  <c r="Q310" i="13"/>
  <c r="P310" i="13"/>
  <c r="Q309" i="13"/>
  <c r="P309" i="13"/>
  <c r="Q308" i="13"/>
  <c r="P308" i="13"/>
  <c r="Q307" i="13"/>
  <c r="P307" i="13"/>
  <c r="Q306" i="13"/>
  <c r="P306" i="13"/>
  <c r="Q305" i="13"/>
  <c r="P305" i="13"/>
  <c r="Q304" i="13"/>
  <c r="P304" i="13"/>
  <c r="Q303" i="13"/>
  <c r="P303" i="13"/>
  <c r="Q302" i="13"/>
  <c r="P302" i="13"/>
  <c r="Q301" i="13"/>
  <c r="P301" i="13"/>
  <c r="Q300" i="13"/>
  <c r="P300" i="13"/>
  <c r="Q299" i="13"/>
  <c r="P299" i="13"/>
  <c r="Q298" i="13"/>
  <c r="P298" i="13"/>
  <c r="Q297" i="13"/>
  <c r="P297" i="13"/>
  <c r="Q296" i="13"/>
  <c r="P296" i="13"/>
  <c r="Q295" i="13"/>
  <c r="P295" i="13"/>
  <c r="Q294" i="13"/>
  <c r="P294" i="13"/>
  <c r="Q293" i="13"/>
  <c r="P293" i="13"/>
  <c r="Q292" i="13"/>
  <c r="P292" i="13"/>
  <c r="Q291" i="13"/>
  <c r="P291" i="13"/>
  <c r="Q290" i="13"/>
  <c r="P290" i="13"/>
  <c r="Q289" i="13"/>
  <c r="P289" i="13"/>
  <c r="Q288" i="13"/>
  <c r="P288" i="13"/>
  <c r="P287" i="13"/>
  <c r="Q286" i="13"/>
  <c r="P286" i="13"/>
  <c r="Q285" i="13"/>
  <c r="P285" i="13"/>
  <c r="Q284" i="13"/>
  <c r="P284" i="13"/>
  <c r="Q283" i="13"/>
  <c r="P283" i="13"/>
  <c r="Q282" i="13"/>
  <c r="P282" i="13"/>
  <c r="Q281" i="13"/>
  <c r="P281" i="13"/>
  <c r="Q280" i="13"/>
  <c r="P280" i="13"/>
  <c r="Q279" i="13"/>
  <c r="P279" i="13"/>
  <c r="Q278" i="13"/>
  <c r="P278" i="13"/>
  <c r="Q277" i="13"/>
  <c r="P277" i="13"/>
  <c r="Q276" i="13"/>
  <c r="P276" i="13"/>
  <c r="Q275" i="13"/>
  <c r="P275" i="13"/>
  <c r="Q274" i="13"/>
  <c r="P274" i="13"/>
  <c r="Q273" i="13"/>
  <c r="P273" i="13"/>
  <c r="Q272" i="13"/>
  <c r="P272" i="13"/>
  <c r="Q271" i="13"/>
  <c r="P271" i="13"/>
  <c r="Q270" i="13"/>
  <c r="P270" i="13"/>
  <c r="Q269" i="13"/>
  <c r="P269" i="13"/>
  <c r="Q268" i="13"/>
  <c r="P268" i="13"/>
  <c r="Q267" i="13"/>
  <c r="P267" i="13"/>
  <c r="Q264" i="13"/>
  <c r="P264" i="13"/>
  <c r="Q263" i="13"/>
  <c r="P263" i="13"/>
  <c r="Q262" i="13"/>
  <c r="P262" i="13"/>
  <c r="Q261" i="13"/>
  <c r="P261" i="13"/>
  <c r="Q260" i="13"/>
  <c r="P260" i="13"/>
  <c r="Q259" i="13"/>
  <c r="P259" i="13"/>
  <c r="Q258" i="13"/>
  <c r="P258" i="13"/>
  <c r="Q257" i="13"/>
  <c r="P257" i="13"/>
  <c r="Q256" i="13"/>
  <c r="P256" i="13"/>
  <c r="Q255" i="13"/>
  <c r="P255" i="13"/>
  <c r="Q254" i="13"/>
  <c r="P254" i="13"/>
  <c r="Q253" i="13"/>
  <c r="P253" i="13"/>
  <c r="Q252" i="13"/>
  <c r="P252" i="13"/>
  <c r="Q251" i="13"/>
  <c r="P251" i="13"/>
  <c r="Q250" i="13"/>
  <c r="P250" i="13"/>
  <c r="Q249" i="13"/>
  <c r="P249" i="13"/>
  <c r="Q248" i="13"/>
  <c r="P248" i="13"/>
  <c r="Q247" i="13"/>
  <c r="P247" i="13"/>
  <c r="Q246" i="13"/>
  <c r="P246" i="13"/>
  <c r="Q245" i="13"/>
  <c r="P245" i="13"/>
  <c r="Q244" i="13"/>
  <c r="P244" i="13"/>
  <c r="Q243" i="13"/>
  <c r="P243" i="13"/>
  <c r="Q242" i="13"/>
  <c r="P242" i="13"/>
  <c r="Q241" i="13"/>
  <c r="P241" i="13"/>
  <c r="Q240" i="13"/>
  <c r="P240" i="13"/>
  <c r="Q239" i="13"/>
  <c r="P239" i="13"/>
  <c r="Q238" i="13"/>
  <c r="P238" i="13"/>
  <c r="Q237" i="13"/>
  <c r="P237" i="13"/>
  <c r="Q236" i="13"/>
  <c r="P236" i="13"/>
  <c r="Q235" i="13"/>
  <c r="P235" i="13"/>
  <c r="Q234" i="13"/>
  <c r="P234" i="13"/>
  <c r="Q233" i="13"/>
  <c r="P233" i="13"/>
  <c r="Q232" i="13"/>
  <c r="P232" i="13"/>
  <c r="Q231" i="13"/>
  <c r="P231" i="13"/>
  <c r="Q230" i="13"/>
  <c r="P230" i="13"/>
  <c r="Q229" i="13"/>
  <c r="P229" i="13"/>
  <c r="Q228" i="13"/>
  <c r="P228" i="13"/>
  <c r="Q227" i="13"/>
  <c r="P227" i="13"/>
  <c r="Q224" i="13"/>
  <c r="P224" i="13"/>
  <c r="Q223" i="13"/>
  <c r="P223" i="13"/>
  <c r="Q222" i="13"/>
  <c r="P222" i="13"/>
  <c r="Q221" i="13"/>
  <c r="P221" i="13"/>
  <c r="Q220" i="13"/>
  <c r="P220" i="13"/>
  <c r="Q219" i="13"/>
  <c r="P219" i="13"/>
  <c r="Q218" i="13"/>
  <c r="P218" i="13"/>
  <c r="Q217" i="13"/>
  <c r="P217" i="13"/>
  <c r="Q216" i="13"/>
  <c r="P216" i="13"/>
  <c r="Q215" i="13"/>
  <c r="P215" i="13"/>
  <c r="P214" i="13"/>
  <c r="P213" i="13"/>
  <c r="Q212" i="13"/>
  <c r="P212" i="13"/>
  <c r="Q211" i="13"/>
  <c r="P211" i="13"/>
  <c r="Q210" i="13"/>
  <c r="P210" i="13"/>
  <c r="Q209" i="13"/>
  <c r="P209" i="13"/>
  <c r="Q202" i="13"/>
  <c r="P202" i="13"/>
  <c r="Q201" i="13"/>
  <c r="P201" i="13"/>
  <c r="Q200" i="13"/>
  <c r="P200" i="13"/>
  <c r="Q199" i="13"/>
  <c r="P199" i="13"/>
  <c r="Q198" i="13"/>
  <c r="P198" i="13"/>
  <c r="Q197" i="13"/>
  <c r="P197" i="13"/>
  <c r="Q191" i="13"/>
  <c r="P191" i="13"/>
  <c r="Q190" i="13"/>
  <c r="P190" i="13"/>
  <c r="Q189" i="13"/>
  <c r="P189" i="13"/>
  <c r="Q188" i="13"/>
  <c r="P188" i="13"/>
  <c r="Q187" i="13"/>
  <c r="P187" i="13"/>
  <c r="Q185" i="13"/>
  <c r="P185" i="13"/>
  <c r="Q184" i="13"/>
  <c r="P184" i="13"/>
  <c r="Q183" i="13"/>
  <c r="P183" i="13"/>
  <c r="Q182" i="13"/>
  <c r="P182" i="13"/>
  <c r="Q181" i="13"/>
  <c r="P181" i="13"/>
  <c r="Q180" i="13"/>
  <c r="P180" i="13"/>
  <c r="Q179" i="13"/>
  <c r="P179" i="13"/>
  <c r="Q178" i="13"/>
  <c r="P178" i="13"/>
  <c r="Q177" i="13"/>
  <c r="P177" i="13"/>
  <c r="Q176" i="13"/>
  <c r="P176" i="13"/>
  <c r="Q175" i="13"/>
  <c r="P175" i="13"/>
  <c r="Q174" i="13"/>
  <c r="P174" i="13"/>
  <c r="Q173" i="13"/>
  <c r="P173" i="13"/>
  <c r="Q172" i="13"/>
  <c r="P172" i="13"/>
  <c r="Q171" i="13"/>
  <c r="P171" i="13"/>
  <c r="Q170" i="13"/>
  <c r="P170" i="13"/>
  <c r="Q169" i="13"/>
  <c r="P169" i="13"/>
  <c r="Q168" i="13"/>
  <c r="P168" i="13"/>
  <c r="Q167" i="13"/>
  <c r="P167" i="13"/>
  <c r="Q166" i="13"/>
  <c r="P166" i="13"/>
  <c r="Q165" i="13"/>
  <c r="P165" i="13"/>
  <c r="Q164" i="13"/>
  <c r="P164" i="13"/>
  <c r="Q163" i="13"/>
  <c r="P163" i="13"/>
  <c r="Q162" i="13"/>
  <c r="P162" i="13"/>
  <c r="Q161" i="13"/>
  <c r="P161" i="13"/>
  <c r="Q160" i="13"/>
  <c r="P160" i="13"/>
  <c r="Q159" i="13"/>
  <c r="P159" i="13"/>
  <c r="Q158" i="13"/>
  <c r="P158" i="13"/>
  <c r="Q157" i="13"/>
  <c r="P157" i="13"/>
  <c r="Q156" i="13"/>
  <c r="P156" i="13"/>
  <c r="Q155" i="13"/>
  <c r="P155" i="13"/>
  <c r="Q154" i="13"/>
  <c r="P154" i="13"/>
  <c r="Q153" i="13"/>
  <c r="P153" i="13"/>
  <c r="Q152" i="13"/>
  <c r="P152" i="13"/>
  <c r="Q151" i="13"/>
  <c r="P151" i="13"/>
  <c r="Q150" i="13"/>
  <c r="P150" i="13"/>
  <c r="Q149" i="13"/>
  <c r="P149" i="13"/>
  <c r="P148" i="13"/>
  <c r="P147" i="13"/>
  <c r="P146" i="13"/>
  <c r="P145" i="13"/>
  <c r="P144" i="13"/>
  <c r="P143" i="13"/>
  <c r="Q141" i="13"/>
  <c r="P141" i="13"/>
  <c r="Q140" i="13"/>
  <c r="P140" i="13"/>
  <c r="Q139" i="13"/>
  <c r="P139" i="13"/>
  <c r="Q138" i="13"/>
  <c r="P138" i="13"/>
  <c r="Q137" i="13"/>
  <c r="P137" i="13"/>
  <c r="Q136" i="13"/>
  <c r="P136" i="13"/>
  <c r="Q135" i="13"/>
  <c r="P135" i="13"/>
  <c r="Q134" i="13"/>
  <c r="P134" i="13"/>
  <c r="Q133" i="13"/>
  <c r="P133" i="13"/>
  <c r="Q132" i="13"/>
  <c r="P132" i="13"/>
  <c r="Q131" i="13"/>
  <c r="P131" i="13"/>
  <c r="Q130" i="13"/>
  <c r="P130" i="13"/>
  <c r="Q129" i="13"/>
  <c r="P129" i="13"/>
  <c r="Q128" i="13"/>
  <c r="P128" i="13"/>
  <c r="Q127" i="13"/>
  <c r="P127" i="13"/>
  <c r="Q126" i="13"/>
  <c r="P126" i="13"/>
  <c r="Q125" i="13"/>
  <c r="P125" i="13"/>
  <c r="Q124" i="13"/>
  <c r="P124" i="13"/>
  <c r="Q123" i="13"/>
  <c r="P123" i="13"/>
  <c r="Q122" i="13"/>
  <c r="P122" i="13"/>
  <c r="Q121" i="13"/>
  <c r="P121" i="13"/>
  <c r="Q120" i="13"/>
  <c r="P120" i="13"/>
  <c r="Q119" i="13"/>
  <c r="P119" i="13"/>
  <c r="Q118" i="13"/>
  <c r="P118" i="13"/>
  <c r="Q117" i="13"/>
  <c r="P117" i="13"/>
  <c r="Q116" i="13"/>
  <c r="P116" i="13"/>
  <c r="Q115" i="13"/>
  <c r="P115" i="13"/>
  <c r="Q114" i="13"/>
  <c r="P114" i="13"/>
  <c r="Q113" i="13"/>
  <c r="P113" i="13"/>
  <c r="Q112" i="13"/>
  <c r="P112" i="13"/>
  <c r="Q111" i="13"/>
  <c r="P111" i="13"/>
  <c r="Q110" i="13"/>
  <c r="P110" i="13"/>
  <c r="Q109" i="13"/>
  <c r="P109" i="13"/>
  <c r="Q108" i="13"/>
  <c r="P108" i="13"/>
  <c r="Q107" i="13"/>
  <c r="P107" i="13"/>
  <c r="Q106" i="13"/>
  <c r="P106" i="13"/>
  <c r="Q105" i="13"/>
  <c r="P105" i="13"/>
  <c r="Q98" i="13"/>
  <c r="P98" i="13"/>
  <c r="Q97" i="13"/>
  <c r="P97" i="13"/>
  <c r="Q96" i="13"/>
  <c r="P96" i="13"/>
  <c r="Q95" i="13"/>
  <c r="P95" i="13"/>
  <c r="Q94" i="13"/>
  <c r="P94" i="13"/>
  <c r="Q93" i="13"/>
  <c r="P93" i="13"/>
  <c r="Q92" i="13"/>
  <c r="P92" i="13"/>
  <c r="Q91" i="13"/>
  <c r="P91" i="13"/>
  <c r="Q90" i="13"/>
  <c r="P90" i="13"/>
  <c r="Q89" i="13"/>
  <c r="P89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Q48" i="13"/>
  <c r="P48" i="13"/>
  <c r="Q47" i="13"/>
  <c r="P47" i="13"/>
  <c r="Q46" i="13"/>
  <c r="P46" i="13"/>
  <c r="P45" i="13"/>
  <c r="P44" i="13"/>
  <c r="P43" i="13"/>
  <c r="P42" i="13"/>
  <c r="Q41" i="13"/>
  <c r="P41" i="13"/>
  <c r="Q40" i="13"/>
  <c r="P40" i="13"/>
  <c r="Q39" i="13"/>
  <c r="P39" i="13"/>
  <c r="Q38" i="13"/>
  <c r="P38" i="13"/>
  <c r="P37" i="13"/>
  <c r="P36" i="13"/>
  <c r="P35" i="13"/>
  <c r="Q34" i="13"/>
  <c r="P34" i="13"/>
  <c r="Q33" i="13"/>
  <c r="P33" i="13"/>
  <c r="Q32" i="13"/>
  <c r="P32" i="13"/>
  <c r="Q31" i="13"/>
  <c r="P31" i="13"/>
  <c r="Q30" i="13"/>
  <c r="P30" i="13"/>
  <c r="Q29" i="13"/>
  <c r="P29" i="13"/>
  <c r="Q28" i="13"/>
  <c r="P28" i="13"/>
  <c r="Q27" i="13"/>
  <c r="P27" i="13"/>
  <c r="Q26" i="13"/>
  <c r="P26" i="13"/>
  <c r="Q25" i="13"/>
  <c r="P25" i="13"/>
  <c r="Q24" i="13"/>
  <c r="P24" i="13"/>
  <c r="Q23" i="13"/>
  <c r="P23" i="13"/>
  <c r="Q22" i="13"/>
  <c r="P22" i="13"/>
  <c r="Q21" i="13"/>
  <c r="P21" i="13"/>
  <c r="Q20" i="13"/>
  <c r="P20" i="13"/>
  <c r="Q19" i="13"/>
  <c r="P19" i="13"/>
  <c r="Q18" i="13"/>
  <c r="P18" i="13"/>
  <c r="Q17" i="13"/>
  <c r="P17" i="13"/>
  <c r="Q16" i="13"/>
  <c r="P16" i="13"/>
  <c r="Q15" i="13"/>
  <c r="P15" i="13"/>
  <c r="Q14" i="13"/>
  <c r="P14" i="13"/>
  <c r="Q13" i="13"/>
  <c r="P13" i="13"/>
  <c r="I1208" i="13"/>
  <c r="H1208" i="13"/>
  <c r="K1204" i="13"/>
  <c r="J1204" i="13"/>
  <c r="K1203" i="13"/>
  <c r="J1203" i="13"/>
  <c r="K1202" i="13"/>
  <c r="J1202" i="13"/>
  <c r="K1201" i="13"/>
  <c r="J1201" i="13"/>
  <c r="K1200" i="13"/>
  <c r="J1200" i="13"/>
  <c r="K1199" i="13"/>
  <c r="J1199" i="13"/>
  <c r="K1198" i="13"/>
  <c r="J1198" i="13"/>
  <c r="K1197" i="13"/>
  <c r="J1197" i="13"/>
  <c r="K1196" i="13"/>
  <c r="J1196" i="13"/>
  <c r="K1195" i="13"/>
  <c r="J1195" i="13"/>
  <c r="K1194" i="13"/>
  <c r="J1194" i="13"/>
  <c r="K1193" i="13"/>
  <c r="J1193" i="13"/>
  <c r="K1192" i="13"/>
  <c r="J1192" i="13"/>
  <c r="K1191" i="13"/>
  <c r="J1191" i="13"/>
  <c r="K1190" i="13"/>
  <c r="J1190" i="13"/>
  <c r="K1189" i="13"/>
  <c r="J1189" i="13"/>
  <c r="K1188" i="13"/>
  <c r="J1188" i="13"/>
  <c r="K1187" i="13"/>
  <c r="J1187" i="13"/>
  <c r="K1186" i="13"/>
  <c r="J1186" i="13"/>
  <c r="K1185" i="13"/>
  <c r="J1185" i="13"/>
  <c r="K1182" i="13"/>
  <c r="J1182" i="13"/>
  <c r="K1181" i="13"/>
  <c r="J1181" i="13"/>
  <c r="K1180" i="13"/>
  <c r="J1180" i="13"/>
  <c r="K1179" i="13"/>
  <c r="J1179" i="13"/>
  <c r="K1178" i="13"/>
  <c r="J1178" i="13"/>
  <c r="K1177" i="13"/>
  <c r="J1177" i="13"/>
  <c r="K1176" i="13"/>
  <c r="J1176" i="13"/>
  <c r="K1175" i="13"/>
  <c r="J1175" i="13"/>
  <c r="K1174" i="13"/>
  <c r="J1174" i="13"/>
  <c r="K1173" i="13"/>
  <c r="J1173" i="13"/>
  <c r="K1172" i="13"/>
  <c r="J1172" i="13"/>
  <c r="K1171" i="13"/>
  <c r="J1171" i="13"/>
  <c r="K1170" i="13"/>
  <c r="J1170" i="13"/>
  <c r="K1169" i="13"/>
  <c r="J1169" i="13"/>
  <c r="K1168" i="13"/>
  <c r="J1168" i="13"/>
  <c r="K1167" i="13"/>
  <c r="J1167" i="13"/>
  <c r="K1166" i="13"/>
  <c r="J1166" i="13"/>
  <c r="K1165" i="13"/>
  <c r="J1165" i="13"/>
  <c r="K1164" i="13"/>
  <c r="J1164" i="13"/>
  <c r="K1163" i="13"/>
  <c r="J1163" i="13"/>
  <c r="K1162" i="13"/>
  <c r="J1162" i="13"/>
  <c r="K1161" i="13"/>
  <c r="J1161" i="13"/>
  <c r="K1160" i="13"/>
  <c r="J1160" i="13"/>
  <c r="K1159" i="13"/>
  <c r="J1159" i="13"/>
  <c r="K1158" i="13"/>
  <c r="J1158" i="13"/>
  <c r="K1157" i="13"/>
  <c r="J1157" i="13"/>
  <c r="K1156" i="13"/>
  <c r="J1156" i="13"/>
  <c r="K1155" i="13"/>
  <c r="J1155" i="13"/>
  <c r="K1154" i="13"/>
  <c r="J1154" i="13"/>
  <c r="K1153" i="13"/>
  <c r="J1153" i="13"/>
  <c r="K1152" i="13"/>
  <c r="J1152" i="13"/>
  <c r="K1151" i="13"/>
  <c r="J1151" i="13"/>
  <c r="K1150" i="13"/>
  <c r="J1150" i="13"/>
  <c r="K1149" i="13"/>
  <c r="J1149" i="13"/>
  <c r="K1148" i="13"/>
  <c r="J1148" i="13"/>
  <c r="K1147" i="13"/>
  <c r="J1147" i="13"/>
  <c r="K1146" i="13"/>
  <c r="J1146" i="13"/>
  <c r="K1145" i="13"/>
  <c r="J1145" i="13"/>
  <c r="K1144" i="13"/>
  <c r="J1144" i="13"/>
  <c r="K1143" i="13"/>
  <c r="J1143" i="13"/>
  <c r="K1142" i="13"/>
  <c r="J1142" i="13"/>
  <c r="K1141" i="13"/>
  <c r="J1141" i="13"/>
  <c r="K1140" i="13"/>
  <c r="J1140" i="13"/>
  <c r="K1139" i="13"/>
  <c r="J1139" i="13"/>
  <c r="K1138" i="13"/>
  <c r="J1138" i="13"/>
  <c r="K1137" i="13"/>
  <c r="J1137" i="13"/>
  <c r="K1136" i="13"/>
  <c r="J1136" i="13"/>
  <c r="K1135" i="13"/>
  <c r="J1135" i="13"/>
  <c r="K1134" i="13"/>
  <c r="J1134" i="13"/>
  <c r="K1133" i="13"/>
  <c r="J1133" i="13"/>
  <c r="K1132" i="13"/>
  <c r="J1132" i="13"/>
  <c r="K1131" i="13"/>
  <c r="J1131" i="13"/>
  <c r="K1130" i="13"/>
  <c r="J1130" i="13"/>
  <c r="K1129" i="13"/>
  <c r="J1129" i="13"/>
  <c r="K1128" i="13"/>
  <c r="J1128" i="13"/>
  <c r="K1127" i="13"/>
  <c r="J1127" i="13"/>
  <c r="K1126" i="13"/>
  <c r="J1126" i="13"/>
  <c r="K1125" i="13"/>
  <c r="J1125" i="13"/>
  <c r="K1124" i="13"/>
  <c r="J1124" i="13"/>
  <c r="K1123" i="13"/>
  <c r="J1123" i="13"/>
  <c r="K1122" i="13"/>
  <c r="J1122" i="13"/>
  <c r="K1121" i="13"/>
  <c r="J1121" i="13"/>
  <c r="K1120" i="13"/>
  <c r="J1120" i="13"/>
  <c r="K1119" i="13"/>
  <c r="J1119" i="13"/>
  <c r="K1118" i="13"/>
  <c r="J1118" i="13"/>
  <c r="K1117" i="13"/>
  <c r="J1117" i="13"/>
  <c r="K1116" i="13"/>
  <c r="J1116" i="13"/>
  <c r="K1115" i="13"/>
  <c r="J1115" i="13"/>
  <c r="K1114" i="13"/>
  <c r="J1114" i="13"/>
  <c r="K1113" i="13"/>
  <c r="J1113" i="13"/>
  <c r="K1112" i="13"/>
  <c r="J1112" i="13"/>
  <c r="K1111" i="13"/>
  <c r="J1111" i="13"/>
  <c r="K1110" i="13"/>
  <c r="J1110" i="13"/>
  <c r="K1109" i="13"/>
  <c r="J1109" i="13"/>
  <c r="K1108" i="13"/>
  <c r="J1108" i="13"/>
  <c r="K1107" i="13"/>
  <c r="J1107" i="13"/>
  <c r="K1106" i="13"/>
  <c r="J1106" i="13"/>
  <c r="K1105" i="13"/>
  <c r="J1105" i="13"/>
  <c r="K1104" i="13"/>
  <c r="J1104" i="13"/>
  <c r="K1103" i="13"/>
  <c r="J1103" i="13"/>
  <c r="K1102" i="13"/>
  <c r="J1102" i="13"/>
  <c r="K1101" i="13"/>
  <c r="J1101" i="13"/>
  <c r="K1100" i="13"/>
  <c r="J1100" i="13"/>
  <c r="K1099" i="13"/>
  <c r="J1099" i="13"/>
  <c r="K1098" i="13"/>
  <c r="J1098" i="13"/>
  <c r="K1097" i="13"/>
  <c r="J1097" i="13"/>
  <c r="K1096" i="13"/>
  <c r="J1096" i="13"/>
  <c r="K1095" i="13"/>
  <c r="J1095" i="13"/>
  <c r="K1094" i="13"/>
  <c r="J1094" i="13"/>
  <c r="K1093" i="13"/>
  <c r="J1093" i="13"/>
  <c r="K1092" i="13"/>
  <c r="J1092" i="13"/>
  <c r="K1091" i="13"/>
  <c r="J1091" i="13"/>
  <c r="K1090" i="13"/>
  <c r="J1090" i="13"/>
  <c r="K1089" i="13"/>
  <c r="J1089" i="13"/>
  <c r="K1088" i="13"/>
  <c r="J1088" i="13"/>
  <c r="K1087" i="13"/>
  <c r="J1087" i="13"/>
  <c r="K1086" i="13"/>
  <c r="J1086" i="13"/>
  <c r="K1085" i="13"/>
  <c r="J1085" i="13"/>
  <c r="K1084" i="13"/>
  <c r="J1084" i="13"/>
  <c r="K1083" i="13"/>
  <c r="J1083" i="13"/>
  <c r="J1082" i="13"/>
  <c r="J1081" i="13"/>
  <c r="J1080" i="13"/>
  <c r="J1079" i="13"/>
  <c r="J1078" i="13"/>
  <c r="K1077" i="13"/>
  <c r="J1077" i="13"/>
  <c r="J1076" i="13"/>
  <c r="J1075" i="13"/>
  <c r="J1074" i="13"/>
  <c r="J1073" i="13"/>
  <c r="J1072" i="13"/>
  <c r="J1071" i="13"/>
  <c r="J1070" i="13"/>
  <c r="J1069" i="13"/>
  <c r="J1068" i="13"/>
  <c r="J1067" i="13"/>
  <c r="J1066" i="13"/>
  <c r="J1065" i="13"/>
  <c r="J1064" i="13"/>
  <c r="J1063" i="13"/>
  <c r="K1062" i="13"/>
  <c r="J1062" i="13"/>
  <c r="K1061" i="13"/>
  <c r="J1061" i="13"/>
  <c r="K1060" i="13"/>
  <c r="J1060" i="13"/>
  <c r="K1059" i="13"/>
  <c r="J1059" i="13"/>
  <c r="K1058" i="13"/>
  <c r="J1058" i="13"/>
  <c r="K1057" i="13"/>
  <c r="J1057" i="13"/>
  <c r="K1056" i="13"/>
  <c r="J1056" i="13"/>
  <c r="J1055" i="13"/>
  <c r="J1054" i="13"/>
  <c r="J1053" i="13"/>
  <c r="J1052" i="13"/>
  <c r="J1051" i="13"/>
  <c r="J1050" i="13"/>
  <c r="J1049" i="13"/>
  <c r="J1048" i="13"/>
  <c r="K1047" i="13"/>
  <c r="J1047" i="13"/>
  <c r="K1046" i="13"/>
  <c r="J1046" i="13"/>
  <c r="K1045" i="13"/>
  <c r="J1045" i="13"/>
  <c r="K1044" i="13"/>
  <c r="J1044" i="13"/>
  <c r="K1043" i="13"/>
  <c r="J1043" i="13"/>
  <c r="K1042" i="13"/>
  <c r="J1042" i="13"/>
  <c r="K1041" i="13"/>
  <c r="J1041" i="13"/>
  <c r="K1040" i="13"/>
  <c r="J1040" i="13"/>
  <c r="K1039" i="13"/>
  <c r="J1039" i="13"/>
  <c r="K1038" i="13"/>
  <c r="J1038" i="13"/>
  <c r="K1037" i="13"/>
  <c r="J1037" i="13"/>
  <c r="K1036" i="13"/>
  <c r="J1036" i="13"/>
  <c r="K1035" i="13"/>
  <c r="J1035" i="13"/>
  <c r="K1034" i="13"/>
  <c r="J1034" i="13"/>
  <c r="K1033" i="13"/>
  <c r="J1033" i="13"/>
  <c r="J1032" i="13"/>
  <c r="J1031" i="13"/>
  <c r="J1030" i="13"/>
  <c r="J1029" i="13"/>
  <c r="J1028" i="13"/>
  <c r="J1027" i="13"/>
  <c r="J1026" i="13"/>
  <c r="J1025" i="13"/>
  <c r="K1024" i="13"/>
  <c r="J1024" i="13"/>
  <c r="K1023" i="13"/>
  <c r="J1023" i="13"/>
  <c r="K1022" i="13"/>
  <c r="J1022" i="13"/>
  <c r="K1021" i="13"/>
  <c r="J1021" i="13"/>
  <c r="K1020" i="13"/>
  <c r="J1020" i="13"/>
  <c r="K1019" i="13"/>
  <c r="J1019" i="13"/>
  <c r="J1018" i="13"/>
  <c r="K1017" i="13"/>
  <c r="J1017" i="13"/>
  <c r="K1016" i="13"/>
  <c r="J1016" i="13"/>
  <c r="K1015" i="13"/>
  <c r="J1015" i="13"/>
  <c r="K1014" i="13"/>
  <c r="J1014" i="13"/>
  <c r="K1013" i="13"/>
  <c r="J1013" i="13"/>
  <c r="K1012" i="13"/>
  <c r="J1012" i="13"/>
  <c r="K1011" i="13"/>
  <c r="J1011" i="13"/>
  <c r="J1010" i="13"/>
  <c r="K1009" i="13"/>
  <c r="J1009" i="13"/>
  <c r="K1008" i="13"/>
  <c r="J1008" i="13"/>
  <c r="K1007" i="13"/>
  <c r="J1007" i="13"/>
  <c r="K1006" i="13"/>
  <c r="J1006" i="13"/>
  <c r="K1005" i="13"/>
  <c r="J1005" i="13"/>
  <c r="K1004" i="13"/>
  <c r="J1004" i="13"/>
  <c r="K1003" i="13"/>
  <c r="J1003" i="13"/>
  <c r="K1002" i="13"/>
  <c r="J1002" i="13"/>
  <c r="K1001" i="13"/>
  <c r="J1001" i="13"/>
  <c r="K1000" i="13"/>
  <c r="J1000" i="13"/>
  <c r="K998" i="13"/>
  <c r="J998" i="13"/>
  <c r="K997" i="13"/>
  <c r="J997" i="13"/>
  <c r="K996" i="13"/>
  <c r="J996" i="13"/>
  <c r="K994" i="13"/>
  <c r="J994" i="13"/>
  <c r="K993" i="13"/>
  <c r="J993" i="13"/>
  <c r="K992" i="13"/>
  <c r="J992" i="13"/>
  <c r="K991" i="13"/>
  <c r="J991" i="13"/>
  <c r="K990" i="13"/>
  <c r="J990" i="13"/>
  <c r="K989" i="13"/>
  <c r="J989" i="13"/>
  <c r="K988" i="13"/>
  <c r="J988" i="13"/>
  <c r="K987" i="13"/>
  <c r="J987" i="13"/>
  <c r="K986" i="13"/>
  <c r="J986" i="13"/>
  <c r="K985" i="13"/>
  <c r="J985" i="13"/>
  <c r="K984" i="13"/>
  <c r="J984" i="13"/>
  <c r="K983" i="13"/>
  <c r="J983" i="13"/>
  <c r="K982" i="13"/>
  <c r="J982" i="13"/>
  <c r="K981" i="13"/>
  <c r="J981" i="13"/>
  <c r="K980" i="13"/>
  <c r="J980" i="13"/>
  <c r="K979" i="13"/>
  <c r="J979" i="13"/>
  <c r="K978" i="13"/>
  <c r="J978" i="13"/>
  <c r="K977" i="13"/>
  <c r="J977" i="13"/>
  <c r="K976" i="13"/>
  <c r="J976" i="13"/>
  <c r="K975" i="13"/>
  <c r="J975" i="13"/>
  <c r="K974" i="13"/>
  <c r="J974" i="13"/>
  <c r="K973" i="13"/>
  <c r="J973" i="13"/>
  <c r="K972" i="13"/>
  <c r="J972" i="13"/>
  <c r="K971" i="13"/>
  <c r="J971" i="13"/>
  <c r="K970" i="13"/>
  <c r="J970" i="13"/>
  <c r="K969" i="13"/>
  <c r="J969" i="13"/>
  <c r="K968" i="13"/>
  <c r="J968" i="13"/>
  <c r="K967" i="13"/>
  <c r="J967" i="13"/>
  <c r="K966" i="13"/>
  <c r="J966" i="13"/>
  <c r="K965" i="13"/>
  <c r="J965" i="13"/>
  <c r="K964" i="13"/>
  <c r="J964" i="13"/>
  <c r="K963" i="13"/>
  <c r="J963" i="13"/>
  <c r="K962" i="13"/>
  <c r="J962" i="13"/>
  <c r="K961" i="13"/>
  <c r="J961" i="13"/>
  <c r="K960" i="13"/>
  <c r="J960" i="13"/>
  <c r="K959" i="13"/>
  <c r="J959" i="13"/>
  <c r="K958" i="13"/>
  <c r="J958" i="13"/>
  <c r="K957" i="13"/>
  <c r="J957" i="13"/>
  <c r="K956" i="13"/>
  <c r="J956" i="13"/>
  <c r="K955" i="13"/>
  <c r="J955" i="13"/>
  <c r="K954" i="13"/>
  <c r="J954" i="13"/>
  <c r="K953" i="13"/>
  <c r="J953" i="13"/>
  <c r="K952" i="13"/>
  <c r="J952" i="13"/>
  <c r="K951" i="13"/>
  <c r="J951" i="13"/>
  <c r="K950" i="13"/>
  <c r="J950" i="13"/>
  <c r="K949" i="13"/>
  <c r="J949" i="13"/>
  <c r="K948" i="13"/>
  <c r="J948" i="13"/>
  <c r="K947" i="13"/>
  <c r="J947" i="13"/>
  <c r="K946" i="13"/>
  <c r="J946" i="13"/>
  <c r="K945" i="13"/>
  <c r="J945" i="13"/>
  <c r="K944" i="13"/>
  <c r="J944" i="13"/>
  <c r="K943" i="13"/>
  <c r="J943" i="13"/>
  <c r="K942" i="13"/>
  <c r="J942" i="13"/>
  <c r="K941" i="13"/>
  <c r="J941" i="13"/>
  <c r="K940" i="13"/>
  <c r="J940" i="13"/>
  <c r="K939" i="13"/>
  <c r="J939" i="13"/>
  <c r="K938" i="13"/>
  <c r="J938" i="13"/>
  <c r="K937" i="13"/>
  <c r="J937" i="13"/>
  <c r="K936" i="13"/>
  <c r="J936" i="13"/>
  <c r="K935" i="13"/>
  <c r="J935" i="13"/>
  <c r="K934" i="13"/>
  <c r="J934" i="13"/>
  <c r="K933" i="13"/>
  <c r="J933" i="13"/>
  <c r="K932" i="13"/>
  <c r="J932" i="13"/>
  <c r="K931" i="13"/>
  <c r="J931" i="13"/>
  <c r="K930" i="13"/>
  <c r="J930" i="13"/>
  <c r="K929" i="13"/>
  <c r="J929" i="13"/>
  <c r="K928" i="13"/>
  <c r="J928" i="13"/>
  <c r="K927" i="13"/>
  <c r="J927" i="13"/>
  <c r="K926" i="13"/>
  <c r="J926" i="13"/>
  <c r="K925" i="13"/>
  <c r="J925" i="13"/>
  <c r="K924" i="13"/>
  <c r="J924" i="13"/>
  <c r="K923" i="13"/>
  <c r="J923" i="13"/>
  <c r="K922" i="13"/>
  <c r="J922" i="13"/>
  <c r="K921" i="13"/>
  <c r="J921" i="13"/>
  <c r="K920" i="13"/>
  <c r="J920" i="13"/>
  <c r="K919" i="13"/>
  <c r="J919" i="13"/>
  <c r="K918" i="13"/>
  <c r="J918" i="13"/>
  <c r="K917" i="13"/>
  <c r="J917" i="13"/>
  <c r="K916" i="13"/>
  <c r="J916" i="13"/>
  <c r="K915" i="13"/>
  <c r="J915" i="13"/>
  <c r="K914" i="13"/>
  <c r="J914" i="13"/>
  <c r="K913" i="13"/>
  <c r="J913" i="13"/>
  <c r="K912" i="13"/>
  <c r="J912" i="13"/>
  <c r="K911" i="13"/>
  <c r="J911" i="13"/>
  <c r="K910" i="13"/>
  <c r="J910" i="13"/>
  <c r="K909" i="13"/>
  <c r="J909" i="13"/>
  <c r="K908" i="13"/>
  <c r="J908" i="13"/>
  <c r="K907" i="13"/>
  <c r="J907" i="13"/>
  <c r="K906" i="13"/>
  <c r="J906" i="13"/>
  <c r="K905" i="13"/>
  <c r="J905" i="13"/>
  <c r="K904" i="13"/>
  <c r="J904" i="13"/>
  <c r="K903" i="13"/>
  <c r="J903" i="13"/>
  <c r="K902" i="13"/>
  <c r="J902" i="13"/>
  <c r="K901" i="13"/>
  <c r="J901" i="13"/>
  <c r="K900" i="13"/>
  <c r="J900" i="13"/>
  <c r="K899" i="13"/>
  <c r="J899" i="13"/>
  <c r="K898" i="13"/>
  <c r="J898" i="13"/>
  <c r="K897" i="13"/>
  <c r="J897" i="13"/>
  <c r="K896" i="13"/>
  <c r="J896" i="13"/>
  <c r="K895" i="13"/>
  <c r="J895" i="13"/>
  <c r="K894" i="13"/>
  <c r="J894" i="13"/>
  <c r="K893" i="13"/>
  <c r="J893" i="13"/>
  <c r="K892" i="13"/>
  <c r="J892" i="13"/>
  <c r="K891" i="13"/>
  <c r="J891" i="13"/>
  <c r="K890" i="13"/>
  <c r="J890" i="13"/>
  <c r="K889" i="13"/>
  <c r="J889" i="13"/>
  <c r="K888" i="13"/>
  <c r="J888" i="13"/>
  <c r="K887" i="13"/>
  <c r="J887" i="13"/>
  <c r="K886" i="13"/>
  <c r="J886" i="13"/>
  <c r="K885" i="13"/>
  <c r="J885" i="13"/>
  <c r="K884" i="13"/>
  <c r="J884" i="13"/>
  <c r="K883" i="13"/>
  <c r="J883" i="13"/>
  <c r="K882" i="13"/>
  <c r="J882" i="13"/>
  <c r="K881" i="13"/>
  <c r="J881" i="13"/>
  <c r="K880" i="13"/>
  <c r="J880" i="13"/>
  <c r="K879" i="13"/>
  <c r="J879" i="13"/>
  <c r="K878" i="13"/>
  <c r="J878" i="13"/>
  <c r="K877" i="13"/>
  <c r="J877" i="13"/>
  <c r="K876" i="13"/>
  <c r="J876" i="13"/>
  <c r="K875" i="13"/>
  <c r="J875" i="13"/>
  <c r="K874" i="13"/>
  <c r="J874" i="13"/>
  <c r="K873" i="13"/>
  <c r="J873" i="13"/>
  <c r="K872" i="13"/>
  <c r="J872" i="13"/>
  <c r="K871" i="13"/>
  <c r="J871" i="13"/>
  <c r="K867" i="13"/>
  <c r="J867" i="13"/>
  <c r="K861" i="13"/>
  <c r="J861" i="13"/>
  <c r="K860" i="13"/>
  <c r="J860" i="13"/>
  <c r="K859" i="13"/>
  <c r="J859" i="13"/>
  <c r="K858" i="13"/>
  <c r="J858" i="13"/>
  <c r="K857" i="13"/>
  <c r="J857" i="13"/>
  <c r="K856" i="13"/>
  <c r="J856" i="13"/>
  <c r="K855" i="13"/>
  <c r="J855" i="13"/>
  <c r="K854" i="13"/>
  <c r="J854" i="13"/>
  <c r="K853" i="13"/>
  <c r="J853" i="13"/>
  <c r="K852" i="13"/>
  <c r="J852" i="13"/>
  <c r="K851" i="13"/>
  <c r="J851" i="13"/>
  <c r="K850" i="13"/>
  <c r="J850" i="13"/>
  <c r="K849" i="13"/>
  <c r="J849" i="13"/>
  <c r="K848" i="13"/>
  <c r="J848" i="13"/>
  <c r="K847" i="13"/>
  <c r="J847" i="13"/>
  <c r="K846" i="13"/>
  <c r="J846" i="13"/>
  <c r="K845" i="13"/>
  <c r="J845" i="13"/>
  <c r="K844" i="13"/>
  <c r="J844" i="13"/>
  <c r="K843" i="13"/>
  <c r="J843" i="13"/>
  <c r="K842" i="13"/>
  <c r="J842" i="13"/>
  <c r="K841" i="13"/>
  <c r="J841" i="13"/>
  <c r="K840" i="13"/>
  <c r="J840" i="13"/>
  <c r="K839" i="13"/>
  <c r="J839" i="13"/>
  <c r="J836" i="13"/>
  <c r="J830" i="13"/>
  <c r="J829" i="13"/>
  <c r="J823" i="13"/>
  <c r="J822" i="13"/>
  <c r="J821" i="13"/>
  <c r="J820" i="13"/>
  <c r="J819" i="13"/>
  <c r="J818" i="13"/>
  <c r="J817" i="13"/>
  <c r="J816" i="13"/>
  <c r="J815" i="13"/>
  <c r="J808" i="13"/>
  <c r="J807" i="13"/>
  <c r="J806" i="13"/>
  <c r="J805" i="13"/>
  <c r="J804" i="13"/>
  <c r="J803" i="13"/>
  <c r="J802" i="13"/>
  <c r="J801" i="13"/>
  <c r="J799" i="13"/>
  <c r="J798" i="13"/>
  <c r="J797" i="13"/>
  <c r="K792" i="13"/>
  <c r="J792" i="13"/>
  <c r="K791" i="13"/>
  <c r="J791" i="13"/>
  <c r="K790" i="13"/>
  <c r="J790" i="13"/>
  <c r="K789" i="13"/>
  <c r="J789" i="13"/>
  <c r="J788" i="13"/>
  <c r="J787" i="13"/>
  <c r="J786" i="13"/>
  <c r="J785" i="13"/>
  <c r="K781" i="13"/>
  <c r="J781" i="13"/>
  <c r="K780" i="13"/>
  <c r="J780" i="13"/>
  <c r="K779" i="13"/>
  <c r="J779" i="13"/>
  <c r="K778" i="13"/>
  <c r="J778" i="13"/>
  <c r="K777" i="13"/>
  <c r="J777" i="13"/>
  <c r="K776" i="13"/>
  <c r="J776" i="13"/>
  <c r="K775" i="13"/>
  <c r="J775" i="13"/>
  <c r="K774" i="13"/>
  <c r="J774" i="13"/>
  <c r="K773" i="13"/>
  <c r="J773" i="13"/>
  <c r="K772" i="13"/>
  <c r="J772" i="13"/>
  <c r="K771" i="13"/>
  <c r="J771" i="13"/>
  <c r="K770" i="13"/>
  <c r="J770" i="13"/>
  <c r="K769" i="13"/>
  <c r="J769" i="13"/>
  <c r="K768" i="13"/>
  <c r="J768" i="13"/>
  <c r="K767" i="13"/>
  <c r="J767" i="13"/>
  <c r="K766" i="13"/>
  <c r="J766" i="13"/>
  <c r="K765" i="13"/>
  <c r="J765" i="13"/>
  <c r="K764" i="13"/>
  <c r="J764" i="13"/>
  <c r="K763" i="13"/>
  <c r="J763" i="13"/>
  <c r="J762" i="13"/>
  <c r="J761" i="13"/>
  <c r="J760" i="13"/>
  <c r="J759" i="13"/>
  <c r="J758" i="13"/>
  <c r="J757" i="13"/>
  <c r="J756" i="13"/>
  <c r="K755" i="13"/>
  <c r="J755" i="13"/>
  <c r="K754" i="13"/>
  <c r="J754" i="13"/>
  <c r="K753" i="13"/>
  <c r="J753" i="13"/>
  <c r="K752" i="13"/>
  <c r="J752" i="13"/>
  <c r="J751" i="13"/>
  <c r="J750" i="13"/>
  <c r="J749" i="13"/>
  <c r="J748" i="13"/>
  <c r="J747" i="13"/>
  <c r="K741" i="13"/>
  <c r="K719" i="13"/>
  <c r="J719" i="13"/>
  <c r="K718" i="13"/>
  <c r="J718" i="13"/>
  <c r="K717" i="13"/>
  <c r="J717" i="13"/>
  <c r="K716" i="13"/>
  <c r="J716" i="13"/>
  <c r="K715" i="13"/>
  <c r="J715" i="13"/>
  <c r="K714" i="13"/>
  <c r="J714" i="13"/>
  <c r="K713" i="13"/>
  <c r="J713" i="13"/>
  <c r="K712" i="13"/>
  <c r="J712" i="13"/>
  <c r="K711" i="13"/>
  <c r="J711" i="13"/>
  <c r="K710" i="13"/>
  <c r="J710" i="13"/>
  <c r="K709" i="13"/>
  <c r="J709" i="13"/>
  <c r="K708" i="13"/>
  <c r="J708" i="13"/>
  <c r="K707" i="13"/>
  <c r="J707" i="13"/>
  <c r="K706" i="13"/>
  <c r="J706" i="13"/>
  <c r="K705" i="13"/>
  <c r="J705" i="13"/>
  <c r="K704" i="13"/>
  <c r="J704" i="13"/>
  <c r="K703" i="13"/>
  <c r="J703" i="13"/>
  <c r="K702" i="13"/>
  <c r="J702" i="13"/>
  <c r="K701" i="13"/>
  <c r="J701" i="13"/>
  <c r="K700" i="13"/>
  <c r="J700" i="13"/>
  <c r="K699" i="13"/>
  <c r="J699" i="13"/>
  <c r="K698" i="13"/>
  <c r="J698" i="13"/>
  <c r="K697" i="13"/>
  <c r="J697" i="13"/>
  <c r="K696" i="13"/>
  <c r="J696" i="13"/>
  <c r="K695" i="13"/>
  <c r="J695" i="13"/>
  <c r="K694" i="13"/>
  <c r="J694" i="13"/>
  <c r="K693" i="13"/>
  <c r="J693" i="13"/>
  <c r="K692" i="13"/>
  <c r="J692" i="13"/>
  <c r="K691" i="13"/>
  <c r="J691" i="13"/>
  <c r="K690" i="13"/>
  <c r="J690" i="13"/>
  <c r="K689" i="13"/>
  <c r="J689" i="13"/>
  <c r="K688" i="13"/>
  <c r="J688" i="13"/>
  <c r="K687" i="13"/>
  <c r="J687" i="13"/>
  <c r="K686" i="13"/>
  <c r="J686" i="13"/>
  <c r="J685" i="13"/>
  <c r="K684" i="13"/>
  <c r="J684" i="13"/>
  <c r="K683" i="13"/>
  <c r="J683" i="13"/>
  <c r="K682" i="13"/>
  <c r="J682" i="13"/>
  <c r="K681" i="13"/>
  <c r="J681" i="13"/>
  <c r="K680" i="13"/>
  <c r="J680" i="13"/>
  <c r="K679" i="13"/>
  <c r="J679" i="13"/>
  <c r="K678" i="13"/>
  <c r="J678" i="13"/>
  <c r="K677" i="13"/>
  <c r="J677" i="13"/>
  <c r="K676" i="13"/>
  <c r="J676" i="13"/>
  <c r="K675" i="13"/>
  <c r="J675" i="13"/>
  <c r="K674" i="13"/>
  <c r="J674" i="13"/>
  <c r="K673" i="13"/>
  <c r="J673" i="13"/>
  <c r="K670" i="13"/>
  <c r="J670" i="13"/>
  <c r="K669" i="13"/>
  <c r="J669" i="13"/>
  <c r="K668" i="13"/>
  <c r="J668" i="13"/>
  <c r="K667" i="13"/>
  <c r="J667" i="13"/>
  <c r="K666" i="13"/>
  <c r="J666" i="13"/>
  <c r="K665" i="13"/>
  <c r="J665" i="13"/>
  <c r="K664" i="13"/>
  <c r="J664" i="13"/>
  <c r="K663" i="13"/>
  <c r="J663" i="13"/>
  <c r="K662" i="13"/>
  <c r="J662" i="13"/>
  <c r="K661" i="13"/>
  <c r="J661" i="13"/>
  <c r="K660" i="13"/>
  <c r="J660" i="13"/>
  <c r="K659" i="13"/>
  <c r="J659" i="13"/>
  <c r="K658" i="13"/>
  <c r="J658" i="13"/>
  <c r="K657" i="13"/>
  <c r="J657" i="13"/>
  <c r="K656" i="13"/>
  <c r="J656" i="13"/>
  <c r="K655" i="13"/>
  <c r="J655" i="13"/>
  <c r="K654" i="13"/>
  <c r="J654" i="13"/>
  <c r="K651" i="13"/>
  <c r="J651" i="13"/>
  <c r="K650" i="13"/>
  <c r="J650" i="13"/>
  <c r="K649" i="13"/>
  <c r="J649" i="13"/>
  <c r="K648" i="13"/>
  <c r="J648" i="13"/>
  <c r="K647" i="13"/>
  <c r="J647" i="13"/>
  <c r="K646" i="13"/>
  <c r="J646" i="13"/>
  <c r="K645" i="13"/>
  <c r="J645" i="13"/>
  <c r="K644" i="13"/>
  <c r="J644" i="13"/>
  <c r="K643" i="13"/>
  <c r="J643" i="13"/>
  <c r="K642" i="13"/>
  <c r="J642" i="13"/>
  <c r="K641" i="13"/>
  <c r="J641" i="13"/>
  <c r="K640" i="13"/>
  <c r="J640" i="13"/>
  <c r="K639" i="13"/>
  <c r="J639" i="13"/>
  <c r="K638" i="13"/>
  <c r="J638" i="13"/>
  <c r="K637" i="13"/>
  <c r="J637" i="13"/>
  <c r="K636" i="13"/>
  <c r="J636" i="13"/>
  <c r="K635" i="13"/>
  <c r="J635" i="13"/>
  <c r="K634" i="13"/>
  <c r="J634" i="13"/>
  <c r="K633" i="13"/>
  <c r="J633" i="13"/>
  <c r="K630" i="13"/>
  <c r="J630" i="13"/>
  <c r="K629" i="13"/>
  <c r="J629" i="13"/>
  <c r="K628" i="13"/>
  <c r="J628" i="13"/>
  <c r="K622" i="13"/>
  <c r="J622" i="13"/>
  <c r="K621" i="13"/>
  <c r="J621" i="13"/>
  <c r="K620" i="13"/>
  <c r="J620" i="13"/>
  <c r="K619" i="13"/>
  <c r="J619" i="13"/>
  <c r="K615" i="13"/>
  <c r="K614" i="13"/>
  <c r="K613" i="13"/>
  <c r="K605" i="13"/>
  <c r="J605" i="13"/>
  <c r="K604" i="13"/>
  <c r="J604" i="13"/>
  <c r="K603" i="13"/>
  <c r="J603" i="13"/>
  <c r="K596" i="13"/>
  <c r="J596" i="13"/>
  <c r="K595" i="13"/>
  <c r="K594" i="13"/>
  <c r="K593" i="13"/>
  <c r="J593" i="13"/>
  <c r="K592" i="13"/>
  <c r="J592" i="13"/>
  <c r="K591" i="13"/>
  <c r="J591" i="13"/>
  <c r="K590" i="13"/>
  <c r="J590" i="13"/>
  <c r="K589" i="13"/>
  <c r="J589" i="13"/>
  <c r="K588" i="13"/>
  <c r="J588" i="13"/>
  <c r="K584" i="13"/>
  <c r="J584" i="13"/>
  <c r="K583" i="13"/>
  <c r="J583" i="13"/>
  <c r="K582" i="13"/>
  <c r="J582" i="13"/>
  <c r="K581" i="13"/>
  <c r="J581" i="13"/>
  <c r="K580" i="13"/>
  <c r="J580" i="13"/>
  <c r="K579" i="13"/>
  <c r="J579" i="13"/>
  <c r="K578" i="13"/>
  <c r="J578" i="13"/>
  <c r="K577" i="13"/>
  <c r="J577" i="13"/>
  <c r="K576" i="13"/>
  <c r="J576" i="13"/>
  <c r="K575" i="13"/>
  <c r="J575" i="13"/>
  <c r="K574" i="13"/>
  <c r="J574" i="13"/>
  <c r="K573" i="13"/>
  <c r="J573" i="13"/>
  <c r="K572" i="13"/>
  <c r="J572" i="13"/>
  <c r="K571" i="13"/>
  <c r="J571" i="13"/>
  <c r="K570" i="13"/>
  <c r="J570" i="13"/>
  <c r="K569" i="13"/>
  <c r="J569" i="13"/>
  <c r="K568" i="13"/>
  <c r="J568" i="13"/>
  <c r="K567" i="13"/>
  <c r="J567" i="13"/>
  <c r="K559" i="13"/>
  <c r="J559" i="13"/>
  <c r="K558" i="13"/>
  <c r="J558" i="13"/>
  <c r="K557" i="13"/>
  <c r="J557" i="13"/>
  <c r="K556" i="13"/>
  <c r="J556" i="13"/>
  <c r="K555" i="13"/>
  <c r="J555" i="13"/>
  <c r="K554" i="13"/>
  <c r="J554" i="13"/>
  <c r="K553" i="13"/>
  <c r="J553" i="13"/>
  <c r="K552" i="13"/>
  <c r="J552" i="13"/>
  <c r="K529" i="13"/>
  <c r="J529" i="13"/>
  <c r="K528" i="13"/>
  <c r="J528" i="13"/>
  <c r="K527" i="13"/>
  <c r="J527" i="13"/>
  <c r="K526" i="13"/>
  <c r="J526" i="13"/>
  <c r="K525" i="13"/>
  <c r="J525" i="13"/>
  <c r="K524" i="13"/>
  <c r="J524" i="13"/>
  <c r="K523" i="13"/>
  <c r="J523" i="13"/>
  <c r="K522" i="13"/>
  <c r="J522" i="13"/>
  <c r="K521" i="13"/>
  <c r="J521" i="13"/>
  <c r="K520" i="13"/>
  <c r="J520" i="13"/>
  <c r="K519" i="13"/>
  <c r="J519" i="13"/>
  <c r="K518" i="13"/>
  <c r="J518" i="13"/>
  <c r="K517" i="13"/>
  <c r="J517" i="13"/>
  <c r="K516" i="13"/>
  <c r="J516" i="13"/>
  <c r="K515" i="13"/>
  <c r="J515" i="13"/>
  <c r="K514" i="13"/>
  <c r="J514" i="13"/>
  <c r="K513" i="13"/>
  <c r="J513" i="13"/>
  <c r="K512" i="13"/>
  <c r="J512" i="13"/>
  <c r="K511" i="13"/>
  <c r="J511" i="13"/>
  <c r="K510" i="13"/>
  <c r="J510" i="13"/>
  <c r="K509" i="13"/>
  <c r="J509" i="13"/>
  <c r="K508" i="13"/>
  <c r="J508" i="13"/>
  <c r="K507" i="13"/>
  <c r="J507" i="13"/>
  <c r="K506" i="13"/>
  <c r="J506" i="13"/>
  <c r="K505" i="13"/>
  <c r="J505" i="13"/>
  <c r="K504" i="13"/>
  <c r="J504" i="13"/>
  <c r="K503" i="13"/>
  <c r="J503" i="13"/>
  <c r="K502" i="13"/>
  <c r="J502" i="13"/>
  <c r="K501" i="13"/>
  <c r="J501" i="13"/>
  <c r="K500" i="13"/>
  <c r="J500" i="13"/>
  <c r="K499" i="13"/>
  <c r="J499" i="13"/>
  <c r="I785" i="15"/>
  <c r="K497" i="13"/>
  <c r="J497" i="13"/>
  <c r="K496" i="13"/>
  <c r="J496" i="13"/>
  <c r="K495" i="13"/>
  <c r="J495" i="13"/>
  <c r="K494" i="13"/>
  <c r="J494" i="13"/>
  <c r="K493" i="13"/>
  <c r="J493" i="13"/>
  <c r="K492" i="13"/>
  <c r="J492" i="13"/>
  <c r="K491" i="13"/>
  <c r="J491" i="13"/>
  <c r="K490" i="13"/>
  <c r="J490" i="13"/>
  <c r="K489" i="13"/>
  <c r="J489" i="13"/>
  <c r="K488" i="13"/>
  <c r="J488" i="13"/>
  <c r="K487" i="13"/>
  <c r="J487" i="13"/>
  <c r="K486" i="13"/>
  <c r="J486" i="13"/>
  <c r="K485" i="13"/>
  <c r="J485" i="13"/>
  <c r="K484" i="13"/>
  <c r="J484" i="13"/>
  <c r="K483" i="13"/>
  <c r="J483" i="13"/>
  <c r="K482" i="13"/>
  <c r="J482" i="13"/>
  <c r="K481" i="13"/>
  <c r="J481" i="13"/>
  <c r="J464" i="13"/>
  <c r="J463" i="13"/>
  <c r="J462" i="13"/>
  <c r="J461" i="13"/>
  <c r="J460" i="13"/>
  <c r="J459" i="13"/>
  <c r="J458" i="13"/>
  <c r="J457" i="13"/>
  <c r="J456" i="13"/>
  <c r="K453" i="13"/>
  <c r="J453" i="13"/>
  <c r="K450" i="13"/>
  <c r="J450" i="13"/>
  <c r="K447" i="13"/>
  <c r="J447" i="13"/>
  <c r="K446" i="13"/>
  <c r="J446" i="13"/>
  <c r="K445" i="13"/>
  <c r="J445" i="13"/>
  <c r="K444" i="13"/>
  <c r="J444" i="13"/>
  <c r="K443" i="13"/>
  <c r="J443" i="13"/>
  <c r="K442" i="13"/>
  <c r="J442" i="13"/>
  <c r="K441" i="13"/>
  <c r="J441" i="13"/>
  <c r="K440" i="13"/>
  <c r="J440" i="13"/>
  <c r="K439" i="13"/>
  <c r="J439" i="13"/>
  <c r="K438" i="13"/>
  <c r="J438" i="13"/>
  <c r="K437" i="13"/>
  <c r="J437" i="13"/>
  <c r="K436" i="13"/>
  <c r="J436" i="13"/>
  <c r="K435" i="13"/>
  <c r="J435" i="13"/>
  <c r="K434" i="13"/>
  <c r="J434" i="13"/>
  <c r="K433" i="13"/>
  <c r="J433" i="13"/>
  <c r="K432" i="13"/>
  <c r="J432" i="13"/>
  <c r="K431" i="13"/>
  <c r="J431" i="13"/>
  <c r="K430" i="13"/>
  <c r="J430" i="13"/>
  <c r="K429" i="13"/>
  <c r="J429" i="13"/>
  <c r="K428" i="13"/>
  <c r="J428" i="13"/>
  <c r="K427" i="13"/>
  <c r="J427" i="13"/>
  <c r="K426" i="13"/>
  <c r="J426" i="13"/>
  <c r="K425" i="13"/>
  <c r="J425" i="13"/>
  <c r="K424" i="13"/>
  <c r="J424" i="13"/>
  <c r="K423" i="13"/>
  <c r="J423" i="13"/>
  <c r="K422" i="13"/>
  <c r="J422" i="13"/>
  <c r="K421" i="13"/>
  <c r="J421" i="13"/>
  <c r="K420" i="13"/>
  <c r="J420" i="13"/>
  <c r="K419" i="13"/>
  <c r="J419" i="13"/>
  <c r="K418" i="13"/>
  <c r="J418" i="13"/>
  <c r="K417" i="13"/>
  <c r="J417" i="13"/>
  <c r="K416" i="13"/>
  <c r="J416" i="13"/>
  <c r="K415" i="13"/>
  <c r="J415" i="13"/>
  <c r="K414" i="13"/>
  <c r="J414" i="13"/>
  <c r="K413" i="13"/>
  <c r="J413" i="13"/>
  <c r="K412" i="13"/>
  <c r="J412" i="13"/>
  <c r="K411" i="13"/>
  <c r="J411" i="13"/>
  <c r="K410" i="13"/>
  <c r="J410" i="13"/>
  <c r="K409" i="13"/>
  <c r="J409" i="13"/>
  <c r="K406" i="13"/>
  <c r="J406" i="13"/>
  <c r="K405" i="13"/>
  <c r="J405" i="13"/>
  <c r="K404" i="13"/>
  <c r="J404" i="13"/>
  <c r="K403" i="13"/>
  <c r="J403" i="13"/>
  <c r="K402" i="13"/>
  <c r="J402" i="13"/>
  <c r="K401" i="13"/>
  <c r="J401" i="13"/>
  <c r="K400" i="13"/>
  <c r="J400" i="13"/>
  <c r="K399" i="13"/>
  <c r="J399" i="13"/>
  <c r="K398" i="13"/>
  <c r="J398" i="13"/>
  <c r="K397" i="13"/>
  <c r="J397" i="13"/>
  <c r="K396" i="13"/>
  <c r="J396" i="13"/>
  <c r="K395" i="13"/>
  <c r="J395" i="13"/>
  <c r="K394" i="13"/>
  <c r="J394" i="13"/>
  <c r="K393" i="13"/>
  <c r="J393" i="13"/>
  <c r="K392" i="13"/>
  <c r="J392" i="13"/>
  <c r="K391" i="13"/>
  <c r="J391" i="13"/>
  <c r="K390" i="13"/>
  <c r="J390" i="13"/>
  <c r="K389" i="13"/>
  <c r="J389" i="13"/>
  <c r="K388" i="13"/>
  <c r="J388" i="13"/>
  <c r="K387" i="13"/>
  <c r="J387" i="13"/>
  <c r="K384" i="13"/>
  <c r="J384" i="13"/>
  <c r="K383" i="13"/>
  <c r="J383" i="13"/>
  <c r="K382" i="13"/>
  <c r="J382" i="13"/>
  <c r="K381" i="13"/>
  <c r="J381" i="13"/>
  <c r="K380" i="13"/>
  <c r="J380" i="13"/>
  <c r="K379" i="13"/>
  <c r="J379" i="13"/>
  <c r="K378" i="13"/>
  <c r="J378" i="13"/>
  <c r="K377" i="13"/>
  <c r="J377" i="13"/>
  <c r="K376" i="13"/>
  <c r="J376" i="13"/>
  <c r="K375" i="13"/>
  <c r="J375" i="13"/>
  <c r="K374" i="13"/>
  <c r="J374" i="13"/>
  <c r="K373" i="13"/>
  <c r="J373" i="13"/>
  <c r="K372" i="13"/>
  <c r="J372" i="13"/>
  <c r="K371" i="13"/>
  <c r="J371" i="13"/>
  <c r="K370" i="13"/>
  <c r="J370" i="13"/>
  <c r="K369" i="13"/>
  <c r="J369" i="13"/>
  <c r="K368" i="13"/>
  <c r="J368" i="13"/>
  <c r="K367" i="13"/>
  <c r="J367" i="13"/>
  <c r="K366" i="13"/>
  <c r="J366" i="13"/>
  <c r="K365" i="13"/>
  <c r="J365" i="13"/>
  <c r="K364" i="13"/>
  <c r="J364" i="13"/>
  <c r="K363" i="13"/>
  <c r="J363" i="13"/>
  <c r="K362" i="13"/>
  <c r="J362" i="13"/>
  <c r="K361" i="13"/>
  <c r="J361" i="13"/>
  <c r="K360" i="13"/>
  <c r="J360" i="13"/>
  <c r="K359" i="13"/>
  <c r="J359" i="13"/>
  <c r="K358" i="13"/>
  <c r="J358" i="13"/>
  <c r="K357" i="13"/>
  <c r="J357" i="13"/>
  <c r="K356" i="13"/>
  <c r="J356" i="13"/>
  <c r="K355" i="13"/>
  <c r="J355" i="13"/>
  <c r="K354" i="13"/>
  <c r="J354" i="13"/>
  <c r="K353" i="13"/>
  <c r="J353" i="13"/>
  <c r="K352" i="13"/>
  <c r="J352" i="13"/>
  <c r="K351" i="13"/>
  <c r="J351" i="13"/>
  <c r="K350" i="13"/>
  <c r="J350" i="13"/>
  <c r="K349" i="13"/>
  <c r="J349" i="13"/>
  <c r="K348" i="13"/>
  <c r="J348" i="13"/>
  <c r="K347" i="13"/>
  <c r="J347" i="13"/>
  <c r="K346" i="13"/>
  <c r="J346" i="13"/>
  <c r="K345" i="13"/>
  <c r="J345" i="13"/>
  <c r="K344" i="13"/>
  <c r="J344" i="13"/>
  <c r="K343" i="13"/>
  <c r="J343" i="13"/>
  <c r="K342" i="13"/>
  <c r="J342" i="13"/>
  <c r="K341" i="13"/>
  <c r="J341" i="13"/>
  <c r="K340" i="13"/>
  <c r="J340" i="13"/>
  <c r="K339" i="13"/>
  <c r="J339" i="13"/>
  <c r="J338" i="13"/>
  <c r="J337" i="13"/>
  <c r="J336" i="13"/>
  <c r="J335" i="13"/>
  <c r="J334" i="13"/>
  <c r="K333" i="13"/>
  <c r="J333" i="13"/>
  <c r="K332" i="13"/>
  <c r="J332" i="13"/>
  <c r="K331" i="13"/>
  <c r="J331" i="13"/>
  <c r="K330" i="13"/>
  <c r="J330" i="13"/>
  <c r="K329" i="13"/>
  <c r="J329" i="13"/>
  <c r="K324" i="13"/>
  <c r="J324" i="13"/>
  <c r="K323" i="13"/>
  <c r="J323" i="13"/>
  <c r="K322" i="13"/>
  <c r="J322" i="13"/>
  <c r="K321" i="13"/>
  <c r="J321" i="13"/>
  <c r="K320" i="13"/>
  <c r="J320" i="13"/>
  <c r="J319" i="13"/>
  <c r="J318" i="13"/>
  <c r="K317" i="13"/>
  <c r="J317" i="13"/>
  <c r="K316" i="13"/>
  <c r="J316" i="13"/>
  <c r="K315" i="13"/>
  <c r="J315" i="13"/>
  <c r="K312" i="13"/>
  <c r="J312" i="13"/>
  <c r="K311" i="13"/>
  <c r="J311" i="13"/>
  <c r="K310" i="13"/>
  <c r="J310" i="13"/>
  <c r="K309" i="13"/>
  <c r="J309" i="13"/>
  <c r="K308" i="13"/>
  <c r="J308" i="13"/>
  <c r="K307" i="13"/>
  <c r="J307" i="13"/>
  <c r="K306" i="13"/>
  <c r="J306" i="13"/>
  <c r="K305" i="13"/>
  <c r="J305" i="13"/>
  <c r="K304" i="13"/>
  <c r="J304" i="13"/>
  <c r="K303" i="13"/>
  <c r="J303" i="13"/>
  <c r="K302" i="13"/>
  <c r="J302" i="13"/>
  <c r="K301" i="13"/>
  <c r="J301" i="13"/>
  <c r="K300" i="13"/>
  <c r="J300" i="13"/>
  <c r="K299" i="13"/>
  <c r="J299" i="13"/>
  <c r="K298" i="13"/>
  <c r="J298" i="13"/>
  <c r="K297" i="13"/>
  <c r="J297" i="13"/>
  <c r="K296" i="13"/>
  <c r="J296" i="13"/>
  <c r="K295" i="13"/>
  <c r="J295" i="13"/>
  <c r="K294" i="13"/>
  <c r="J294" i="13"/>
  <c r="K293" i="13"/>
  <c r="J293" i="13"/>
  <c r="K292" i="13"/>
  <c r="J292" i="13"/>
  <c r="K291" i="13"/>
  <c r="J291" i="13"/>
  <c r="K290" i="13"/>
  <c r="J290" i="13"/>
  <c r="K289" i="13"/>
  <c r="J289" i="13"/>
  <c r="K288" i="13"/>
  <c r="J288" i="13"/>
  <c r="J287" i="13"/>
  <c r="K286" i="13"/>
  <c r="J286" i="13"/>
  <c r="K285" i="13"/>
  <c r="J285" i="13"/>
  <c r="K284" i="13"/>
  <c r="J284" i="13"/>
  <c r="K283" i="13"/>
  <c r="J283" i="13"/>
  <c r="K282" i="13"/>
  <c r="J282" i="13"/>
  <c r="K281" i="13"/>
  <c r="J281" i="13"/>
  <c r="K280" i="13"/>
  <c r="J280" i="13"/>
  <c r="K279" i="13"/>
  <c r="J279" i="13"/>
  <c r="K278" i="13"/>
  <c r="J278" i="13"/>
  <c r="K277" i="13"/>
  <c r="J277" i="13"/>
  <c r="K276" i="13"/>
  <c r="J276" i="13"/>
  <c r="K275" i="13"/>
  <c r="J275" i="13"/>
  <c r="K274" i="13"/>
  <c r="J274" i="13"/>
  <c r="K273" i="13"/>
  <c r="J273" i="13"/>
  <c r="K272" i="13"/>
  <c r="J272" i="13"/>
  <c r="K271" i="13"/>
  <c r="J271" i="13"/>
  <c r="K270" i="13"/>
  <c r="J270" i="13"/>
  <c r="K269" i="13"/>
  <c r="J269" i="13"/>
  <c r="K268" i="13"/>
  <c r="J268" i="13"/>
  <c r="K267" i="13"/>
  <c r="J267" i="13"/>
  <c r="K264" i="13"/>
  <c r="J264" i="13"/>
  <c r="K263" i="13"/>
  <c r="J263" i="13"/>
  <c r="K262" i="13"/>
  <c r="J262" i="13"/>
  <c r="K261" i="13"/>
  <c r="J261" i="13"/>
  <c r="K260" i="13"/>
  <c r="J260" i="13"/>
  <c r="K259" i="13"/>
  <c r="J259" i="13"/>
  <c r="K258" i="13"/>
  <c r="J258" i="13"/>
  <c r="K257" i="13"/>
  <c r="J257" i="13"/>
  <c r="K256" i="13"/>
  <c r="J256" i="13"/>
  <c r="K255" i="13"/>
  <c r="J255" i="13"/>
  <c r="K254" i="13"/>
  <c r="J254" i="13"/>
  <c r="K253" i="13"/>
  <c r="J253" i="13"/>
  <c r="K252" i="13"/>
  <c r="J252" i="13"/>
  <c r="K251" i="13"/>
  <c r="J251" i="13"/>
  <c r="K250" i="13"/>
  <c r="J250" i="13"/>
  <c r="K249" i="13"/>
  <c r="J249" i="13"/>
  <c r="K248" i="13"/>
  <c r="J248" i="13"/>
  <c r="K247" i="13"/>
  <c r="J247" i="13"/>
  <c r="K246" i="13"/>
  <c r="J246" i="13"/>
  <c r="K245" i="13"/>
  <c r="J245" i="13"/>
  <c r="K244" i="13"/>
  <c r="J244" i="13"/>
  <c r="K243" i="13"/>
  <c r="J243" i="13"/>
  <c r="K242" i="13"/>
  <c r="J242" i="13"/>
  <c r="K241" i="13"/>
  <c r="J241" i="13"/>
  <c r="K240" i="13"/>
  <c r="J240" i="13"/>
  <c r="K239" i="13"/>
  <c r="J239" i="13"/>
  <c r="K238" i="13"/>
  <c r="J238" i="13"/>
  <c r="K237" i="13"/>
  <c r="J237" i="13"/>
  <c r="K236" i="13"/>
  <c r="J236" i="13"/>
  <c r="K235" i="13"/>
  <c r="J235" i="13"/>
  <c r="K234" i="13"/>
  <c r="J234" i="13"/>
  <c r="K233" i="13"/>
  <c r="J233" i="13"/>
  <c r="K232" i="13"/>
  <c r="J232" i="13"/>
  <c r="K231" i="13"/>
  <c r="J231" i="13"/>
  <c r="K230" i="13"/>
  <c r="J230" i="13"/>
  <c r="K229" i="13"/>
  <c r="J229" i="13"/>
  <c r="K228" i="13"/>
  <c r="J228" i="13"/>
  <c r="K227" i="13"/>
  <c r="J227" i="13"/>
  <c r="K224" i="13"/>
  <c r="J224" i="13"/>
  <c r="K223" i="13"/>
  <c r="J223" i="13"/>
  <c r="K222" i="13"/>
  <c r="J222" i="13"/>
  <c r="K221" i="13"/>
  <c r="J221" i="13"/>
  <c r="K220" i="13"/>
  <c r="J220" i="13"/>
  <c r="K219" i="13"/>
  <c r="J219" i="13"/>
  <c r="K218" i="13"/>
  <c r="J218" i="13"/>
  <c r="K217" i="13"/>
  <c r="J217" i="13"/>
  <c r="K216" i="13"/>
  <c r="J216" i="13"/>
  <c r="K215" i="13"/>
  <c r="J215" i="13"/>
  <c r="J214" i="13"/>
  <c r="J213" i="13"/>
  <c r="K212" i="13"/>
  <c r="J212" i="13"/>
  <c r="K211" i="13"/>
  <c r="J211" i="13"/>
  <c r="K210" i="13"/>
  <c r="J210" i="13"/>
  <c r="K209" i="13"/>
  <c r="J209" i="13"/>
  <c r="K202" i="13"/>
  <c r="J202" i="13"/>
  <c r="K201" i="13"/>
  <c r="J201" i="13"/>
  <c r="K200" i="13"/>
  <c r="J200" i="13"/>
  <c r="K199" i="13"/>
  <c r="J199" i="13"/>
  <c r="K198" i="13"/>
  <c r="J198" i="13"/>
  <c r="K197" i="13"/>
  <c r="J197" i="13"/>
  <c r="K191" i="13"/>
  <c r="J191" i="13"/>
  <c r="K190" i="13"/>
  <c r="J190" i="13"/>
  <c r="K189" i="13"/>
  <c r="J189" i="13"/>
  <c r="K188" i="13"/>
  <c r="J188" i="13"/>
  <c r="K187" i="13"/>
  <c r="J187" i="13"/>
  <c r="K185" i="13"/>
  <c r="J185" i="13"/>
  <c r="K184" i="13"/>
  <c r="J184" i="13"/>
  <c r="K183" i="13"/>
  <c r="J183" i="13"/>
  <c r="K182" i="13"/>
  <c r="J182" i="13"/>
  <c r="K181" i="13"/>
  <c r="J181" i="13"/>
  <c r="K180" i="13"/>
  <c r="J180" i="13"/>
  <c r="K179" i="13"/>
  <c r="J179" i="13"/>
  <c r="K178" i="13"/>
  <c r="J178" i="13"/>
  <c r="K177" i="13"/>
  <c r="J177" i="13"/>
  <c r="K176" i="13"/>
  <c r="J176" i="13"/>
  <c r="K175" i="13"/>
  <c r="J175" i="13"/>
  <c r="K174" i="13"/>
  <c r="J174" i="13"/>
  <c r="K173" i="13"/>
  <c r="J173" i="13"/>
  <c r="K172" i="13"/>
  <c r="J172" i="13"/>
  <c r="K171" i="13"/>
  <c r="J171" i="13"/>
  <c r="K170" i="13"/>
  <c r="J170" i="13"/>
  <c r="K169" i="13"/>
  <c r="J169" i="13"/>
  <c r="K168" i="13"/>
  <c r="J168" i="13"/>
  <c r="K167" i="13"/>
  <c r="J167" i="13"/>
  <c r="K166" i="13"/>
  <c r="J166" i="13"/>
  <c r="K165" i="13"/>
  <c r="J165" i="13"/>
  <c r="K164" i="13"/>
  <c r="J164" i="13"/>
  <c r="K163" i="13"/>
  <c r="J163" i="13"/>
  <c r="K162" i="13"/>
  <c r="J162" i="13"/>
  <c r="K161" i="13"/>
  <c r="J161" i="13"/>
  <c r="K160" i="13"/>
  <c r="J160" i="13"/>
  <c r="K159" i="13"/>
  <c r="J159" i="13"/>
  <c r="K158" i="13"/>
  <c r="J158" i="13"/>
  <c r="K157" i="13"/>
  <c r="J157" i="13"/>
  <c r="K156" i="13"/>
  <c r="J156" i="13"/>
  <c r="K155" i="13"/>
  <c r="J155" i="13"/>
  <c r="K154" i="13"/>
  <c r="J154" i="13"/>
  <c r="K153" i="13"/>
  <c r="J153" i="13"/>
  <c r="K152" i="13"/>
  <c r="J152" i="13"/>
  <c r="K151" i="13"/>
  <c r="J151" i="13"/>
  <c r="K150" i="13"/>
  <c r="J150" i="13"/>
  <c r="K149" i="13"/>
  <c r="J149" i="13"/>
  <c r="J148" i="13"/>
  <c r="J147" i="13"/>
  <c r="J146" i="13"/>
  <c r="J145" i="13"/>
  <c r="J144" i="13"/>
  <c r="J143" i="13"/>
  <c r="K141" i="13"/>
  <c r="J141" i="13"/>
  <c r="K140" i="13"/>
  <c r="J140" i="13"/>
  <c r="K139" i="13"/>
  <c r="J139" i="13"/>
  <c r="K138" i="13"/>
  <c r="J138" i="13"/>
  <c r="K137" i="13"/>
  <c r="J137" i="13"/>
  <c r="K136" i="13"/>
  <c r="J136" i="13"/>
  <c r="K135" i="13"/>
  <c r="J135" i="13"/>
  <c r="K134" i="13"/>
  <c r="J134" i="13"/>
  <c r="K133" i="13"/>
  <c r="J133" i="13"/>
  <c r="K132" i="13"/>
  <c r="J132" i="13"/>
  <c r="K131" i="13"/>
  <c r="J131" i="13"/>
  <c r="K130" i="13"/>
  <c r="J130" i="13"/>
  <c r="K129" i="13"/>
  <c r="J129" i="13"/>
  <c r="K128" i="13"/>
  <c r="J128" i="13"/>
  <c r="K127" i="13"/>
  <c r="J127" i="13"/>
  <c r="K126" i="13"/>
  <c r="J126" i="13"/>
  <c r="K125" i="13"/>
  <c r="J125" i="13"/>
  <c r="K124" i="13"/>
  <c r="J124" i="13"/>
  <c r="K123" i="13"/>
  <c r="J123" i="13"/>
  <c r="K122" i="13"/>
  <c r="J122" i="13"/>
  <c r="K121" i="13"/>
  <c r="J121" i="13"/>
  <c r="K120" i="13"/>
  <c r="J120" i="13"/>
  <c r="K119" i="13"/>
  <c r="J119" i="13"/>
  <c r="K118" i="13"/>
  <c r="J118" i="13"/>
  <c r="K117" i="13"/>
  <c r="J117" i="13"/>
  <c r="K116" i="13"/>
  <c r="J116" i="13"/>
  <c r="K115" i="13"/>
  <c r="J115" i="13"/>
  <c r="K114" i="13"/>
  <c r="J114" i="13"/>
  <c r="K113" i="13"/>
  <c r="J113" i="13"/>
  <c r="K112" i="13"/>
  <c r="J112" i="13"/>
  <c r="K111" i="13"/>
  <c r="J111" i="13"/>
  <c r="K110" i="13"/>
  <c r="J110" i="13"/>
  <c r="K109" i="13"/>
  <c r="J109" i="13"/>
  <c r="K108" i="13"/>
  <c r="J108" i="13"/>
  <c r="K107" i="13"/>
  <c r="J107" i="13"/>
  <c r="K106" i="13"/>
  <c r="J106" i="13"/>
  <c r="K105" i="13"/>
  <c r="J105" i="13"/>
  <c r="K98" i="13"/>
  <c r="J98" i="13"/>
  <c r="K97" i="13"/>
  <c r="J97" i="13"/>
  <c r="K96" i="13"/>
  <c r="J96" i="13"/>
  <c r="K95" i="13"/>
  <c r="J95" i="13"/>
  <c r="K94" i="13"/>
  <c r="J94" i="13"/>
  <c r="K93" i="13"/>
  <c r="J93" i="13"/>
  <c r="K92" i="13"/>
  <c r="J92" i="13"/>
  <c r="K91" i="13"/>
  <c r="J91" i="13"/>
  <c r="K90" i="13"/>
  <c r="J90" i="13"/>
  <c r="K89" i="13"/>
  <c r="J89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K48" i="13"/>
  <c r="J48" i="13"/>
  <c r="K47" i="13"/>
  <c r="J47" i="13"/>
  <c r="K46" i="13"/>
  <c r="J46" i="13"/>
  <c r="J45" i="13"/>
  <c r="J44" i="13"/>
  <c r="J43" i="13"/>
  <c r="J42" i="13"/>
  <c r="K41" i="13"/>
  <c r="J41" i="13"/>
  <c r="K40" i="13"/>
  <c r="J40" i="13"/>
  <c r="K39" i="13"/>
  <c r="J39" i="13"/>
  <c r="K38" i="13"/>
  <c r="J38" i="13"/>
  <c r="J37" i="13"/>
  <c r="J36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Q24" i="9"/>
  <c r="Q20" i="9"/>
  <c r="Q15" i="9"/>
  <c r="Q14" i="9"/>
  <c r="Q13" i="9"/>
  <c r="Q12" i="9"/>
  <c r="Q11" i="9"/>
  <c r="Q9" i="9"/>
  <c r="Q8" i="9"/>
  <c r="P23" i="9"/>
  <c r="P19" i="9"/>
  <c r="P18" i="9" s="1"/>
  <c r="P17" i="9" s="1"/>
  <c r="P11" i="9"/>
  <c r="N24" i="9"/>
  <c r="N20" i="9"/>
  <c r="N15" i="9"/>
  <c r="N14" i="9"/>
  <c r="N13" i="9"/>
  <c r="N12" i="9"/>
  <c r="N11" i="9"/>
  <c r="N9" i="9"/>
  <c r="N8" i="9"/>
  <c r="M23" i="9"/>
  <c r="M19" i="9"/>
  <c r="M11" i="9"/>
  <c r="K8" i="9"/>
  <c r="L8" i="9" s="1"/>
  <c r="N24" i="8"/>
  <c r="N20" i="8"/>
  <c r="N15" i="8"/>
  <c r="N13" i="8"/>
  <c r="N12" i="8"/>
  <c r="N9" i="8"/>
  <c r="N8" i="8"/>
  <c r="M23" i="8"/>
  <c r="M22" i="8" s="1"/>
  <c r="M21" i="8" s="1"/>
  <c r="M19" i="8"/>
  <c r="M18" i="8" s="1"/>
  <c r="M14" i="8"/>
  <c r="N14" i="8" s="1"/>
  <c r="M12" i="8"/>
  <c r="G61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D61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35" i="1"/>
  <c r="K537" i="11" l="1"/>
  <c r="K536" i="11" s="1"/>
  <c r="K535" i="11" s="1"/>
  <c r="M11" i="8"/>
  <c r="N11" i="8" s="1"/>
  <c r="H536" i="11"/>
  <c r="H535" i="11" s="1"/>
  <c r="J613" i="13"/>
  <c r="H612" i="13"/>
  <c r="H595" i="13" s="1"/>
  <c r="J614" i="13"/>
  <c r="J615" i="13"/>
  <c r="K740" i="13"/>
  <c r="J221" i="12"/>
  <c r="H220" i="12"/>
  <c r="F802" i="15"/>
  <c r="P613" i="13"/>
  <c r="I200" i="12"/>
  <c r="K200" i="12" s="1"/>
  <c r="P22" i="9"/>
  <c r="M22" i="9"/>
  <c r="M18" i="9"/>
  <c r="M17" i="9" s="1"/>
  <c r="M17" i="8"/>
  <c r="E821" i="15"/>
  <c r="E820" i="15" s="1"/>
  <c r="E819" i="15" s="1"/>
  <c r="H13" i="11"/>
  <c r="I192" i="13"/>
  <c r="K192" i="13" s="1"/>
  <c r="P614" i="13"/>
  <c r="K194" i="13"/>
  <c r="H192" i="13"/>
  <c r="J192" i="13" s="1"/>
  <c r="Q742" i="13"/>
  <c r="J194" i="13"/>
  <c r="H735" i="13"/>
  <c r="J735" i="13" s="1"/>
  <c r="O193" i="13"/>
  <c r="O192" i="13" s="1"/>
  <c r="H1013" i="10"/>
  <c r="I1014" i="10"/>
  <c r="H807" i="10"/>
  <c r="I807" i="10" s="1"/>
  <c r="E42" i="14"/>
  <c r="F42" i="14" s="1"/>
  <c r="F43" i="14"/>
  <c r="C62" i="2"/>
  <c r="E626" i="14"/>
  <c r="F626" i="14" s="1"/>
  <c r="F627" i="14"/>
  <c r="K1300" i="12"/>
  <c r="I1299" i="12"/>
  <c r="K1299" i="12" s="1"/>
  <c r="J1300" i="12"/>
  <c r="H1299" i="12"/>
  <c r="J1299" i="12" s="1"/>
  <c r="J201" i="12"/>
  <c r="E315" i="15"/>
  <c r="E314" i="15" s="1"/>
  <c r="F314" i="15" s="1"/>
  <c r="H743" i="13"/>
  <c r="J743" i="13" s="1"/>
  <c r="I810" i="15"/>
  <c r="H317" i="15"/>
  <c r="H316" i="15" s="1"/>
  <c r="H315" i="15" s="1"/>
  <c r="H314" i="15" s="1"/>
  <c r="I314" i="15" s="1"/>
  <c r="F809" i="15"/>
  <c r="K738" i="13"/>
  <c r="K739" i="13"/>
  <c r="Q743" i="13"/>
  <c r="O731" i="13"/>
  <c r="P192" i="13"/>
  <c r="N186" i="13"/>
  <c r="N142" i="13" s="1"/>
  <c r="I811" i="15"/>
  <c r="J617" i="13"/>
  <c r="F810" i="15"/>
  <c r="E822" i="15"/>
  <c r="F822" i="15" s="1"/>
  <c r="F823" i="15"/>
  <c r="H801" i="15"/>
  <c r="I801" i="15" s="1"/>
  <c r="F811" i="15"/>
  <c r="I809" i="15"/>
  <c r="I802" i="15"/>
  <c r="H308" i="15"/>
  <c r="I309" i="15"/>
  <c r="N731" i="13"/>
  <c r="P731" i="13" s="1"/>
  <c r="E307" i="15"/>
  <c r="F307" i="15" s="1"/>
  <c r="F308" i="15"/>
  <c r="F316" i="14"/>
  <c r="E315" i="14"/>
  <c r="J870" i="12"/>
  <c r="J871" i="12"/>
  <c r="I808" i="10"/>
  <c r="H867" i="12"/>
  <c r="J867" i="12" s="1"/>
  <c r="J868" i="12"/>
  <c r="F306" i="14"/>
  <c r="E305" i="14"/>
  <c r="F305" i="14" s="1"/>
  <c r="K731" i="13"/>
  <c r="I730" i="13"/>
  <c r="F317" i="15"/>
  <c r="J745" i="13"/>
  <c r="P745" i="13"/>
  <c r="P744" i="13"/>
  <c r="N742" i="13"/>
  <c r="P742" i="13" s="1"/>
  <c r="P743" i="13"/>
  <c r="H881" i="12"/>
  <c r="F335" i="14"/>
  <c r="E334" i="14"/>
  <c r="K743" i="13"/>
  <c r="I742" i="13"/>
  <c r="K742" i="13" s="1"/>
  <c r="I879" i="12"/>
  <c r="K879" i="12" s="1"/>
  <c r="K880" i="12"/>
  <c r="J732" i="13"/>
  <c r="H565" i="13"/>
  <c r="H564" i="13" s="1"/>
  <c r="H563" i="13" s="1"/>
  <c r="H562" i="13" s="1"/>
  <c r="H561" i="13" s="1"/>
  <c r="E306" i="15"/>
  <c r="P566" i="13"/>
  <c r="H306" i="15"/>
  <c r="P732" i="13"/>
  <c r="J864" i="12"/>
  <c r="Q732" i="13"/>
  <c r="K565" i="13"/>
  <c r="Q565" i="13"/>
  <c r="N565" i="13"/>
  <c r="J566" i="13"/>
  <c r="F979" i="15"/>
  <c r="Q564" i="13"/>
  <c r="O563" i="13"/>
  <c r="K564" i="13"/>
  <c r="I563" i="13"/>
  <c r="F62" i="2"/>
  <c r="E818" i="15" l="1"/>
  <c r="F315" i="14"/>
  <c r="F819" i="15"/>
  <c r="P21" i="9"/>
  <c r="M21" i="9"/>
  <c r="M16" i="8"/>
  <c r="F820" i="15"/>
  <c r="F821" i="15"/>
  <c r="I186" i="13"/>
  <c r="H731" i="13"/>
  <c r="J731" i="13" s="1"/>
  <c r="H186" i="13"/>
  <c r="H142" i="13" s="1"/>
  <c r="I315" i="15"/>
  <c r="P612" i="13"/>
  <c r="Q193" i="13"/>
  <c r="F315" i="15"/>
  <c r="H1012" i="10"/>
  <c r="I1012" i="10" s="1"/>
  <c r="I1013" i="10"/>
  <c r="H742" i="13"/>
  <c r="J742" i="13" s="1"/>
  <c r="I316" i="15"/>
  <c r="I317" i="15"/>
  <c r="J612" i="13"/>
  <c r="I729" i="13"/>
  <c r="Q192" i="13"/>
  <c r="O186" i="13"/>
  <c r="O142" i="13" s="1"/>
  <c r="P186" i="13"/>
  <c r="H800" i="15"/>
  <c r="I800" i="15" s="1"/>
  <c r="H594" i="13"/>
  <c r="J594" i="13" s="1"/>
  <c r="J595" i="13"/>
  <c r="I308" i="15"/>
  <c r="H307" i="15"/>
  <c r="I307" i="15" s="1"/>
  <c r="H863" i="12"/>
  <c r="J863" i="12" s="1"/>
  <c r="Q731" i="13"/>
  <c r="O730" i="13"/>
  <c r="E333" i="14"/>
  <c r="F334" i="14"/>
  <c r="H880" i="12"/>
  <c r="J881" i="12"/>
  <c r="J561" i="13"/>
  <c r="J565" i="13"/>
  <c r="J562" i="13"/>
  <c r="J564" i="13"/>
  <c r="J563" i="13"/>
  <c r="E305" i="15"/>
  <c r="F306" i="15"/>
  <c r="P565" i="13"/>
  <c r="N564" i="13"/>
  <c r="I306" i="15"/>
  <c r="H305" i="15"/>
  <c r="K730" i="13"/>
  <c r="O562" i="13"/>
  <c r="Q563" i="13"/>
  <c r="I562" i="13"/>
  <c r="K563" i="13"/>
  <c r="P16" i="9" l="1"/>
  <c r="M16" i="9"/>
  <c r="M25" i="8"/>
  <c r="M10" i="8"/>
  <c r="I142" i="13"/>
  <c r="I12" i="13" s="1"/>
  <c r="K186" i="13"/>
  <c r="J186" i="13"/>
  <c r="N595" i="13"/>
  <c r="N594" i="13" s="1"/>
  <c r="P594" i="13" s="1"/>
  <c r="O12" i="13"/>
  <c r="Q186" i="13"/>
  <c r="H12" i="13"/>
  <c r="J142" i="13"/>
  <c r="N12" i="13"/>
  <c r="P142" i="13"/>
  <c r="H560" i="13"/>
  <c r="H498" i="13" s="1"/>
  <c r="O729" i="13"/>
  <c r="Q729" i="13" s="1"/>
  <c r="Q730" i="13"/>
  <c r="J880" i="12"/>
  <c r="H879" i="12"/>
  <c r="J879" i="12" s="1"/>
  <c r="F333" i="14"/>
  <c r="E332" i="14"/>
  <c r="I305" i="15"/>
  <c r="H304" i="15"/>
  <c r="H303" i="15" s="1"/>
  <c r="E304" i="15"/>
  <c r="E303" i="15" s="1"/>
  <c r="F305" i="15"/>
  <c r="N563" i="13"/>
  <c r="P564" i="13"/>
  <c r="I728" i="13"/>
  <c r="I720" i="13" s="1"/>
  <c r="K729" i="13"/>
  <c r="O561" i="13"/>
  <c r="Q562" i="13"/>
  <c r="I561" i="13"/>
  <c r="K562" i="13"/>
  <c r="P12" i="13" l="1"/>
  <c r="J12" i="13"/>
  <c r="P595" i="13"/>
  <c r="P10" i="9"/>
  <c r="P25" i="9"/>
  <c r="M25" i="9"/>
  <c r="M10" i="9"/>
  <c r="J498" i="13"/>
  <c r="J560" i="13"/>
  <c r="E801" i="15"/>
  <c r="F818" i="15"/>
  <c r="E331" i="14"/>
  <c r="F331" i="14" s="1"/>
  <c r="F332" i="14"/>
  <c r="Q561" i="13"/>
  <c r="O560" i="13"/>
  <c r="K561" i="13"/>
  <c r="I560" i="13"/>
  <c r="N562" i="13"/>
  <c r="P563" i="13"/>
  <c r="F304" i="15"/>
  <c r="I304" i="15"/>
  <c r="K728" i="13"/>
  <c r="E800" i="15" l="1"/>
  <c r="F800" i="15" s="1"/>
  <c r="F801" i="15"/>
  <c r="O498" i="13"/>
  <c r="Q560" i="13"/>
  <c r="I498" i="13"/>
  <c r="K560" i="13"/>
  <c r="I303" i="15"/>
  <c r="F303" i="15"/>
  <c r="P562" i="13"/>
  <c r="N561" i="13"/>
  <c r="K720" i="13"/>
  <c r="O1205" i="13" l="1"/>
  <c r="Q1205" i="13" s="1"/>
  <c r="I1205" i="13"/>
  <c r="K1205" i="13" s="1"/>
  <c r="P561" i="13"/>
  <c r="N560" i="13"/>
  <c r="H473" i="10"/>
  <c r="P560" i="13" l="1"/>
  <c r="N498" i="13"/>
  <c r="K682" i="11"/>
  <c r="N741" i="13" s="1"/>
  <c r="H682" i="11"/>
  <c r="H741" i="13" s="1"/>
  <c r="H822" i="10"/>
  <c r="I660" i="12"/>
  <c r="I659" i="12" s="1"/>
  <c r="K661" i="12"/>
  <c r="H661" i="12"/>
  <c r="E301" i="14" s="1"/>
  <c r="K1268" i="11"/>
  <c r="H1268" i="11"/>
  <c r="K1222" i="11"/>
  <c r="H1222" i="11"/>
  <c r="K1145" i="11"/>
  <c r="H1145" i="11"/>
  <c r="K965" i="11"/>
  <c r="K948" i="11"/>
  <c r="K935" i="11"/>
  <c r="K918" i="11"/>
  <c r="H965" i="11"/>
  <c r="H948" i="11"/>
  <c r="H935" i="11"/>
  <c r="H918" i="11"/>
  <c r="K506" i="11"/>
  <c r="H506" i="11"/>
  <c r="H505" i="11" s="1"/>
  <c r="L507" i="11"/>
  <c r="I507" i="11"/>
  <c r="H604" i="10"/>
  <c r="H603" i="10" s="1"/>
  <c r="I605" i="10"/>
  <c r="H681" i="11" l="1"/>
  <c r="H680" i="11" s="1"/>
  <c r="I604" i="10"/>
  <c r="I603" i="10"/>
  <c r="I506" i="11"/>
  <c r="H740" i="13"/>
  <c r="J741" i="13"/>
  <c r="E313" i="15"/>
  <c r="H313" i="15"/>
  <c r="P741" i="13"/>
  <c r="N740" i="13"/>
  <c r="K681" i="11"/>
  <c r="K680" i="11" s="1"/>
  <c r="H504" i="11"/>
  <c r="H503" i="11" s="1"/>
  <c r="H502" i="11" s="1"/>
  <c r="L506" i="11"/>
  <c r="K505" i="11"/>
  <c r="K504" i="11" s="1"/>
  <c r="K503" i="11" s="1"/>
  <c r="P498" i="13"/>
  <c r="H660" i="12"/>
  <c r="J660" i="12" s="1"/>
  <c r="K660" i="12"/>
  <c r="E300" i="14"/>
  <c r="F301" i="14"/>
  <c r="J661" i="12"/>
  <c r="K659" i="12"/>
  <c r="I184" i="12"/>
  <c r="K185" i="12"/>
  <c r="H185" i="12"/>
  <c r="H184" i="12" s="1"/>
  <c r="H148" i="10"/>
  <c r="I149" i="10"/>
  <c r="I291" i="12"/>
  <c r="K292" i="12"/>
  <c r="H292" i="12"/>
  <c r="H291" i="12" s="1"/>
  <c r="H252" i="10"/>
  <c r="I253" i="10"/>
  <c r="K679" i="11" l="1"/>
  <c r="K671" i="11" s="1"/>
  <c r="H679" i="11"/>
  <c r="H671" i="11" s="1"/>
  <c r="J291" i="12"/>
  <c r="K291" i="12"/>
  <c r="J184" i="12"/>
  <c r="K184" i="12"/>
  <c r="I252" i="10"/>
  <c r="I148" i="10"/>
  <c r="E312" i="15"/>
  <c r="F313" i="15"/>
  <c r="I313" i="15"/>
  <c r="H312" i="15"/>
  <c r="P740" i="13"/>
  <c r="N739" i="13"/>
  <c r="N738" i="13" s="1"/>
  <c r="H739" i="13"/>
  <c r="H738" i="13" s="1"/>
  <c r="J740" i="13"/>
  <c r="I502" i="11"/>
  <c r="H501" i="11"/>
  <c r="H439" i="11" s="1"/>
  <c r="I504" i="11"/>
  <c r="I505" i="11"/>
  <c r="I503" i="11"/>
  <c r="H659" i="12"/>
  <c r="J659" i="12" s="1"/>
  <c r="L504" i="11"/>
  <c r="L505" i="11"/>
  <c r="E299" i="14"/>
  <c r="F299" i="14" s="1"/>
  <c r="F300" i="14"/>
  <c r="K502" i="11"/>
  <c r="L503" i="11"/>
  <c r="E594" i="14"/>
  <c r="J185" i="12"/>
  <c r="E440" i="14"/>
  <c r="J292" i="12"/>
  <c r="K1341" i="11"/>
  <c r="L1337" i="11"/>
  <c r="L1336" i="11"/>
  <c r="L1335" i="11"/>
  <c r="L1334" i="11"/>
  <c r="L1333" i="11"/>
  <c r="L1332" i="11"/>
  <c r="L1331" i="11"/>
  <c r="L1330" i="11"/>
  <c r="L1329" i="11"/>
  <c r="L1328" i="11"/>
  <c r="L1327" i="11"/>
  <c r="L1326" i="11"/>
  <c r="L1325" i="11"/>
  <c r="L1324" i="11"/>
  <c r="L1323" i="11"/>
  <c r="L1322" i="11"/>
  <c r="L1321" i="11"/>
  <c r="L1320" i="11"/>
  <c r="L1319" i="11"/>
  <c r="L1318" i="11"/>
  <c r="L1317" i="11"/>
  <c r="L1316" i="11"/>
  <c r="L1315" i="11"/>
  <c r="L1314" i="11"/>
  <c r="L1313" i="11"/>
  <c r="L1312" i="11"/>
  <c r="L1311" i="11"/>
  <c r="L1310" i="11"/>
  <c r="L1309" i="11"/>
  <c r="L1308" i="11"/>
  <c r="L1307" i="11"/>
  <c r="L1306" i="11"/>
  <c r="L1305" i="11"/>
  <c r="L1304" i="11"/>
  <c r="L1303" i="11"/>
  <c r="L1302" i="11"/>
  <c r="L1301" i="11"/>
  <c r="L1300" i="11"/>
  <c r="L1299" i="11"/>
  <c r="L1298" i="11"/>
  <c r="L1297" i="11"/>
  <c r="L1296" i="11"/>
  <c r="L1295" i="11"/>
  <c r="L1294" i="11"/>
  <c r="L1293" i="11"/>
  <c r="L1292" i="11"/>
  <c r="L1291" i="11"/>
  <c r="L1290" i="11"/>
  <c r="L1289" i="11"/>
  <c r="L1288" i="11"/>
  <c r="L1287" i="11"/>
  <c r="L1286" i="11"/>
  <c r="L1285" i="11"/>
  <c r="L1284" i="11"/>
  <c r="L1283" i="11"/>
  <c r="L1282" i="11"/>
  <c r="L1281" i="11"/>
  <c r="L1280" i="11"/>
  <c r="L1279" i="11"/>
  <c r="L1278" i="11"/>
  <c r="L1277" i="11"/>
  <c r="L1276" i="11"/>
  <c r="L1275" i="11"/>
  <c r="L1274" i="11"/>
  <c r="L1273" i="11"/>
  <c r="L1272" i="11"/>
  <c r="L1271" i="11"/>
  <c r="L1270" i="11"/>
  <c r="L1269" i="11"/>
  <c r="L1268" i="11"/>
  <c r="L1267" i="11"/>
  <c r="L1266" i="11"/>
  <c r="L1265" i="11"/>
  <c r="L1264" i="11"/>
  <c r="L1263" i="11"/>
  <c r="L1262" i="11"/>
  <c r="L1261" i="11"/>
  <c r="L1260" i="11"/>
  <c r="L1259" i="11"/>
  <c r="L1258" i="11"/>
  <c r="L1257" i="11"/>
  <c r="L1256" i="11"/>
  <c r="L1255" i="11"/>
  <c r="L1254" i="11"/>
  <c r="L1253" i="11"/>
  <c r="L1252" i="11"/>
  <c r="L1251" i="11"/>
  <c r="L1250" i="11"/>
  <c r="L1249" i="11"/>
  <c r="L1248" i="11"/>
  <c r="L1247" i="11"/>
  <c r="L1246" i="11"/>
  <c r="L1245" i="11"/>
  <c r="L1244" i="11"/>
  <c r="L1243" i="11"/>
  <c r="L1242" i="11"/>
  <c r="L1241" i="11"/>
  <c r="L1240" i="11"/>
  <c r="L1239" i="11"/>
  <c r="L1238" i="11"/>
  <c r="L1237" i="11"/>
  <c r="L1236" i="11"/>
  <c r="L1235" i="11"/>
  <c r="L1234" i="11"/>
  <c r="L1233" i="11"/>
  <c r="L1232" i="11"/>
  <c r="L1231" i="11"/>
  <c r="L1230" i="11"/>
  <c r="L1229" i="11"/>
  <c r="L1228" i="11"/>
  <c r="L1227" i="11"/>
  <c r="L1226" i="11"/>
  <c r="L1225" i="11"/>
  <c r="L1224" i="11"/>
  <c r="L1223" i="11"/>
  <c r="L1222" i="11"/>
  <c r="L1220" i="11"/>
  <c r="L1219" i="11"/>
  <c r="L1218" i="11"/>
  <c r="L1216" i="11"/>
  <c r="L1215" i="11"/>
  <c r="L1214" i="11"/>
  <c r="L1213" i="11"/>
  <c r="L1212" i="11"/>
  <c r="L1211" i="11"/>
  <c r="L1210" i="11"/>
  <c r="L1209" i="11"/>
  <c r="L1208" i="11"/>
  <c r="L1207" i="11"/>
  <c r="L1206" i="11"/>
  <c r="L1205" i="11"/>
  <c r="L1204" i="11"/>
  <c r="L1203" i="11"/>
  <c r="L1202" i="11"/>
  <c r="L1201" i="11"/>
  <c r="L1200" i="11"/>
  <c r="L1199" i="11"/>
  <c r="L1198" i="11"/>
  <c r="L1197" i="11"/>
  <c r="L1196" i="11"/>
  <c r="L1195" i="11"/>
  <c r="L1194" i="11"/>
  <c r="L1193" i="11"/>
  <c r="L1192" i="11"/>
  <c r="L1191" i="11"/>
  <c r="L1190" i="11"/>
  <c r="L1189" i="11"/>
  <c r="L1188" i="11"/>
  <c r="L1187" i="11"/>
  <c r="L1186" i="11"/>
  <c r="L1185" i="11"/>
  <c r="L1184" i="11"/>
  <c r="L1183" i="11"/>
  <c r="L1182" i="11"/>
  <c r="L1181" i="11"/>
  <c r="L1180" i="11"/>
  <c r="L1179" i="11"/>
  <c r="L1178" i="11"/>
  <c r="L1177" i="11"/>
  <c r="L1176" i="11"/>
  <c r="L1175" i="11"/>
  <c r="L1174" i="11"/>
  <c r="L1173" i="11"/>
  <c r="L1172" i="11"/>
  <c r="L1171" i="11"/>
  <c r="L1170" i="11"/>
  <c r="L1169" i="11"/>
  <c r="L1168" i="11"/>
  <c r="L1167" i="11"/>
  <c r="L1166" i="11"/>
  <c r="L1165" i="11"/>
  <c r="L1164" i="11"/>
  <c r="L1163" i="11"/>
  <c r="L1162" i="11"/>
  <c r="L1161" i="11"/>
  <c r="L1160" i="11"/>
  <c r="L1159" i="11"/>
  <c r="L1158" i="11"/>
  <c r="L1157" i="11"/>
  <c r="L1156" i="11"/>
  <c r="L1155" i="11"/>
  <c r="L1154" i="11"/>
  <c r="L1153" i="11"/>
  <c r="L1152" i="11"/>
  <c r="L1151" i="11"/>
  <c r="L1150" i="11"/>
  <c r="L1149" i="11"/>
  <c r="L1148" i="11"/>
  <c r="L1147" i="11"/>
  <c r="L1146" i="11"/>
  <c r="L1145" i="11"/>
  <c r="L1144" i="11"/>
  <c r="L1143" i="11"/>
  <c r="L1142" i="11"/>
  <c r="L1141" i="11"/>
  <c r="L1140" i="11"/>
  <c r="L1139" i="11"/>
  <c r="L1138" i="11"/>
  <c r="L1137" i="11"/>
  <c r="L1136" i="11"/>
  <c r="L1135" i="11"/>
  <c r="L1134" i="11"/>
  <c r="L1133" i="11"/>
  <c r="L1132" i="11"/>
  <c r="L1131" i="11"/>
  <c r="L1130" i="11"/>
  <c r="L1129" i="11"/>
  <c r="L1128" i="11"/>
  <c r="L1127" i="11"/>
  <c r="L1126" i="11"/>
  <c r="L1125" i="11"/>
  <c r="L1124" i="11"/>
  <c r="L1123" i="11"/>
  <c r="L1122" i="11"/>
  <c r="L1121" i="11"/>
  <c r="L1120" i="11"/>
  <c r="L1119" i="11"/>
  <c r="L1118" i="11"/>
  <c r="L1117" i="11"/>
  <c r="L1116" i="11"/>
  <c r="L1115" i="11"/>
  <c r="L1114" i="11"/>
  <c r="L1113" i="11"/>
  <c r="L1112" i="11"/>
  <c r="L1111" i="11"/>
  <c r="L1110" i="11"/>
  <c r="L1109" i="11"/>
  <c r="L1108" i="11"/>
  <c r="L1107" i="11"/>
  <c r="L1106" i="11"/>
  <c r="L1102" i="11"/>
  <c r="L1096" i="11"/>
  <c r="L1095" i="11"/>
  <c r="L1094" i="11"/>
  <c r="L1093" i="11"/>
  <c r="L1092" i="11"/>
  <c r="L1091" i="11"/>
  <c r="L1090" i="11"/>
  <c r="L1089" i="11"/>
  <c r="L1088" i="11"/>
  <c r="L1087" i="11"/>
  <c r="L1086" i="11"/>
  <c r="L1085" i="11"/>
  <c r="L1084" i="11"/>
  <c r="L1081" i="11"/>
  <c r="L1078" i="11"/>
  <c r="L1077" i="11"/>
  <c r="L1071" i="11"/>
  <c r="L1070" i="11"/>
  <c r="L1069" i="11"/>
  <c r="L1068" i="11"/>
  <c r="L1067" i="11"/>
  <c r="L1066" i="11"/>
  <c r="L1065" i="11"/>
  <c r="L1064" i="11"/>
  <c r="L1063" i="11"/>
  <c r="L1056" i="11"/>
  <c r="L1055" i="11"/>
  <c r="L1054" i="11"/>
  <c r="L1053" i="11"/>
  <c r="L1052" i="11"/>
  <c r="L1051" i="11"/>
  <c r="L1050" i="11"/>
  <c r="L1049" i="11"/>
  <c r="L1047" i="11"/>
  <c r="L1046" i="11"/>
  <c r="L1045" i="11"/>
  <c r="L1040" i="11"/>
  <c r="L1039" i="11"/>
  <c r="L1038" i="11"/>
  <c r="L1037" i="11"/>
  <c r="L1036" i="11"/>
  <c r="L1035" i="11"/>
  <c r="L1034" i="11"/>
  <c r="L1033" i="11"/>
  <c r="L1032" i="11"/>
  <c r="L1031" i="11"/>
  <c r="L1030" i="11"/>
  <c r="L1029" i="11"/>
  <c r="L1028" i="11"/>
  <c r="L1027" i="11"/>
  <c r="L1026" i="11"/>
  <c r="L1025" i="11"/>
  <c r="L1024" i="11"/>
  <c r="L1023" i="11"/>
  <c r="L1022" i="11"/>
  <c r="L1021" i="11"/>
  <c r="L1020" i="11"/>
  <c r="L1019" i="11"/>
  <c r="L1018" i="11"/>
  <c r="L1017" i="11"/>
  <c r="L1016" i="11"/>
  <c r="L1015" i="11"/>
  <c r="L1014" i="11"/>
  <c r="L1013" i="11"/>
  <c r="L1012" i="11"/>
  <c r="L1011" i="11"/>
  <c r="L1010" i="11"/>
  <c r="L1009" i="11"/>
  <c r="L1008" i="11"/>
  <c r="L1007" i="11"/>
  <c r="L1004" i="11"/>
  <c r="L1001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08" i="11"/>
  <c r="L707" i="11"/>
  <c r="L706" i="11"/>
  <c r="L705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2" i="11"/>
  <c r="L681" i="11"/>
  <c r="L680" i="11"/>
  <c r="L679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1" i="11"/>
  <c r="L570" i="11"/>
  <c r="L569" i="11"/>
  <c r="L563" i="11"/>
  <c r="L562" i="11"/>
  <c r="L561" i="11"/>
  <c r="L560" i="11"/>
  <c r="L556" i="11"/>
  <c r="L555" i="11"/>
  <c r="L554" i="11"/>
  <c r="L553" i="11"/>
  <c r="L546" i="11"/>
  <c r="L545" i="11"/>
  <c r="L544" i="11"/>
  <c r="L537" i="11"/>
  <c r="L536" i="11"/>
  <c r="L535" i="11"/>
  <c r="L534" i="11"/>
  <c r="L533" i="11"/>
  <c r="L532" i="11"/>
  <c r="L531" i="11"/>
  <c r="L530" i="11"/>
  <c r="L529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0" i="11"/>
  <c r="L499" i="11"/>
  <c r="L498" i="11"/>
  <c r="L497" i="11"/>
  <c r="L496" i="11"/>
  <c r="L495" i="11"/>
  <c r="L494" i="11"/>
  <c r="L493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79" i="11"/>
  <c r="L278" i="11"/>
  <c r="L277" i="11"/>
  <c r="L276" i="11"/>
  <c r="L275" i="11"/>
  <c r="L274" i="11"/>
  <c r="L273" i="11"/>
  <c r="L272" i="11"/>
  <c r="L271" i="11"/>
  <c r="L270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3" i="11"/>
  <c r="L162" i="11"/>
  <c r="L161" i="11"/>
  <c r="L160" i="11"/>
  <c r="L159" i="11"/>
  <c r="L158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84" i="11"/>
  <c r="L83" i="11"/>
  <c r="L82" i="11"/>
  <c r="L81" i="11"/>
  <c r="L80" i="11"/>
  <c r="L79" i="11"/>
  <c r="L78" i="11"/>
  <c r="L77" i="11"/>
  <c r="L76" i="11"/>
  <c r="L75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H1341" i="11"/>
  <c r="I1337" i="11"/>
  <c r="I1336" i="11"/>
  <c r="I1335" i="11"/>
  <c r="I1334" i="11"/>
  <c r="I1333" i="11"/>
  <c r="I1332" i="11"/>
  <c r="I1331" i="11"/>
  <c r="I1330" i="11"/>
  <c r="I1329" i="11"/>
  <c r="I1328" i="11"/>
  <c r="I1327" i="11"/>
  <c r="I1326" i="11"/>
  <c r="I1325" i="11"/>
  <c r="I1324" i="11"/>
  <c r="I1323" i="11"/>
  <c r="I1322" i="11"/>
  <c r="I1321" i="11"/>
  <c r="I1320" i="11"/>
  <c r="I1319" i="11"/>
  <c r="I1318" i="11"/>
  <c r="I1317" i="11"/>
  <c r="I1316" i="11"/>
  <c r="I1315" i="11"/>
  <c r="I1314" i="11"/>
  <c r="I1313" i="11"/>
  <c r="I1312" i="11"/>
  <c r="I1311" i="11"/>
  <c r="I1310" i="11"/>
  <c r="I1309" i="11"/>
  <c r="I1308" i="11"/>
  <c r="I1307" i="11"/>
  <c r="I1306" i="11"/>
  <c r="I1305" i="11"/>
  <c r="I1304" i="11"/>
  <c r="I1303" i="11"/>
  <c r="I1302" i="11"/>
  <c r="I1301" i="11"/>
  <c r="I1300" i="11"/>
  <c r="I1299" i="11"/>
  <c r="I1298" i="11"/>
  <c r="I1297" i="11"/>
  <c r="I1296" i="11"/>
  <c r="I1295" i="11"/>
  <c r="I1294" i="11"/>
  <c r="I1293" i="11"/>
  <c r="I1292" i="11"/>
  <c r="I1291" i="11"/>
  <c r="I1290" i="11"/>
  <c r="I1289" i="11"/>
  <c r="I1288" i="11"/>
  <c r="I1287" i="11"/>
  <c r="I1286" i="11"/>
  <c r="I1285" i="11"/>
  <c r="I1284" i="11"/>
  <c r="I1283" i="11"/>
  <c r="I1282" i="11"/>
  <c r="I1281" i="11"/>
  <c r="I1280" i="11"/>
  <c r="I1279" i="11"/>
  <c r="I1278" i="11"/>
  <c r="I1277" i="11"/>
  <c r="I1276" i="11"/>
  <c r="I1275" i="11"/>
  <c r="I1274" i="11"/>
  <c r="I1273" i="11"/>
  <c r="I1272" i="11"/>
  <c r="I1271" i="11"/>
  <c r="I1270" i="11"/>
  <c r="I1269" i="11"/>
  <c r="I1268" i="11"/>
  <c r="I1267" i="11"/>
  <c r="I1266" i="11"/>
  <c r="I1265" i="11"/>
  <c r="I1264" i="11"/>
  <c r="I1263" i="11"/>
  <c r="I1262" i="11"/>
  <c r="I1261" i="11"/>
  <c r="I1260" i="11"/>
  <c r="I1259" i="11"/>
  <c r="I1258" i="11"/>
  <c r="I1257" i="11"/>
  <c r="I1256" i="11"/>
  <c r="I1255" i="11"/>
  <c r="I1254" i="11"/>
  <c r="I1253" i="11"/>
  <c r="I1252" i="11"/>
  <c r="I1251" i="11"/>
  <c r="I1250" i="11"/>
  <c r="I1249" i="11"/>
  <c r="I1248" i="11"/>
  <c r="I1247" i="11"/>
  <c r="I1246" i="11"/>
  <c r="I1245" i="11"/>
  <c r="I1244" i="11"/>
  <c r="I1243" i="11"/>
  <c r="I1242" i="11"/>
  <c r="I1241" i="11"/>
  <c r="I1240" i="11"/>
  <c r="I1239" i="11"/>
  <c r="I1238" i="11"/>
  <c r="I1237" i="11"/>
  <c r="I1236" i="11"/>
  <c r="I1235" i="11"/>
  <c r="I1234" i="11"/>
  <c r="I1233" i="11"/>
  <c r="I1232" i="11"/>
  <c r="I1231" i="11"/>
  <c r="I1230" i="11"/>
  <c r="I1229" i="11"/>
  <c r="I1228" i="11"/>
  <c r="I1227" i="11"/>
  <c r="I1226" i="11"/>
  <c r="I1225" i="11"/>
  <c r="I1224" i="11"/>
  <c r="I1223" i="11"/>
  <c r="I1222" i="11"/>
  <c r="I1220" i="11"/>
  <c r="I1219" i="11"/>
  <c r="I1218" i="11"/>
  <c r="I1216" i="11"/>
  <c r="I1215" i="11"/>
  <c r="I1214" i="11"/>
  <c r="I1213" i="11"/>
  <c r="I1212" i="11"/>
  <c r="I1211" i="11"/>
  <c r="I1210" i="11"/>
  <c r="I1209" i="11"/>
  <c r="I1208" i="11"/>
  <c r="I1207" i="11"/>
  <c r="I1206" i="11"/>
  <c r="I1205" i="11"/>
  <c r="I1204" i="11"/>
  <c r="I1203" i="11"/>
  <c r="I1202" i="11"/>
  <c r="I1201" i="11"/>
  <c r="I1200" i="11"/>
  <c r="I1199" i="11"/>
  <c r="I1198" i="11"/>
  <c r="I1197" i="11"/>
  <c r="I1196" i="11"/>
  <c r="I1195" i="11"/>
  <c r="I1194" i="11"/>
  <c r="I1193" i="11"/>
  <c r="I1192" i="11"/>
  <c r="I1191" i="11"/>
  <c r="I1190" i="11"/>
  <c r="I1189" i="11"/>
  <c r="I1188" i="11"/>
  <c r="I1187" i="11"/>
  <c r="I1186" i="11"/>
  <c r="I1185" i="11"/>
  <c r="I1184" i="11"/>
  <c r="I1183" i="11"/>
  <c r="I1182" i="11"/>
  <c r="I1181" i="11"/>
  <c r="I1180" i="11"/>
  <c r="I1179" i="11"/>
  <c r="I1178" i="11"/>
  <c r="I1177" i="11"/>
  <c r="I1176" i="11"/>
  <c r="I1175" i="11"/>
  <c r="I1174" i="11"/>
  <c r="I1173" i="11"/>
  <c r="I1172" i="11"/>
  <c r="I1171" i="11"/>
  <c r="I1170" i="11"/>
  <c r="I1169" i="11"/>
  <c r="I1168" i="11"/>
  <c r="I1167" i="11"/>
  <c r="I1166" i="11"/>
  <c r="I1165" i="11"/>
  <c r="I1164" i="11"/>
  <c r="I1163" i="11"/>
  <c r="I1162" i="11"/>
  <c r="I1161" i="11"/>
  <c r="I1160" i="11"/>
  <c r="I1159" i="11"/>
  <c r="I1158" i="11"/>
  <c r="I1157" i="11"/>
  <c r="I1156" i="11"/>
  <c r="I1155" i="11"/>
  <c r="I1154" i="11"/>
  <c r="I1153" i="11"/>
  <c r="I1152" i="11"/>
  <c r="I1151" i="11"/>
  <c r="I1150" i="11"/>
  <c r="I1149" i="11"/>
  <c r="I1148" i="11"/>
  <c r="I1147" i="11"/>
  <c r="I1146" i="11"/>
  <c r="I1145" i="11"/>
  <c r="I1144" i="11"/>
  <c r="I1143" i="11"/>
  <c r="I1142" i="11"/>
  <c r="I1141" i="11"/>
  <c r="I1140" i="11"/>
  <c r="I1139" i="11"/>
  <c r="I1138" i="11"/>
  <c r="I1137" i="11"/>
  <c r="I1136" i="11"/>
  <c r="I1135" i="11"/>
  <c r="I1134" i="11"/>
  <c r="I1133" i="11"/>
  <c r="I1132" i="11"/>
  <c r="I1131" i="11"/>
  <c r="I1130" i="11"/>
  <c r="I1129" i="11"/>
  <c r="I1128" i="11"/>
  <c r="I1127" i="11"/>
  <c r="I1126" i="11"/>
  <c r="I1125" i="11"/>
  <c r="I1124" i="11"/>
  <c r="I1123" i="11"/>
  <c r="I1122" i="11"/>
  <c r="I1121" i="11"/>
  <c r="I1120" i="11"/>
  <c r="I1119" i="11"/>
  <c r="I1118" i="11"/>
  <c r="I1117" i="11"/>
  <c r="I1116" i="11"/>
  <c r="I1115" i="11"/>
  <c r="I1114" i="11"/>
  <c r="I1113" i="11"/>
  <c r="I1112" i="11"/>
  <c r="I1111" i="11"/>
  <c r="I1110" i="11"/>
  <c r="I1109" i="11"/>
  <c r="I1108" i="11"/>
  <c r="I1107" i="11"/>
  <c r="I1106" i="11"/>
  <c r="I1102" i="11"/>
  <c r="I1096" i="11"/>
  <c r="I1095" i="11"/>
  <c r="I1094" i="11"/>
  <c r="I1093" i="11"/>
  <c r="I1092" i="11"/>
  <c r="I1091" i="11"/>
  <c r="I1090" i="11"/>
  <c r="I1089" i="11"/>
  <c r="I1088" i="11"/>
  <c r="I1087" i="11"/>
  <c r="I1086" i="11"/>
  <c r="I1085" i="11"/>
  <c r="I1084" i="11"/>
  <c r="I1081" i="11"/>
  <c r="I1078" i="11"/>
  <c r="I1077" i="11"/>
  <c r="I1071" i="11"/>
  <c r="I1070" i="11"/>
  <c r="I1069" i="11"/>
  <c r="I1068" i="11"/>
  <c r="I1067" i="11"/>
  <c r="I1066" i="11"/>
  <c r="I1065" i="11"/>
  <c r="I1064" i="11"/>
  <c r="I1063" i="11"/>
  <c r="I1056" i="11"/>
  <c r="I1055" i="11"/>
  <c r="I1054" i="11"/>
  <c r="I1053" i="11"/>
  <c r="I1052" i="11"/>
  <c r="I1051" i="11"/>
  <c r="I1050" i="11"/>
  <c r="I1049" i="11"/>
  <c r="I1047" i="11"/>
  <c r="I1046" i="11"/>
  <c r="I1045" i="11"/>
  <c r="I1040" i="11"/>
  <c r="I1039" i="11"/>
  <c r="I1038" i="11"/>
  <c r="I1037" i="11"/>
  <c r="I1036" i="11"/>
  <c r="I1035" i="11"/>
  <c r="I1034" i="11"/>
  <c r="I1033" i="11"/>
  <c r="I1032" i="11"/>
  <c r="I1031" i="11"/>
  <c r="I1030" i="11"/>
  <c r="I1029" i="11"/>
  <c r="I1028" i="11"/>
  <c r="I1027" i="11"/>
  <c r="I1026" i="11"/>
  <c r="I1025" i="11"/>
  <c r="I1024" i="11"/>
  <c r="I1023" i="11"/>
  <c r="I1022" i="11"/>
  <c r="I1021" i="11"/>
  <c r="I1020" i="11"/>
  <c r="I1019" i="11"/>
  <c r="I1018" i="11"/>
  <c r="I1017" i="11"/>
  <c r="I1016" i="11"/>
  <c r="I1015" i="11"/>
  <c r="I1014" i="11"/>
  <c r="I1013" i="11"/>
  <c r="I1012" i="11"/>
  <c r="I1011" i="11"/>
  <c r="I1010" i="11"/>
  <c r="I1009" i="11"/>
  <c r="I1008" i="11"/>
  <c r="I1007" i="11"/>
  <c r="I1004" i="11"/>
  <c r="I1001" i="11"/>
  <c r="I998" i="11"/>
  <c r="I997" i="11"/>
  <c r="I996" i="11"/>
  <c r="I995" i="11"/>
  <c r="I994" i="11"/>
  <c r="I993" i="11"/>
  <c r="I992" i="11"/>
  <c r="I991" i="11"/>
  <c r="I990" i="11"/>
  <c r="I989" i="11"/>
  <c r="I988" i="11"/>
  <c r="I987" i="11"/>
  <c r="I986" i="11"/>
  <c r="I985" i="11"/>
  <c r="I984" i="11"/>
  <c r="I983" i="11"/>
  <c r="I982" i="11"/>
  <c r="I981" i="11"/>
  <c r="I980" i="11"/>
  <c r="I979" i="11"/>
  <c r="I978" i="11"/>
  <c r="I977" i="11"/>
  <c r="I976" i="11"/>
  <c r="I975" i="11"/>
  <c r="I974" i="11"/>
  <c r="I973" i="11"/>
  <c r="I972" i="11"/>
  <c r="I971" i="11"/>
  <c r="I970" i="11"/>
  <c r="I969" i="11"/>
  <c r="I968" i="11"/>
  <c r="I967" i="11"/>
  <c r="I966" i="11"/>
  <c r="I964" i="11"/>
  <c r="I963" i="11"/>
  <c r="I962" i="11"/>
  <c r="I961" i="11"/>
  <c r="I960" i="11"/>
  <c r="I959" i="11"/>
  <c r="I958" i="11"/>
  <c r="I957" i="11"/>
  <c r="I956" i="11"/>
  <c r="I955" i="11"/>
  <c r="I954" i="11"/>
  <c r="I953" i="11"/>
  <c r="I952" i="11"/>
  <c r="I951" i="11"/>
  <c r="I950" i="11"/>
  <c r="I949" i="11"/>
  <c r="I948" i="11"/>
  <c r="I947" i="11"/>
  <c r="I946" i="11"/>
  <c r="I945" i="11"/>
  <c r="I944" i="11"/>
  <c r="I943" i="11"/>
  <c r="I942" i="11"/>
  <c r="I941" i="11"/>
  <c r="I940" i="11"/>
  <c r="I939" i="11"/>
  <c r="I938" i="11"/>
  <c r="I937" i="11"/>
  <c r="I936" i="11"/>
  <c r="I935" i="11"/>
  <c r="I934" i="11"/>
  <c r="I933" i="11"/>
  <c r="I932" i="11"/>
  <c r="I931" i="11"/>
  <c r="I930" i="11"/>
  <c r="I929" i="11"/>
  <c r="I928" i="11"/>
  <c r="I927" i="11"/>
  <c r="I926" i="11"/>
  <c r="I925" i="11"/>
  <c r="I924" i="11"/>
  <c r="I923" i="11"/>
  <c r="I922" i="11"/>
  <c r="I921" i="11"/>
  <c r="I920" i="11"/>
  <c r="I919" i="11"/>
  <c r="I918" i="11"/>
  <c r="I917" i="11"/>
  <c r="I916" i="11"/>
  <c r="I915" i="11"/>
  <c r="I914" i="11"/>
  <c r="I913" i="11"/>
  <c r="I912" i="11"/>
  <c r="I911" i="11"/>
  <c r="I910" i="11"/>
  <c r="I909" i="11"/>
  <c r="I908" i="11"/>
  <c r="I907" i="11"/>
  <c r="I906" i="11"/>
  <c r="I905" i="11"/>
  <c r="I904" i="11"/>
  <c r="I903" i="11"/>
  <c r="I902" i="11"/>
  <c r="I901" i="11"/>
  <c r="I900" i="11"/>
  <c r="I899" i="11"/>
  <c r="I898" i="11"/>
  <c r="I895" i="11"/>
  <c r="I894" i="11"/>
  <c r="I893" i="11"/>
  <c r="I892" i="11"/>
  <c r="I891" i="11"/>
  <c r="I890" i="11"/>
  <c r="I889" i="11"/>
  <c r="I888" i="11"/>
  <c r="I887" i="11"/>
  <c r="I886" i="11"/>
  <c r="I885" i="11"/>
  <c r="I884" i="11"/>
  <c r="I883" i="11"/>
  <c r="I882" i="11"/>
  <c r="I881" i="11"/>
  <c r="I880" i="11"/>
  <c r="I879" i="11"/>
  <c r="I878" i="11"/>
  <c r="I877" i="11"/>
  <c r="I876" i="11"/>
  <c r="I875" i="11"/>
  <c r="I874" i="11"/>
  <c r="I873" i="11"/>
  <c r="I872" i="11"/>
  <c r="I871" i="11"/>
  <c r="I870" i="11"/>
  <c r="I869" i="11"/>
  <c r="I868" i="11"/>
  <c r="I867" i="11"/>
  <c r="I866" i="11"/>
  <c r="I865" i="11"/>
  <c r="I864" i="11"/>
  <c r="I863" i="11"/>
  <c r="I862" i="11"/>
  <c r="I861" i="11"/>
  <c r="I860" i="11"/>
  <c r="I859" i="11"/>
  <c r="I858" i="11"/>
  <c r="I857" i="11"/>
  <c r="I856" i="11"/>
  <c r="I855" i="11"/>
  <c r="I854" i="11"/>
  <c r="I853" i="11"/>
  <c r="I852" i="11"/>
  <c r="I851" i="11"/>
  <c r="I850" i="11"/>
  <c r="I849" i="11"/>
  <c r="I848" i="11"/>
  <c r="I847" i="11"/>
  <c r="I846" i="11"/>
  <c r="I845" i="11"/>
  <c r="I844" i="11"/>
  <c r="I843" i="11"/>
  <c r="I842" i="11"/>
  <c r="I841" i="11"/>
  <c r="I840" i="11"/>
  <c r="I839" i="11"/>
  <c r="I838" i="11"/>
  <c r="I837" i="11"/>
  <c r="I836" i="11"/>
  <c r="I835" i="11"/>
  <c r="I834" i="11"/>
  <c r="I833" i="11"/>
  <c r="I832" i="11"/>
  <c r="I831" i="11"/>
  <c r="I830" i="11"/>
  <c r="I829" i="11"/>
  <c r="I828" i="11"/>
  <c r="I827" i="11"/>
  <c r="I826" i="11"/>
  <c r="I825" i="11"/>
  <c r="I824" i="11"/>
  <c r="I823" i="11"/>
  <c r="I822" i="11"/>
  <c r="I821" i="11"/>
  <c r="I820" i="11"/>
  <c r="I819" i="11"/>
  <c r="I818" i="11"/>
  <c r="I817" i="11"/>
  <c r="I816" i="11"/>
  <c r="I815" i="11"/>
  <c r="I814" i="11"/>
  <c r="I813" i="11"/>
  <c r="I812" i="11"/>
  <c r="I811" i="11"/>
  <c r="I810" i="11"/>
  <c r="I809" i="11"/>
  <c r="I808" i="11"/>
  <c r="I807" i="11"/>
  <c r="I806" i="11"/>
  <c r="I805" i="11"/>
  <c r="I804" i="11"/>
  <c r="I803" i="11"/>
  <c r="I802" i="11"/>
  <c r="I801" i="11"/>
  <c r="I800" i="11"/>
  <c r="I799" i="11"/>
  <c r="I798" i="11"/>
  <c r="I797" i="11"/>
  <c r="I796" i="11"/>
  <c r="I795" i="11"/>
  <c r="I794" i="11"/>
  <c r="I793" i="11"/>
  <c r="I792" i="11"/>
  <c r="I791" i="11"/>
  <c r="I790" i="11"/>
  <c r="I789" i="11"/>
  <c r="I788" i="11"/>
  <c r="I787" i="11"/>
  <c r="I786" i="11"/>
  <c r="I785" i="11"/>
  <c r="I784" i="11"/>
  <c r="I783" i="11"/>
  <c r="I782" i="11"/>
  <c r="I781" i="11"/>
  <c r="I780" i="11"/>
  <c r="I779" i="11"/>
  <c r="I778" i="11"/>
  <c r="I777" i="11"/>
  <c r="I776" i="11"/>
  <c r="I775" i="11"/>
  <c r="I774" i="11"/>
  <c r="I773" i="11"/>
  <c r="I772" i="11"/>
  <c r="I771" i="11"/>
  <c r="I770" i="11"/>
  <c r="I769" i="11"/>
  <c r="I768" i="11"/>
  <c r="I767" i="11"/>
  <c r="I766" i="11"/>
  <c r="I765" i="11"/>
  <c r="I764" i="11"/>
  <c r="I763" i="11"/>
  <c r="I762" i="11"/>
  <c r="I761" i="11"/>
  <c r="I760" i="11"/>
  <c r="I759" i="11"/>
  <c r="I758" i="11"/>
  <c r="I757" i="11"/>
  <c r="I756" i="11"/>
  <c r="I755" i="11"/>
  <c r="I754" i="11"/>
  <c r="I753" i="11"/>
  <c r="I752" i="11"/>
  <c r="I751" i="11"/>
  <c r="I750" i="11"/>
  <c r="I749" i="11"/>
  <c r="I748" i="11"/>
  <c r="I747" i="11"/>
  <c r="I746" i="11"/>
  <c r="I745" i="11"/>
  <c r="I744" i="11"/>
  <c r="I743" i="11"/>
  <c r="I742" i="11"/>
  <c r="I741" i="11"/>
  <c r="I740" i="11"/>
  <c r="I739" i="11"/>
  <c r="I738" i="11"/>
  <c r="I737" i="11"/>
  <c r="I736" i="11"/>
  <c r="I735" i="11"/>
  <c r="I734" i="11"/>
  <c r="I733" i="11"/>
  <c r="I732" i="11"/>
  <c r="I731" i="11"/>
  <c r="I730" i="11"/>
  <c r="I729" i="11"/>
  <c r="I728" i="11"/>
  <c r="I727" i="11"/>
  <c r="I726" i="11"/>
  <c r="I725" i="11"/>
  <c r="I724" i="11"/>
  <c r="I723" i="11"/>
  <c r="I722" i="11"/>
  <c r="I721" i="11"/>
  <c r="I720" i="11"/>
  <c r="I719" i="11"/>
  <c r="I718" i="11"/>
  <c r="I717" i="11"/>
  <c r="I716" i="11"/>
  <c r="I715" i="11"/>
  <c r="I714" i="11"/>
  <c r="I713" i="11"/>
  <c r="I712" i="11"/>
  <c r="I708" i="11"/>
  <c r="I707" i="11"/>
  <c r="I706" i="11"/>
  <c r="I705" i="11"/>
  <c r="I701" i="11"/>
  <c r="I700" i="11"/>
  <c r="I699" i="11"/>
  <c r="I698" i="11"/>
  <c r="I697" i="11"/>
  <c r="I696" i="11"/>
  <c r="I695" i="11"/>
  <c r="I694" i="11"/>
  <c r="I693" i="11"/>
  <c r="I692" i="11"/>
  <c r="I691" i="11"/>
  <c r="I690" i="11"/>
  <c r="I689" i="11"/>
  <c r="I688" i="11"/>
  <c r="I682" i="11"/>
  <c r="I681" i="11"/>
  <c r="I680" i="11"/>
  <c r="I679" i="11"/>
  <c r="I660" i="11"/>
  <c r="I659" i="11"/>
  <c r="I658" i="11"/>
  <c r="I657" i="11"/>
  <c r="I656" i="11"/>
  <c r="I655" i="11"/>
  <c r="I654" i="11"/>
  <c r="I653" i="11"/>
  <c r="I652" i="11"/>
  <c r="I651" i="11"/>
  <c r="I650" i="11"/>
  <c r="I649" i="11"/>
  <c r="I648" i="11"/>
  <c r="I647" i="11"/>
  <c r="I646" i="11"/>
  <c r="I64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29" i="11"/>
  <c r="I628" i="11"/>
  <c r="I627" i="11"/>
  <c r="I626" i="11"/>
  <c r="I625" i="11"/>
  <c r="I624" i="11"/>
  <c r="I623" i="11"/>
  <c r="I622" i="11"/>
  <c r="I621" i="11"/>
  <c r="I620" i="11"/>
  <c r="I619" i="11"/>
  <c r="I618" i="11"/>
  <c r="I617" i="11"/>
  <c r="I616" i="11"/>
  <c r="I615" i="11"/>
  <c r="I614" i="11"/>
  <c r="I611" i="11"/>
  <c r="I610" i="11"/>
  <c r="I609" i="11"/>
  <c r="I608" i="11"/>
  <c r="I607" i="11"/>
  <c r="I606" i="11"/>
  <c r="I605" i="11"/>
  <c r="I604" i="11"/>
  <c r="I603" i="11"/>
  <c r="I602" i="11"/>
  <c r="I601" i="11"/>
  <c r="I600" i="11"/>
  <c r="I599" i="11"/>
  <c r="I598" i="11"/>
  <c r="I597" i="11"/>
  <c r="I596" i="11"/>
  <c r="I595" i="11"/>
  <c r="I592" i="11"/>
  <c r="I591" i="11"/>
  <c r="I590" i="11"/>
  <c r="I589" i="11"/>
  <c r="I588" i="11"/>
  <c r="I587" i="11"/>
  <c r="I586" i="11"/>
  <c r="I585" i="11"/>
  <c r="I584" i="11"/>
  <c r="I583" i="11"/>
  <c r="I582" i="11"/>
  <c r="I581" i="11"/>
  <c r="I580" i="11"/>
  <c r="I579" i="11"/>
  <c r="I578" i="11"/>
  <c r="I577" i="11"/>
  <c r="I576" i="11"/>
  <c r="I575" i="11"/>
  <c r="I574" i="11"/>
  <c r="I571" i="11"/>
  <c r="I570" i="11"/>
  <c r="I569" i="11"/>
  <c r="I563" i="11"/>
  <c r="I562" i="11"/>
  <c r="I561" i="11"/>
  <c r="I560" i="11"/>
  <c r="I556" i="11"/>
  <c r="I555" i="11"/>
  <c r="I554" i="11"/>
  <c r="I553" i="11"/>
  <c r="I546" i="11"/>
  <c r="I545" i="11"/>
  <c r="I544" i="11"/>
  <c r="I537" i="11"/>
  <c r="I536" i="11"/>
  <c r="I535" i="11"/>
  <c r="I534" i="11"/>
  <c r="I533" i="11"/>
  <c r="I532" i="11"/>
  <c r="I531" i="11"/>
  <c r="I530" i="11"/>
  <c r="I529" i="11"/>
  <c r="I525" i="11"/>
  <c r="I524" i="11"/>
  <c r="I523" i="11"/>
  <c r="I522" i="11"/>
  <c r="I521" i="11"/>
  <c r="I520" i="11"/>
  <c r="I519" i="11"/>
  <c r="I518" i="11"/>
  <c r="I517" i="11"/>
  <c r="I516" i="11"/>
  <c r="I515" i="11"/>
  <c r="I514" i="11"/>
  <c r="I513" i="11"/>
  <c r="I512" i="11"/>
  <c r="I511" i="11"/>
  <c r="I510" i="11"/>
  <c r="I509" i="11"/>
  <c r="I508" i="11"/>
  <c r="I500" i="11"/>
  <c r="I499" i="11"/>
  <c r="I498" i="11"/>
  <c r="I497" i="11"/>
  <c r="I496" i="11"/>
  <c r="I495" i="11"/>
  <c r="I494" i="11"/>
  <c r="I493" i="11"/>
  <c r="I470" i="11"/>
  <c r="I469" i="11"/>
  <c r="I468" i="11"/>
  <c r="I467" i="11"/>
  <c r="I466" i="11"/>
  <c r="I465" i="11"/>
  <c r="I464" i="11"/>
  <c r="I463" i="11"/>
  <c r="I462" i="11"/>
  <c r="I461" i="11"/>
  <c r="I460" i="11"/>
  <c r="I459" i="11"/>
  <c r="I458" i="11"/>
  <c r="I457" i="11"/>
  <c r="I456" i="11"/>
  <c r="I455" i="11"/>
  <c r="I454" i="11"/>
  <c r="I453" i="11"/>
  <c r="I452" i="11"/>
  <c r="I451" i="11"/>
  <c r="I450" i="11"/>
  <c r="I449" i="11"/>
  <c r="I448" i="11"/>
  <c r="I447" i="11"/>
  <c r="I446" i="11"/>
  <c r="I445" i="11"/>
  <c r="I444" i="11"/>
  <c r="I443" i="11"/>
  <c r="I442" i="11"/>
  <c r="I441" i="11"/>
  <c r="I440" i="11"/>
  <c r="I438" i="11"/>
  <c r="I437" i="11"/>
  <c r="I436" i="11"/>
  <c r="I435" i="11"/>
  <c r="I434" i="11"/>
  <c r="I433" i="11"/>
  <c r="I432" i="11"/>
  <c r="I431" i="11"/>
  <c r="I430" i="11"/>
  <c r="I429" i="11"/>
  <c r="I428" i="11"/>
  <c r="I427" i="11"/>
  <c r="I426" i="11"/>
  <c r="I425" i="11"/>
  <c r="I424" i="11"/>
  <c r="I423" i="11"/>
  <c r="I422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3" i="11"/>
  <c r="I392" i="11"/>
  <c r="I391" i="11"/>
  <c r="I390" i="11"/>
  <c r="I389" i="11"/>
  <c r="I388" i="11"/>
  <c r="I387" i="11"/>
  <c r="I386" i="11"/>
  <c r="I385" i="11"/>
  <c r="I384" i="11"/>
  <c r="I383" i="11"/>
  <c r="I382" i="11"/>
  <c r="I381" i="11"/>
  <c r="I380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367" i="11"/>
  <c r="I366" i="11"/>
  <c r="I365" i="11"/>
  <c r="I364" i="11"/>
  <c r="I361" i="11"/>
  <c r="I360" i="11"/>
  <c r="I359" i="11"/>
  <c r="I358" i="11"/>
  <c r="I357" i="11"/>
  <c r="I356" i="11"/>
  <c r="I355" i="11"/>
  <c r="I354" i="11"/>
  <c r="I353" i="11"/>
  <c r="I352" i="11"/>
  <c r="I351" i="11"/>
  <c r="I350" i="11"/>
  <c r="I349" i="11"/>
  <c r="I348" i="11"/>
  <c r="I347" i="11"/>
  <c r="I346" i="11"/>
  <c r="I345" i="11"/>
  <c r="I344" i="11"/>
  <c r="I343" i="11"/>
  <c r="I342" i="11"/>
  <c r="I339" i="11"/>
  <c r="I338" i="11"/>
  <c r="I337" i="11"/>
  <c r="I336" i="11"/>
  <c r="I335" i="11"/>
  <c r="I334" i="11"/>
  <c r="I333" i="11"/>
  <c r="I332" i="11"/>
  <c r="I331" i="11"/>
  <c r="I330" i="11"/>
  <c r="I329" i="11"/>
  <c r="I328" i="11"/>
  <c r="I327" i="1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8" i="11"/>
  <c r="I297" i="11"/>
  <c r="I296" i="11"/>
  <c r="I295" i="11"/>
  <c r="I294" i="11"/>
  <c r="I293" i="11"/>
  <c r="I292" i="11"/>
  <c r="I291" i="11"/>
  <c r="I290" i="11"/>
  <c r="I289" i="11"/>
  <c r="I288" i="11"/>
  <c r="I287" i="11"/>
  <c r="I286" i="11"/>
  <c r="I285" i="11"/>
  <c r="I284" i="11"/>
  <c r="I279" i="11"/>
  <c r="I278" i="11"/>
  <c r="I277" i="11"/>
  <c r="I276" i="11"/>
  <c r="I275" i="11"/>
  <c r="I274" i="11"/>
  <c r="I273" i="11"/>
  <c r="I272" i="11"/>
  <c r="I271" i="11"/>
  <c r="I270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3" i="11"/>
  <c r="I162" i="11"/>
  <c r="I161" i="11"/>
  <c r="I160" i="11"/>
  <c r="I159" i="11"/>
  <c r="I158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84" i="11"/>
  <c r="I83" i="11"/>
  <c r="I82" i="11"/>
  <c r="I81" i="11"/>
  <c r="I80" i="11"/>
  <c r="I79" i="11"/>
  <c r="I78" i="11"/>
  <c r="I77" i="11"/>
  <c r="I76" i="11"/>
  <c r="I75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H670" i="11" l="1"/>
  <c r="I671" i="11"/>
  <c r="K670" i="11"/>
  <c r="L671" i="11"/>
  <c r="I439" i="11"/>
  <c r="I501" i="11"/>
  <c r="I312" i="15"/>
  <c r="H311" i="15"/>
  <c r="H310" i="15" s="1"/>
  <c r="J739" i="13"/>
  <c r="P739" i="13"/>
  <c r="F312" i="15"/>
  <c r="E311" i="15"/>
  <c r="E310" i="15" s="1"/>
  <c r="L502" i="11"/>
  <c r="K501" i="11"/>
  <c r="K439" i="11" s="1"/>
  <c r="E593" i="14"/>
  <c r="F593" i="14" s="1"/>
  <c r="F594" i="14"/>
  <c r="F440" i="14"/>
  <c r="E439" i="14"/>
  <c r="F439" i="14" s="1"/>
  <c r="H669" i="11" l="1"/>
  <c r="I670" i="11"/>
  <c r="K669" i="11"/>
  <c r="L670" i="11"/>
  <c r="I311" i="15"/>
  <c r="N730" i="13"/>
  <c r="P738" i="13"/>
  <c r="F311" i="15"/>
  <c r="H730" i="13"/>
  <c r="J738" i="13"/>
  <c r="L501" i="11"/>
  <c r="H661" i="11" l="1"/>
  <c r="I669" i="11"/>
  <c r="K661" i="11"/>
  <c r="L669" i="11"/>
  <c r="H729" i="13"/>
  <c r="J730" i="13"/>
  <c r="N729" i="13"/>
  <c r="P730" i="13"/>
  <c r="I310" i="15"/>
  <c r="H302" i="15"/>
  <c r="F310" i="15"/>
  <c r="E302" i="15"/>
  <c r="L439" i="11"/>
  <c r="I661" i="11" l="1"/>
  <c r="H12" i="11"/>
  <c r="L661" i="11"/>
  <c r="K12" i="11"/>
  <c r="K1338" i="11" s="1"/>
  <c r="L1338" i="11" s="1"/>
  <c r="N728" i="13"/>
  <c r="N720" i="13" s="1"/>
  <c r="P729" i="13"/>
  <c r="H301" i="15"/>
  <c r="I302" i="15"/>
  <c r="H728" i="13"/>
  <c r="H720" i="13" s="1"/>
  <c r="J729" i="13"/>
  <c r="E301" i="15"/>
  <c r="F302" i="15"/>
  <c r="I1357" i="12"/>
  <c r="I1356" i="12" s="1"/>
  <c r="I1355" i="12" s="1"/>
  <c r="I1354" i="12" s="1"/>
  <c r="I1353" i="12" s="1"/>
  <c r="I1352" i="12" s="1"/>
  <c r="I1351" i="12" s="1"/>
  <c r="H1358" i="12"/>
  <c r="E555" i="14" s="1"/>
  <c r="I1349" i="12"/>
  <c r="I1348" i="12" s="1"/>
  <c r="I1347" i="12" s="1"/>
  <c r="I1346" i="12" s="1"/>
  <c r="I1345" i="12" s="1"/>
  <c r="H1350" i="12"/>
  <c r="E842" i="14" s="1"/>
  <c r="I1338" i="12"/>
  <c r="I1337" i="12" s="1"/>
  <c r="H1339" i="12"/>
  <c r="E666" i="14" s="1"/>
  <c r="I1335" i="12"/>
  <c r="I1334" i="12" s="1"/>
  <c r="H1336" i="12"/>
  <c r="E663" i="14" s="1"/>
  <c r="I1332" i="12"/>
  <c r="I1331" i="12" s="1"/>
  <c r="H1333" i="12"/>
  <c r="E660" i="14" s="1"/>
  <c r="I1326" i="12"/>
  <c r="I1325" i="12" s="1"/>
  <c r="H1327" i="12"/>
  <c r="H1326" i="12" s="1"/>
  <c r="H1325" i="12" s="1"/>
  <c r="I1319" i="12"/>
  <c r="I1318" i="12" s="1"/>
  <c r="I1322" i="12"/>
  <c r="I1321" i="12" s="1"/>
  <c r="H1323" i="12"/>
  <c r="H1322" i="12" s="1"/>
  <c r="H1321" i="12" s="1"/>
  <c r="H1320" i="12"/>
  <c r="H1319" i="12" s="1"/>
  <c r="H1318" i="12" s="1"/>
  <c r="I1312" i="12"/>
  <c r="I1311" i="12" s="1"/>
  <c r="H1313" i="12"/>
  <c r="E650" i="14" s="1"/>
  <c r="I1309" i="12"/>
  <c r="I1308" i="12" s="1"/>
  <c r="H1310" i="12"/>
  <c r="H1309" i="12" s="1"/>
  <c r="H1308" i="12" s="1"/>
  <c r="I1293" i="12"/>
  <c r="I1292" i="12" s="1"/>
  <c r="I1296" i="12"/>
  <c r="I1295" i="12" s="1"/>
  <c r="H1297" i="12"/>
  <c r="H1294" i="12"/>
  <c r="H1293" i="12" s="1"/>
  <c r="H1292" i="12" s="1"/>
  <c r="I1283" i="12"/>
  <c r="I1282" i="12" s="1"/>
  <c r="I1281" i="12" s="1"/>
  <c r="I1280" i="12" s="1"/>
  <c r="I1278" i="12"/>
  <c r="I1277" i="12" s="1"/>
  <c r="H1279" i="12"/>
  <c r="H1278" i="12" s="1"/>
  <c r="H1277" i="12" s="1"/>
  <c r="I1275" i="12"/>
  <c r="I1273" i="12"/>
  <c r="I1271" i="12"/>
  <c r="H1276" i="12"/>
  <c r="E265" i="14" s="1"/>
  <c r="H1274" i="12"/>
  <c r="E263" i="14" s="1"/>
  <c r="H1272" i="12"/>
  <c r="E261" i="14" s="1"/>
  <c r="I1263" i="12"/>
  <c r="I1265" i="12"/>
  <c r="H1266" i="12"/>
  <c r="E237" i="14" s="1"/>
  <c r="H1264" i="12"/>
  <c r="E235" i="14" s="1"/>
  <c r="I12" i="11" l="1"/>
  <c r="H1338" i="11"/>
  <c r="L12" i="11"/>
  <c r="I1324" i="12"/>
  <c r="F301" i="15"/>
  <c r="E927" i="15"/>
  <c r="E980" i="15" s="1"/>
  <c r="H927" i="15"/>
  <c r="H980" i="15" s="1"/>
  <c r="I301" i="15"/>
  <c r="J728" i="13"/>
  <c r="H1205" i="13"/>
  <c r="N1205" i="13"/>
  <c r="P728" i="13"/>
  <c r="E647" i="14"/>
  <c r="E646" i="14" s="1"/>
  <c r="H1273" i="12"/>
  <c r="H1332" i="12"/>
  <c r="H1331" i="12" s="1"/>
  <c r="H1335" i="12"/>
  <c r="H1334" i="12" s="1"/>
  <c r="H1349" i="12"/>
  <c r="H1348" i="12" s="1"/>
  <c r="H1347" i="12" s="1"/>
  <c r="H1346" i="12" s="1"/>
  <c r="H1345" i="12" s="1"/>
  <c r="E260" i="14"/>
  <c r="F261" i="14"/>
  <c r="E649" i="14"/>
  <c r="F650" i="14"/>
  <c r="E262" i="14"/>
  <c r="F262" i="14" s="1"/>
  <c r="F263" i="14"/>
  <c r="H1271" i="12"/>
  <c r="H1312" i="12"/>
  <c r="H1311" i="12" s="1"/>
  <c r="H1307" i="12" s="1"/>
  <c r="H1306" i="12" s="1"/>
  <c r="E662" i="14"/>
  <c r="F663" i="14"/>
  <c r="H1338" i="12"/>
  <c r="H1337" i="12" s="1"/>
  <c r="E236" i="14"/>
  <c r="F236" i="14" s="1"/>
  <c r="F237" i="14"/>
  <c r="E665" i="14"/>
  <c r="F666" i="14"/>
  <c r="H1265" i="12"/>
  <c r="E264" i="14"/>
  <c r="F264" i="14" s="1"/>
  <c r="F265" i="14"/>
  <c r="H1296" i="12"/>
  <c r="H1295" i="12" s="1"/>
  <c r="H1291" i="12" s="1"/>
  <c r="H1290" i="12" s="1"/>
  <c r="H1289" i="12" s="1"/>
  <c r="H1288" i="12" s="1"/>
  <c r="E554" i="14"/>
  <c r="F555" i="14"/>
  <c r="E234" i="14"/>
  <c r="F235" i="14"/>
  <c r="H1263" i="12"/>
  <c r="H1275" i="12"/>
  <c r="E644" i="14"/>
  <c r="E659" i="14"/>
  <c r="F660" i="14"/>
  <c r="E841" i="14"/>
  <c r="F842" i="14"/>
  <c r="H1357" i="12"/>
  <c r="H1356" i="12" s="1"/>
  <c r="H1355" i="12" s="1"/>
  <c r="H1354" i="12" s="1"/>
  <c r="H1353" i="12" s="1"/>
  <c r="H1352" i="12" s="1"/>
  <c r="H1351" i="12" s="1"/>
  <c r="I1262" i="12"/>
  <c r="I1261" i="12" s="1"/>
  <c r="I1260" i="12" s="1"/>
  <c r="I1259" i="12" s="1"/>
  <c r="H1317" i="12"/>
  <c r="I1317" i="12"/>
  <c r="I1291" i="12"/>
  <c r="I1290" i="12" s="1"/>
  <c r="I1289" i="12" s="1"/>
  <c r="I1288" i="12" s="1"/>
  <c r="I1307" i="12"/>
  <c r="I1306" i="12" s="1"/>
  <c r="I1305" i="12" s="1"/>
  <c r="I1298" i="12" s="1"/>
  <c r="I1270" i="12"/>
  <c r="I1269" i="12" s="1"/>
  <c r="I1268" i="12" s="1"/>
  <c r="I1267" i="12" s="1"/>
  <c r="I1246" i="12"/>
  <c r="I1245" i="12" s="1"/>
  <c r="I1244" i="12" s="1"/>
  <c r="I1243" i="12" s="1"/>
  <c r="H1248" i="12"/>
  <c r="E275" i="14" s="1"/>
  <c r="F275" i="14" s="1"/>
  <c r="H1247" i="12"/>
  <c r="E274" i="14" s="1"/>
  <c r="I1240" i="12"/>
  <c r="I1239" i="12" s="1"/>
  <c r="H1242" i="12"/>
  <c r="E269" i="14" s="1"/>
  <c r="F269" i="14" s="1"/>
  <c r="H1241" i="12"/>
  <c r="E268" i="14" s="1"/>
  <c r="I1237" i="12"/>
  <c r="I1236" i="12" s="1"/>
  <c r="I1235" i="12" s="1"/>
  <c r="I1234" i="12" s="1"/>
  <c r="H1238" i="12"/>
  <c r="E258" i="14" s="1"/>
  <c r="I1230" i="12"/>
  <c r="I1229" i="12" s="1"/>
  <c r="I1228" i="12" s="1"/>
  <c r="I1227" i="12" s="1"/>
  <c r="I1226" i="12" s="1"/>
  <c r="H1232" i="12"/>
  <c r="H1231" i="12"/>
  <c r="I1222" i="12"/>
  <c r="I1221" i="12" s="1"/>
  <c r="I1220" i="12" s="1"/>
  <c r="I1219" i="12" s="1"/>
  <c r="I1218" i="12" s="1"/>
  <c r="I1217" i="12" s="1"/>
  <c r="H1223" i="12"/>
  <c r="E252" i="14" s="1"/>
  <c r="H1216" i="12"/>
  <c r="E458" i="14" s="1"/>
  <c r="I1210" i="12"/>
  <c r="I1209" i="12" s="1"/>
  <c r="I1208" i="12" s="1"/>
  <c r="I1207" i="12" s="1"/>
  <c r="H1211" i="12"/>
  <c r="E453" i="14" s="1"/>
  <c r="H1205" i="12"/>
  <c r="E107" i="14" s="1"/>
  <c r="H1203" i="12"/>
  <c r="E105" i="14" s="1"/>
  <c r="I1195" i="12"/>
  <c r="I1194" i="12" s="1"/>
  <c r="H1196" i="12"/>
  <c r="E1099" i="14" s="1"/>
  <c r="I1192" i="12"/>
  <c r="I1191" i="12" s="1"/>
  <c r="I1190" i="12" s="1"/>
  <c r="H1193" i="12"/>
  <c r="E1091" i="14" s="1"/>
  <c r="I1188" i="12"/>
  <c r="I1187" i="12" s="1"/>
  <c r="I1186" i="12" s="1"/>
  <c r="I1185" i="12" s="1"/>
  <c r="I1184" i="12" s="1"/>
  <c r="H1189" i="12"/>
  <c r="E463" i="14" s="1"/>
  <c r="H1183" i="12"/>
  <c r="E203" i="14" s="1"/>
  <c r="H1181" i="12"/>
  <c r="E201" i="14" s="1"/>
  <c r="I1174" i="12"/>
  <c r="I1173" i="12" s="1"/>
  <c r="I1172" i="12" s="1"/>
  <c r="I1171" i="12" s="1"/>
  <c r="I1170" i="12" s="1"/>
  <c r="H1175" i="12"/>
  <c r="I1167" i="12"/>
  <c r="I1166" i="12" s="1"/>
  <c r="I1165" i="12" s="1"/>
  <c r="I1164" i="12" s="1"/>
  <c r="I1163" i="12" s="1"/>
  <c r="I1162" i="12" s="1"/>
  <c r="H1168" i="12"/>
  <c r="E212" i="14" s="1"/>
  <c r="I1159" i="12"/>
  <c r="I1158" i="12" s="1"/>
  <c r="I1157" i="12" s="1"/>
  <c r="H1160" i="12"/>
  <c r="E1084" i="14" s="1"/>
  <c r="I1155" i="12"/>
  <c r="I1154" i="12" s="1"/>
  <c r="I1153" i="12" s="1"/>
  <c r="I1152" i="12" s="1"/>
  <c r="I1151" i="12" s="1"/>
  <c r="H1156" i="12"/>
  <c r="H1155" i="12" s="1"/>
  <c r="H1154" i="12" s="1"/>
  <c r="H1153" i="12" s="1"/>
  <c r="H1152" i="12" s="1"/>
  <c r="H1151" i="12" s="1"/>
  <c r="I1148" i="12"/>
  <c r="I1147" i="12" s="1"/>
  <c r="I1144" i="12"/>
  <c r="I1143" i="12" s="1"/>
  <c r="I1132" i="12"/>
  <c r="I1134" i="12"/>
  <c r="H1135" i="12"/>
  <c r="E84" i="14" s="1"/>
  <c r="H1133" i="12"/>
  <c r="E82" i="14" s="1"/>
  <c r="I1124" i="12"/>
  <c r="I1123" i="12" s="1"/>
  <c r="I1122" i="12" s="1"/>
  <c r="I1126" i="12"/>
  <c r="H1125" i="12"/>
  <c r="E60" i="14" s="1"/>
  <c r="H1128" i="12"/>
  <c r="E63" i="14" s="1"/>
  <c r="F63" i="14" s="1"/>
  <c r="H1127" i="12"/>
  <c r="E62" i="14" s="1"/>
  <c r="I1118" i="12"/>
  <c r="I1120" i="12"/>
  <c r="H1121" i="12"/>
  <c r="E56" i="14" s="1"/>
  <c r="H1119" i="12"/>
  <c r="E54" i="14" s="1"/>
  <c r="I1114" i="12"/>
  <c r="I1113" i="12" s="1"/>
  <c r="H1115" i="12"/>
  <c r="E50" i="14" s="1"/>
  <c r="I1111" i="12"/>
  <c r="I1110" i="12" s="1"/>
  <c r="H1112" i="12"/>
  <c r="E47" i="14" s="1"/>
  <c r="I1107" i="12"/>
  <c r="I1106" i="12" s="1"/>
  <c r="H1109" i="12"/>
  <c r="E41" i="14" s="1"/>
  <c r="H1108" i="12"/>
  <c r="E40" i="14" s="1"/>
  <c r="I1101" i="12"/>
  <c r="I1100" i="12" s="1"/>
  <c r="H1103" i="12"/>
  <c r="E31" i="14" s="1"/>
  <c r="F31" i="14" s="1"/>
  <c r="H1102" i="12"/>
  <c r="E30" i="14" s="1"/>
  <c r="I1096" i="12"/>
  <c r="I1095" i="12" s="1"/>
  <c r="H1097" i="12"/>
  <c r="E25" i="14" s="1"/>
  <c r="I1091" i="12"/>
  <c r="I1090" i="12" s="1"/>
  <c r="I1089" i="12" s="1"/>
  <c r="I1088" i="12" s="1"/>
  <c r="H1092" i="12"/>
  <c r="E20" i="14" s="1"/>
  <c r="I1080" i="12"/>
  <c r="I1079" i="12" s="1"/>
  <c r="I1083" i="12"/>
  <c r="I1082" i="12" s="1"/>
  <c r="H1084" i="12"/>
  <c r="E631" i="14" s="1"/>
  <c r="H1081" i="12"/>
  <c r="E599" i="14" s="1"/>
  <c r="I1071" i="12"/>
  <c r="H1074" i="12"/>
  <c r="H1073" i="12" s="1"/>
  <c r="H1072" i="12"/>
  <c r="E244" i="14" s="1"/>
  <c r="I1065" i="12"/>
  <c r="I1064" i="12" s="1"/>
  <c r="H1066" i="12"/>
  <c r="E195" i="14" s="1"/>
  <c r="I1062" i="12"/>
  <c r="I1061" i="12" s="1"/>
  <c r="H1063" i="12"/>
  <c r="E192" i="14" s="1"/>
  <c r="I1055" i="12"/>
  <c r="I1057" i="12"/>
  <c r="H1058" i="12"/>
  <c r="H1057" i="12" s="1"/>
  <c r="H1056" i="12"/>
  <c r="H1055" i="12" s="1"/>
  <c r="I1047" i="12"/>
  <c r="I1046" i="12" s="1"/>
  <c r="H1049" i="12"/>
  <c r="E716" i="14" s="1"/>
  <c r="F716" i="14" s="1"/>
  <c r="H1048" i="12"/>
  <c r="E715" i="14" s="1"/>
  <c r="I1044" i="12"/>
  <c r="I1043" i="12" s="1"/>
  <c r="H1045" i="12"/>
  <c r="E712" i="14" s="1"/>
  <c r="I1039" i="12"/>
  <c r="H1042" i="12"/>
  <c r="H1041" i="12" s="1"/>
  <c r="H1040" i="12"/>
  <c r="E682" i="14" s="1"/>
  <c r="I1033" i="12"/>
  <c r="I1032" i="12" s="1"/>
  <c r="I1031" i="12" s="1"/>
  <c r="I1030" i="12" s="1"/>
  <c r="I1029" i="12" s="1"/>
  <c r="H1034" i="12"/>
  <c r="I1026" i="12"/>
  <c r="I1025" i="12" s="1"/>
  <c r="I1024" i="12" s="1"/>
  <c r="I1023" i="12" s="1"/>
  <c r="I1022" i="12" s="1"/>
  <c r="I1021" i="12" s="1"/>
  <c r="H1027" i="12"/>
  <c r="E550" i="14" s="1"/>
  <c r="I1019" i="12"/>
  <c r="I1018" i="12" s="1"/>
  <c r="I1017" i="12" s="1"/>
  <c r="I1016" i="12" s="1"/>
  <c r="I1015" i="12" s="1"/>
  <c r="H1020" i="12"/>
  <c r="I1007" i="12"/>
  <c r="I1006" i="12" s="1"/>
  <c r="I1005" i="12" s="1"/>
  <c r="H1009" i="12"/>
  <c r="E182" i="14" s="1"/>
  <c r="F182" i="14" s="1"/>
  <c r="H1008" i="12"/>
  <c r="E181" i="14" s="1"/>
  <c r="I1002" i="12"/>
  <c r="I1001" i="12" s="1"/>
  <c r="I1000" i="12" s="1"/>
  <c r="H1004" i="12"/>
  <c r="E177" i="14" s="1"/>
  <c r="F177" i="14" s="1"/>
  <c r="H1003" i="12"/>
  <c r="E176" i="14" s="1"/>
  <c r="I995" i="12"/>
  <c r="I994" i="12" s="1"/>
  <c r="H996" i="12"/>
  <c r="E1030" i="14" s="1"/>
  <c r="I992" i="12"/>
  <c r="I991" i="12" s="1"/>
  <c r="H993" i="12"/>
  <c r="E1027" i="14" s="1"/>
  <c r="I982" i="12"/>
  <c r="I981" i="12" s="1"/>
  <c r="I980" i="12" s="1"/>
  <c r="H983" i="12"/>
  <c r="E1017" i="14" s="1"/>
  <c r="H968" i="12"/>
  <c r="E162" i="14" s="1"/>
  <c r="F162" i="14" s="1"/>
  <c r="H967" i="12"/>
  <c r="E161" i="14" s="1"/>
  <c r="H964" i="12"/>
  <c r="E158" i="14" s="1"/>
  <c r="F158" i="14" s="1"/>
  <c r="H963" i="12"/>
  <c r="E157" i="14" s="1"/>
  <c r="F157" i="14" s="1"/>
  <c r="H962" i="12"/>
  <c r="E156" i="14" s="1"/>
  <c r="H952" i="12"/>
  <c r="E141" i="14" s="1"/>
  <c r="H948" i="12"/>
  <c r="E137" i="14" s="1"/>
  <c r="H944" i="12"/>
  <c r="I935" i="12"/>
  <c r="H937" i="12"/>
  <c r="E126" i="14" s="1"/>
  <c r="F126" i="14" s="1"/>
  <c r="H936" i="12"/>
  <c r="I933" i="12"/>
  <c r="H934" i="12"/>
  <c r="I923" i="12"/>
  <c r="I922" i="12" s="1"/>
  <c r="H924" i="12"/>
  <c r="E1010" i="14" s="1"/>
  <c r="I917" i="12"/>
  <c r="I916" i="12" s="1"/>
  <c r="I915" i="12" s="1"/>
  <c r="H918" i="12"/>
  <c r="E221" i="14" s="1"/>
  <c r="I903" i="12"/>
  <c r="I902" i="12" s="1"/>
  <c r="H905" i="12"/>
  <c r="E111" i="14" s="1"/>
  <c r="F111" i="14" s="1"/>
  <c r="H904" i="12"/>
  <c r="E110" i="14" s="1"/>
  <c r="H901" i="12"/>
  <c r="E100" i="14" s="1"/>
  <c r="H898" i="12"/>
  <c r="E97" i="14" s="1"/>
  <c r="F97" i="14" s="1"/>
  <c r="H897" i="12"/>
  <c r="E96" i="14" s="1"/>
  <c r="I892" i="12"/>
  <c r="I889" i="12" s="1"/>
  <c r="H894" i="12"/>
  <c r="E93" i="14" s="1"/>
  <c r="F93" i="14" s="1"/>
  <c r="H893" i="12"/>
  <c r="E92" i="14" s="1"/>
  <c r="H891" i="12"/>
  <c r="E90" i="14" s="1"/>
  <c r="I877" i="12"/>
  <c r="I876" i="12" s="1"/>
  <c r="I875" i="12" s="1"/>
  <c r="H878" i="12"/>
  <c r="E330" i="14" s="1"/>
  <c r="H1324" i="12" l="1"/>
  <c r="H1305" i="12"/>
  <c r="H1298" i="12" s="1"/>
  <c r="H1262" i="12"/>
  <c r="H1261" i="12" s="1"/>
  <c r="H1260" i="12" s="1"/>
  <c r="H1259" i="12" s="1"/>
  <c r="I1105" i="12"/>
  <c r="I1104" i="12" s="1"/>
  <c r="E224" i="14"/>
  <c r="E233" i="14"/>
  <c r="E225" i="14"/>
  <c r="F225" i="14" s="1"/>
  <c r="H1144" i="12"/>
  <c r="H1143" i="12" s="1"/>
  <c r="H1283" i="12"/>
  <c r="H1282" i="12" s="1"/>
  <c r="H1281" i="12" s="1"/>
  <c r="H1280" i="12" s="1"/>
  <c r="E133" i="14"/>
  <c r="E132" i="14" s="1"/>
  <c r="H943" i="12"/>
  <c r="H942" i="12" s="1"/>
  <c r="E259" i="14"/>
  <c r="F259" i="14" s="1"/>
  <c r="P720" i="13"/>
  <c r="P1205" i="13"/>
  <c r="J720" i="13"/>
  <c r="J1205" i="13"/>
  <c r="F647" i="14"/>
  <c r="E123" i="14"/>
  <c r="F123" i="14" s="1"/>
  <c r="H1080" i="12"/>
  <c r="H1079" i="12" s="1"/>
  <c r="H982" i="12"/>
  <c r="H981" i="12" s="1"/>
  <c r="H980" i="12" s="1"/>
  <c r="E246" i="14"/>
  <c r="E125" i="14"/>
  <c r="E124" i="14" s="1"/>
  <c r="H1204" i="12"/>
  <c r="I1205" i="12"/>
  <c r="I1362" i="12" s="1"/>
  <c r="H933" i="12"/>
  <c r="H1180" i="12"/>
  <c r="I967" i="12"/>
  <c r="I968" i="12"/>
  <c r="H1083" i="12"/>
  <c r="H1082" i="12" s="1"/>
  <c r="H1124" i="12"/>
  <c r="H935" i="12"/>
  <c r="H1132" i="12"/>
  <c r="H1270" i="12"/>
  <c r="H1269" i="12" s="1"/>
  <c r="H1268" i="12" s="1"/>
  <c r="H1267" i="12" s="1"/>
  <c r="H1258" i="12" s="1"/>
  <c r="H917" i="12"/>
  <c r="H916" i="12" s="1"/>
  <c r="H915" i="12" s="1"/>
  <c r="H1026" i="12"/>
  <c r="H1025" i="12" s="1"/>
  <c r="H1024" i="12" s="1"/>
  <c r="H1023" i="12" s="1"/>
  <c r="H1022" i="12" s="1"/>
  <c r="H1021" i="12" s="1"/>
  <c r="H1111" i="12"/>
  <c r="H1110" i="12" s="1"/>
  <c r="H1118" i="12"/>
  <c r="I1181" i="12"/>
  <c r="I1180" i="12" s="1"/>
  <c r="H1195" i="12"/>
  <c r="H1194" i="12" s="1"/>
  <c r="H1202" i="12"/>
  <c r="H1230" i="12"/>
  <c r="H1229" i="12" s="1"/>
  <c r="H1228" i="12" s="1"/>
  <c r="H1227" i="12" s="1"/>
  <c r="H1226" i="12" s="1"/>
  <c r="H1316" i="12"/>
  <c r="H896" i="12"/>
  <c r="H895" i="12" s="1"/>
  <c r="H900" i="12"/>
  <c r="H899" i="12" s="1"/>
  <c r="I944" i="12"/>
  <c r="H992" i="12"/>
  <c r="H991" i="12" s="1"/>
  <c r="H1033" i="12"/>
  <c r="H1032" i="12" s="1"/>
  <c r="H1031" i="12" s="1"/>
  <c r="H1030" i="12" s="1"/>
  <c r="H1029" i="12" s="1"/>
  <c r="H1071" i="12"/>
  <c r="H1070" i="12" s="1"/>
  <c r="H1069" i="12" s="1"/>
  <c r="H1068" i="12" s="1"/>
  <c r="H1067" i="12" s="1"/>
  <c r="H1167" i="12"/>
  <c r="H1166" i="12" s="1"/>
  <c r="H1165" i="12" s="1"/>
  <c r="H1164" i="12" s="1"/>
  <c r="H1163" i="12" s="1"/>
  <c r="H1162" i="12" s="1"/>
  <c r="H1182" i="12"/>
  <c r="H892" i="12"/>
  <c r="H877" i="12"/>
  <c r="H876" i="12" s="1"/>
  <c r="H875" i="12" s="1"/>
  <c r="H903" i="12"/>
  <c r="H902" i="12" s="1"/>
  <c r="I964" i="12"/>
  <c r="H1062" i="12"/>
  <c r="H1061" i="12" s="1"/>
  <c r="H1091" i="12"/>
  <c r="H1090" i="12" s="1"/>
  <c r="H1089" i="12" s="1"/>
  <c r="H1088" i="12" s="1"/>
  <c r="H1114" i="12"/>
  <c r="H1113" i="12" s="1"/>
  <c r="E89" i="14"/>
  <c r="F90" i="14"/>
  <c r="E140" i="14"/>
  <c r="F141" i="14"/>
  <c r="I963" i="12"/>
  <c r="E194" i="14"/>
  <c r="F195" i="14"/>
  <c r="E99" i="14"/>
  <c r="F100" i="14"/>
  <c r="H947" i="12"/>
  <c r="H946" i="12" s="1"/>
  <c r="E155" i="14"/>
  <c r="F156" i="14"/>
  <c r="E1016" i="14"/>
  <c r="F1017" i="14"/>
  <c r="E549" i="14"/>
  <c r="F550" i="14"/>
  <c r="E714" i="14"/>
  <c r="F715" i="14"/>
  <c r="E243" i="14"/>
  <c r="F244" i="14"/>
  <c r="E19" i="14"/>
  <c r="F20" i="14"/>
  <c r="H1096" i="12"/>
  <c r="H1095" i="12" s="1"/>
  <c r="H1101" i="12"/>
  <c r="H1100" i="12" s="1"/>
  <c r="H1107" i="12"/>
  <c r="H1106" i="12" s="1"/>
  <c r="E49" i="14"/>
  <c r="F50" i="14"/>
  <c r="E55" i="14"/>
  <c r="F55" i="14" s="1"/>
  <c r="F56" i="14"/>
  <c r="E59" i="14"/>
  <c r="F60" i="14"/>
  <c r="E81" i="14"/>
  <c r="F82" i="14"/>
  <c r="H1159" i="12"/>
  <c r="H1158" i="12" s="1"/>
  <c r="H1157" i="12" s="1"/>
  <c r="E200" i="14"/>
  <c r="F201" i="14"/>
  <c r="I1183" i="12"/>
  <c r="I1182" i="12" s="1"/>
  <c r="E1098" i="14"/>
  <c r="F1098" i="14" s="1"/>
  <c r="F1099" i="14"/>
  <c r="E106" i="14"/>
  <c r="F106" i="14" s="1"/>
  <c r="F107" i="14"/>
  <c r="H1210" i="12"/>
  <c r="H1209" i="12" s="1"/>
  <c r="H1208" i="12" s="1"/>
  <c r="H1207" i="12" s="1"/>
  <c r="H1215" i="12"/>
  <c r="H1214" i="12" s="1"/>
  <c r="H1213" i="12" s="1"/>
  <c r="H1212" i="12" s="1"/>
  <c r="H1222" i="12"/>
  <c r="H1221" i="12" s="1"/>
  <c r="H1220" i="12" s="1"/>
  <c r="H1219" i="12" s="1"/>
  <c r="H1218" i="12" s="1"/>
  <c r="H1217" i="12" s="1"/>
  <c r="E658" i="14"/>
  <c r="F658" i="14" s="1"/>
  <c r="F659" i="14"/>
  <c r="E175" i="14"/>
  <c r="F176" i="14"/>
  <c r="E83" i="14"/>
  <c r="F83" i="14" s="1"/>
  <c r="F84" i="14"/>
  <c r="E14" i="14"/>
  <c r="E267" i="14"/>
  <c r="F268" i="14"/>
  <c r="E273" i="14"/>
  <c r="F274" i="14"/>
  <c r="E840" i="14"/>
  <c r="F840" i="14" s="1"/>
  <c r="F841" i="14"/>
  <c r="E643" i="14"/>
  <c r="F644" i="14"/>
  <c r="F234" i="14"/>
  <c r="E553" i="14"/>
  <c r="F554" i="14"/>
  <c r="E664" i="14"/>
  <c r="F664" i="14" s="1"/>
  <c r="F665" i="14"/>
  <c r="E648" i="14"/>
  <c r="F648" i="14" s="1"/>
  <c r="F649" i="14"/>
  <c r="E1009" i="14"/>
  <c r="F1010" i="14"/>
  <c r="E180" i="14"/>
  <c r="F181" i="14"/>
  <c r="E711" i="14"/>
  <c r="F712" i="14"/>
  <c r="F62" i="14"/>
  <c r="E61" i="14"/>
  <c r="F61" i="14" s="1"/>
  <c r="E1090" i="14"/>
  <c r="F1091" i="14"/>
  <c r="H890" i="12"/>
  <c r="I898" i="12"/>
  <c r="I901" i="12"/>
  <c r="I900" i="12" s="1"/>
  <c r="I899" i="12" s="1"/>
  <c r="H923" i="12"/>
  <c r="H922" i="12" s="1"/>
  <c r="H921" i="12" s="1"/>
  <c r="E136" i="14"/>
  <c r="F137" i="14"/>
  <c r="I952" i="12"/>
  <c r="I951" i="12" s="1"/>
  <c r="I950" i="12" s="1"/>
  <c r="I949" i="12" s="1"/>
  <c r="I962" i="12"/>
  <c r="E1029" i="14"/>
  <c r="F1030" i="14"/>
  <c r="H1019" i="12"/>
  <c r="H1018" i="12" s="1"/>
  <c r="H1017" i="12" s="1"/>
  <c r="H1016" i="12" s="1"/>
  <c r="H1015" i="12" s="1"/>
  <c r="E681" i="14"/>
  <c r="F682" i="14"/>
  <c r="H1044" i="12"/>
  <c r="H1043" i="12" s="1"/>
  <c r="H1047" i="12"/>
  <c r="H1046" i="12" s="1"/>
  <c r="E191" i="14"/>
  <c r="F192" i="14"/>
  <c r="H1065" i="12"/>
  <c r="H1064" i="12" s="1"/>
  <c r="E598" i="14"/>
  <c r="F599" i="14"/>
  <c r="F30" i="14"/>
  <c r="E29" i="14"/>
  <c r="F40" i="14"/>
  <c r="E46" i="14"/>
  <c r="F47" i="14"/>
  <c r="H1120" i="12"/>
  <c r="H1148" i="12"/>
  <c r="H1147" i="12" s="1"/>
  <c r="E211" i="14"/>
  <c r="F212" i="14"/>
  <c r="H1174" i="12"/>
  <c r="H1173" i="12" s="1"/>
  <c r="H1172" i="12" s="1"/>
  <c r="H1171" i="12" s="1"/>
  <c r="H1170" i="12" s="1"/>
  <c r="E462" i="14"/>
  <c r="F463" i="14"/>
  <c r="H1192" i="12"/>
  <c r="H1191" i="12" s="1"/>
  <c r="E457" i="14"/>
  <c r="F458" i="14"/>
  <c r="I1203" i="12"/>
  <c r="I1202" i="12" s="1"/>
  <c r="E257" i="14"/>
  <c r="F258" i="14"/>
  <c r="F655" i="14"/>
  <c r="E661" i="14"/>
  <c r="F661" i="14" s="1"/>
  <c r="F662" i="14"/>
  <c r="E329" i="14"/>
  <c r="F330" i="14"/>
  <c r="E91" i="14"/>
  <c r="F91" i="14" s="1"/>
  <c r="F92" i="14"/>
  <c r="F96" i="14"/>
  <c r="E95" i="14"/>
  <c r="I897" i="12"/>
  <c r="F110" i="14"/>
  <c r="E109" i="14"/>
  <c r="E220" i="14"/>
  <c r="F221" i="14"/>
  <c r="I948" i="12"/>
  <c r="I947" i="12" s="1"/>
  <c r="I946" i="12" s="1"/>
  <c r="H951" i="12"/>
  <c r="H950" i="12" s="1"/>
  <c r="H949" i="12" s="1"/>
  <c r="H961" i="12"/>
  <c r="H960" i="12" s="1"/>
  <c r="E160" i="14"/>
  <c r="F161" i="14"/>
  <c r="H966" i="12"/>
  <c r="H965" i="12" s="1"/>
  <c r="E1026" i="14"/>
  <c r="F1027" i="14"/>
  <c r="H995" i="12"/>
  <c r="H994" i="12" s="1"/>
  <c r="H1002" i="12"/>
  <c r="H1001" i="12" s="1"/>
  <c r="H1000" i="12" s="1"/>
  <c r="H1007" i="12"/>
  <c r="H1006" i="12" s="1"/>
  <c r="H1005" i="12" s="1"/>
  <c r="H1039" i="12"/>
  <c r="E630" i="14"/>
  <c r="F631" i="14"/>
  <c r="F25" i="14"/>
  <c r="E24" i="14"/>
  <c r="E23" i="14" s="1"/>
  <c r="F54" i="14"/>
  <c r="E53" i="14"/>
  <c r="H1126" i="12"/>
  <c r="H1134" i="12"/>
  <c r="E1083" i="14"/>
  <c r="F1083" i="14" s="1"/>
  <c r="F1084" i="14"/>
  <c r="E202" i="14"/>
  <c r="F202" i="14" s="1"/>
  <c r="F203" i="14"/>
  <c r="H1188" i="12"/>
  <c r="H1187" i="12" s="1"/>
  <c r="H1186" i="12" s="1"/>
  <c r="H1185" i="12" s="1"/>
  <c r="H1184" i="12" s="1"/>
  <c r="E104" i="14"/>
  <c r="F104" i="14" s="1"/>
  <c r="F105" i="14"/>
  <c r="E452" i="14"/>
  <c r="F453" i="14"/>
  <c r="I1216" i="12"/>
  <c r="I1215" i="12" s="1"/>
  <c r="I1214" i="12" s="1"/>
  <c r="I1213" i="12" s="1"/>
  <c r="I1212" i="12" s="1"/>
  <c r="I1206" i="12" s="1"/>
  <c r="E251" i="14"/>
  <c r="F252" i="14"/>
  <c r="H1237" i="12"/>
  <c r="H1236" i="12" s="1"/>
  <c r="H1240" i="12"/>
  <c r="H1239" i="12" s="1"/>
  <c r="H1246" i="12"/>
  <c r="H1245" i="12" s="1"/>
  <c r="H1244" i="12" s="1"/>
  <c r="H1243" i="12" s="1"/>
  <c r="E645" i="14"/>
  <c r="F645" i="14" s="1"/>
  <c r="F646" i="14"/>
  <c r="F260" i="14"/>
  <c r="I932" i="12"/>
  <c r="I1287" i="12"/>
  <c r="I1038" i="12"/>
  <c r="I1037" i="12" s="1"/>
  <c r="I1036" i="12" s="1"/>
  <c r="I1035" i="12" s="1"/>
  <c r="I1028" i="12" s="1"/>
  <c r="I1258" i="12"/>
  <c r="I1070" i="12"/>
  <c r="I1069" i="12" s="1"/>
  <c r="I1068" i="12" s="1"/>
  <c r="I1067" i="12" s="1"/>
  <c r="I1316" i="12"/>
  <c r="I1315" i="12" s="1"/>
  <c r="I984" i="12"/>
  <c r="I979" i="12" s="1"/>
  <c r="I978" i="12" s="1"/>
  <c r="H1054" i="12"/>
  <c r="H1053" i="12" s="1"/>
  <c r="H1052" i="12" s="1"/>
  <c r="I1117" i="12"/>
  <c r="I1116" i="12" s="1"/>
  <c r="I914" i="12"/>
  <c r="I913" i="12" s="1"/>
  <c r="I1054" i="12"/>
  <c r="I1053" i="12" s="1"/>
  <c r="I1052" i="12" s="1"/>
  <c r="I1078" i="12"/>
  <c r="I1077" i="12" s="1"/>
  <c r="I1076" i="12" s="1"/>
  <c r="I1094" i="12"/>
  <c r="I1093" i="12" s="1"/>
  <c r="I1131" i="12"/>
  <c r="I1130" i="12" s="1"/>
  <c r="I1129" i="12" s="1"/>
  <c r="I862" i="12"/>
  <c r="I861" i="12" s="1"/>
  <c r="I860" i="12" s="1"/>
  <c r="I852" i="12" s="1"/>
  <c r="K922" i="12"/>
  <c r="I921" i="12"/>
  <c r="I1060" i="12"/>
  <c r="I1059" i="12" s="1"/>
  <c r="K923" i="12"/>
  <c r="I1142" i="12"/>
  <c r="I1136" i="12" s="1"/>
  <c r="I999" i="12"/>
  <c r="I998" i="12" s="1"/>
  <c r="I997" i="12" s="1"/>
  <c r="I1233" i="12"/>
  <c r="I1225" i="12" s="1"/>
  <c r="I850" i="12"/>
  <c r="I848" i="12"/>
  <c r="I846" i="12"/>
  <c r="H851" i="12"/>
  <c r="E638" i="14" s="1"/>
  <c r="H849" i="12"/>
  <c r="E636" i="14" s="1"/>
  <c r="H847" i="12"/>
  <c r="E634" i="14" s="1"/>
  <c r="I843" i="12"/>
  <c r="I841" i="12"/>
  <c r="I839" i="12"/>
  <c r="H844" i="12"/>
  <c r="E625" i="14" s="1"/>
  <c r="H842" i="12"/>
  <c r="E623" i="14" s="1"/>
  <c r="H840" i="12"/>
  <c r="E621" i="14" s="1"/>
  <c r="I836" i="12"/>
  <c r="I834" i="12"/>
  <c r="I832" i="12"/>
  <c r="H837" i="12"/>
  <c r="E613" i="14" s="1"/>
  <c r="H835" i="12"/>
  <c r="E611" i="14" s="1"/>
  <c r="H833" i="12"/>
  <c r="E609" i="14" s="1"/>
  <c r="I825" i="12"/>
  <c r="I827" i="12"/>
  <c r="I829" i="12"/>
  <c r="H830" i="12"/>
  <c r="E606" i="14" s="1"/>
  <c r="H828" i="12"/>
  <c r="E604" i="14" s="1"/>
  <c r="H826" i="12"/>
  <c r="E602" i="14" s="1"/>
  <c r="I822" i="12"/>
  <c r="I821" i="12" s="1"/>
  <c r="H823" i="12"/>
  <c r="E580" i="14" s="1"/>
  <c r="H816" i="12"/>
  <c r="E987" i="14" s="1"/>
  <c r="I813" i="12"/>
  <c r="I815" i="12"/>
  <c r="H814" i="12"/>
  <c r="E985" i="14" s="1"/>
  <c r="I806" i="12"/>
  <c r="I808" i="12"/>
  <c r="I810" i="12"/>
  <c r="H811" i="12"/>
  <c r="E982" i="14" s="1"/>
  <c r="H809" i="12"/>
  <c r="E980" i="14" s="1"/>
  <c r="H807" i="12"/>
  <c r="E978" i="14" s="1"/>
  <c r="I801" i="12"/>
  <c r="I799" i="12"/>
  <c r="H802" i="12"/>
  <c r="E973" i="14" s="1"/>
  <c r="H800" i="12"/>
  <c r="E971" i="14" s="1"/>
  <c r="I796" i="12"/>
  <c r="I795" i="12" s="1"/>
  <c r="H797" i="12"/>
  <c r="E968" i="14" s="1"/>
  <c r="I793" i="12"/>
  <c r="I792" i="12" s="1"/>
  <c r="H794" i="12"/>
  <c r="E965" i="14" s="1"/>
  <c r="I790" i="12"/>
  <c r="H791" i="12"/>
  <c r="E962" i="14" s="1"/>
  <c r="I788" i="12"/>
  <c r="I787" i="12" s="1"/>
  <c r="H789" i="12"/>
  <c r="E960" i="14" s="1"/>
  <c r="I783" i="12"/>
  <c r="I782" i="12" s="1"/>
  <c r="I785" i="12"/>
  <c r="H786" i="12"/>
  <c r="E957" i="14" s="1"/>
  <c r="H784" i="12"/>
  <c r="E955" i="14" s="1"/>
  <c r="I778" i="12"/>
  <c r="I777" i="12" s="1"/>
  <c r="H779" i="12"/>
  <c r="E950" i="14" s="1"/>
  <c r="I775" i="12"/>
  <c r="I774" i="12" s="1"/>
  <c r="H776" i="12"/>
  <c r="E947" i="14" s="1"/>
  <c r="I772" i="12"/>
  <c r="I771" i="12" s="1"/>
  <c r="H773" i="12"/>
  <c r="E944" i="14" s="1"/>
  <c r="I769" i="12"/>
  <c r="I768" i="12" s="1"/>
  <c r="H770" i="12"/>
  <c r="E941" i="14" s="1"/>
  <c r="I766" i="12"/>
  <c r="I765" i="12" s="1"/>
  <c r="H767" i="12"/>
  <c r="E938" i="14" s="1"/>
  <c r="I763" i="12"/>
  <c r="I762" i="12" s="1"/>
  <c r="H764" i="12"/>
  <c r="E935" i="14" s="1"/>
  <c r="H761" i="12"/>
  <c r="E932" i="14" s="1"/>
  <c r="I755" i="12"/>
  <c r="I754" i="12" s="1"/>
  <c r="H756" i="12"/>
  <c r="E927" i="14" s="1"/>
  <c r="I747" i="12"/>
  <c r="I746" i="12" s="1"/>
  <c r="I745" i="12" s="1"/>
  <c r="K748" i="12"/>
  <c r="H748" i="12"/>
  <c r="E916" i="14" s="1"/>
  <c r="I731" i="12"/>
  <c r="I730" i="12" s="1"/>
  <c r="I723" i="12" s="1"/>
  <c r="H732" i="12"/>
  <c r="I718" i="12"/>
  <c r="I717" i="12" s="1"/>
  <c r="I716" i="12" s="1"/>
  <c r="I715" i="12" s="1"/>
  <c r="H720" i="12"/>
  <c r="I694" i="12"/>
  <c r="I696" i="12"/>
  <c r="I698" i="12"/>
  <c r="H699" i="12"/>
  <c r="H697" i="12"/>
  <c r="H695" i="12"/>
  <c r="I691" i="12"/>
  <c r="I690" i="12" s="1"/>
  <c r="H692" i="12"/>
  <c r="I686" i="12"/>
  <c r="I688" i="12"/>
  <c r="H689" i="12"/>
  <c r="H687" i="12"/>
  <c r="I680" i="12"/>
  <c r="I679" i="12" s="1"/>
  <c r="H681" i="12"/>
  <c r="I677" i="12"/>
  <c r="I676" i="12" s="1"/>
  <c r="H678" i="12"/>
  <c r="I672" i="12"/>
  <c r="I671" i="12" s="1"/>
  <c r="H673" i="12"/>
  <c r="E318" i="14" s="1"/>
  <c r="I669" i="12"/>
  <c r="I668" i="12" s="1"/>
  <c r="H670" i="12"/>
  <c r="I666" i="12"/>
  <c r="I665" i="12" s="1"/>
  <c r="H667" i="12"/>
  <c r="I651" i="12"/>
  <c r="I653" i="12"/>
  <c r="H654" i="12"/>
  <c r="H652" i="12"/>
  <c r="I600" i="12"/>
  <c r="I599" i="12" s="1"/>
  <c r="H601" i="12"/>
  <c r="I597" i="12"/>
  <c r="I596" i="12" s="1"/>
  <c r="I595" i="12" s="1"/>
  <c r="H598" i="12"/>
  <c r="H597" i="12" s="1"/>
  <c r="H596" i="12" s="1"/>
  <c r="I593" i="12"/>
  <c r="I592" i="12" s="1"/>
  <c r="I591" i="12" s="1"/>
  <c r="H594" i="12"/>
  <c r="I587" i="12"/>
  <c r="I586" i="12" s="1"/>
  <c r="H588" i="12"/>
  <c r="I584" i="12"/>
  <c r="I583" i="12" s="1"/>
  <c r="H585" i="12"/>
  <c r="I578" i="12"/>
  <c r="I577" i="12" s="1"/>
  <c r="I576" i="12" s="1"/>
  <c r="I575" i="12" s="1"/>
  <c r="I574" i="12" s="1"/>
  <c r="H579" i="12"/>
  <c r="E507" i="14" s="1"/>
  <c r="I570" i="12"/>
  <c r="I569" i="12" s="1"/>
  <c r="I568" i="12" s="1"/>
  <c r="I567" i="12" s="1"/>
  <c r="I566" i="12" s="1"/>
  <c r="H571" i="12"/>
  <c r="I564" i="12"/>
  <c r="I563" i="12" s="1"/>
  <c r="I562" i="12" s="1"/>
  <c r="I561" i="12" s="1"/>
  <c r="H565" i="12"/>
  <c r="I559" i="12"/>
  <c r="I558" i="12" s="1"/>
  <c r="I557" i="12" s="1"/>
  <c r="I556" i="12" s="1"/>
  <c r="H560" i="12"/>
  <c r="H538" i="12"/>
  <c r="H536" i="12"/>
  <c r="I515" i="12"/>
  <c r="I514" i="12" s="1"/>
  <c r="I513" i="12" s="1"/>
  <c r="H516" i="12"/>
  <c r="I511" i="12"/>
  <c r="I510" i="12" s="1"/>
  <c r="H512" i="12"/>
  <c r="I508" i="12"/>
  <c r="I507" i="12" s="1"/>
  <c r="H509" i="12"/>
  <c r="I504" i="12"/>
  <c r="I503" i="12" s="1"/>
  <c r="I502" i="12" s="1"/>
  <c r="H505" i="12"/>
  <c r="I500" i="12"/>
  <c r="I499" i="12" s="1"/>
  <c r="I498" i="12" s="1"/>
  <c r="H501" i="12"/>
  <c r="I487" i="12"/>
  <c r="I486" i="12" s="1"/>
  <c r="H488" i="12"/>
  <c r="I484" i="12"/>
  <c r="I483" i="12" s="1"/>
  <c r="H485" i="12"/>
  <c r="I481" i="12"/>
  <c r="I480" i="12" s="1"/>
  <c r="H482" i="12"/>
  <c r="I469" i="12"/>
  <c r="I468" i="12" s="1"/>
  <c r="H470" i="12"/>
  <c r="I466" i="12"/>
  <c r="I465" i="12" s="1"/>
  <c r="H467" i="12"/>
  <c r="I460" i="12"/>
  <c r="I459" i="12" s="1"/>
  <c r="H461" i="12"/>
  <c r="I457" i="12"/>
  <c r="I456" i="12" s="1"/>
  <c r="H458" i="12"/>
  <c r="I454" i="12"/>
  <c r="I453" i="12" s="1"/>
  <c r="H455" i="12"/>
  <c r="I447" i="12"/>
  <c r="I449" i="12"/>
  <c r="I451" i="12"/>
  <c r="H452" i="12"/>
  <c r="H450" i="12"/>
  <c r="H448" i="12"/>
  <c r="I444" i="12"/>
  <c r="I443" i="12" s="1"/>
  <c r="H445" i="12"/>
  <c r="I439" i="12"/>
  <c r="I437" i="12"/>
  <c r="I435" i="12"/>
  <c r="H440" i="12"/>
  <c r="H438" i="12"/>
  <c r="H436" i="12"/>
  <c r="E766" i="14" s="1"/>
  <c r="I432" i="12"/>
  <c r="I431" i="12" s="1"/>
  <c r="H433" i="12"/>
  <c r="I429" i="12"/>
  <c r="I428" i="12" s="1"/>
  <c r="H430" i="12"/>
  <c r="I426" i="12"/>
  <c r="I424" i="12"/>
  <c r="I422" i="12"/>
  <c r="H427" i="12"/>
  <c r="H425" i="12"/>
  <c r="H423" i="12"/>
  <c r="I419" i="12"/>
  <c r="I418" i="12" s="1"/>
  <c r="H420" i="12"/>
  <c r="I416" i="12"/>
  <c r="I415" i="12" s="1"/>
  <c r="H417" i="12"/>
  <c r="I410" i="12"/>
  <c r="I409" i="12" s="1"/>
  <c r="H411" i="12"/>
  <c r="I407" i="12"/>
  <c r="I406" i="12" s="1"/>
  <c r="H408" i="12"/>
  <c r="I400" i="12"/>
  <c r="I399" i="12" s="1"/>
  <c r="H401" i="12"/>
  <c r="I397" i="12"/>
  <c r="I396" i="12" s="1"/>
  <c r="H398" i="12"/>
  <c r="I394" i="12"/>
  <c r="I393" i="12" s="1"/>
  <c r="H395" i="12"/>
  <c r="I387" i="12"/>
  <c r="I386" i="12" s="1"/>
  <c r="H388" i="12"/>
  <c r="H385" i="12"/>
  <c r="H384" i="12" s="1"/>
  <c r="H383" i="12" s="1"/>
  <c r="I379" i="12"/>
  <c r="I378" i="12" s="1"/>
  <c r="I377" i="12" s="1"/>
  <c r="I376" i="12" s="1"/>
  <c r="H380" i="12"/>
  <c r="H984" i="12" l="1"/>
  <c r="H999" i="12"/>
  <c r="H998" i="12" s="1"/>
  <c r="H997" i="12" s="1"/>
  <c r="H1315" i="12"/>
  <c r="H1314" i="12" s="1"/>
  <c r="H1287" i="12" s="1"/>
  <c r="H953" i="12"/>
  <c r="H979" i="12"/>
  <c r="H978" i="12" s="1"/>
  <c r="H1105" i="12"/>
  <c r="I722" i="12"/>
  <c r="F238" i="14"/>
  <c r="E223" i="14"/>
  <c r="F223" i="14" s="1"/>
  <c r="H1142" i="12"/>
  <c r="H1136" i="12" s="1"/>
  <c r="F246" i="14"/>
  <c r="E245" i="14"/>
  <c r="F245" i="14" s="1"/>
  <c r="E122" i="14"/>
  <c r="F122" i="14" s="1"/>
  <c r="H1078" i="12"/>
  <c r="H1077" i="12" s="1"/>
  <c r="H1076" i="12" s="1"/>
  <c r="F133" i="14"/>
  <c r="I943" i="12"/>
  <c r="I942" i="12" s="1"/>
  <c r="I931" i="12" s="1"/>
  <c r="J922" i="12"/>
  <c r="H920" i="12"/>
  <c r="I966" i="12"/>
  <c r="I965" i="12" s="1"/>
  <c r="H932" i="12"/>
  <c r="H931" i="12" s="1"/>
  <c r="H1179" i="12"/>
  <c r="H1178" i="12" s="1"/>
  <c r="H1177" i="12" s="1"/>
  <c r="H1176" i="12" s="1"/>
  <c r="I1204" i="12"/>
  <c r="I1201" i="12" s="1"/>
  <c r="I1200" i="12" s="1"/>
  <c r="I1199" i="12" s="1"/>
  <c r="I1198" i="12" s="1"/>
  <c r="I1197" i="12" s="1"/>
  <c r="H1190" i="12"/>
  <c r="H889" i="12"/>
  <c r="H888" i="12" s="1"/>
  <c r="H914" i="12"/>
  <c r="H913" i="12" s="1"/>
  <c r="H1201" i="12"/>
  <c r="H1200" i="12" s="1"/>
  <c r="H1199" i="12" s="1"/>
  <c r="H1198" i="12" s="1"/>
  <c r="H1123" i="12"/>
  <c r="H1122" i="12" s="1"/>
  <c r="F224" i="14"/>
  <c r="H1038" i="12"/>
  <c r="H1037" i="12" s="1"/>
  <c r="H1036" i="12" s="1"/>
  <c r="H1035" i="12" s="1"/>
  <c r="H1028" i="12" s="1"/>
  <c r="H1117" i="12"/>
  <c r="H1116" i="12" s="1"/>
  <c r="H1131" i="12"/>
  <c r="H1130" i="12" s="1"/>
  <c r="H1129" i="12" s="1"/>
  <c r="I1179" i="12"/>
  <c r="I1178" i="12" s="1"/>
  <c r="I1177" i="12" s="1"/>
  <c r="I1176" i="12" s="1"/>
  <c r="I1169" i="12" s="1"/>
  <c r="I961" i="12"/>
  <c r="I960" i="12" s="1"/>
  <c r="H1060" i="12"/>
  <c r="H1059" i="12" s="1"/>
  <c r="H1051" i="12" s="1"/>
  <c r="H808" i="12"/>
  <c r="H846" i="12"/>
  <c r="F125" i="14"/>
  <c r="H1094" i="12"/>
  <c r="H1093" i="12" s="1"/>
  <c r="H862" i="12"/>
  <c r="H760" i="12"/>
  <c r="H759" i="12" s="1"/>
  <c r="H790" i="12"/>
  <c r="H832" i="12"/>
  <c r="J923" i="12"/>
  <c r="H578" i="12"/>
  <c r="H577" i="12" s="1"/>
  <c r="H576" i="12" s="1"/>
  <c r="H575" i="12" s="1"/>
  <c r="H574" i="12" s="1"/>
  <c r="H763" i="12"/>
  <c r="H762" i="12" s="1"/>
  <c r="H813" i="12"/>
  <c r="H1206" i="12"/>
  <c r="H769" i="12"/>
  <c r="H768" i="12" s="1"/>
  <c r="H1235" i="12"/>
  <c r="H1234" i="12" s="1"/>
  <c r="H1233" i="12" s="1"/>
  <c r="H1225" i="12" s="1"/>
  <c r="I896" i="12"/>
  <c r="I895" i="12" s="1"/>
  <c r="I888" i="12" s="1"/>
  <c r="I887" i="12" s="1"/>
  <c r="I886" i="12" s="1"/>
  <c r="H783" i="12"/>
  <c r="H827" i="12"/>
  <c r="H836" i="12"/>
  <c r="H775" i="12"/>
  <c r="H774" i="12" s="1"/>
  <c r="H778" i="12"/>
  <c r="H777" i="12" s="1"/>
  <c r="H796" i="12"/>
  <c r="H795" i="12" s="1"/>
  <c r="H801" i="12"/>
  <c r="H822" i="12"/>
  <c r="H821" i="12" s="1"/>
  <c r="H841" i="12"/>
  <c r="H850" i="12"/>
  <c r="H394" i="12"/>
  <c r="H393" i="12" s="1"/>
  <c r="E736" i="14"/>
  <c r="H410" i="12"/>
  <c r="H409" i="12" s="1"/>
  <c r="E231" i="14"/>
  <c r="H419" i="12"/>
  <c r="H418" i="12" s="1"/>
  <c r="E750" i="14"/>
  <c r="H426" i="12"/>
  <c r="E757" i="14"/>
  <c r="H429" i="12"/>
  <c r="H428" i="12" s="1"/>
  <c r="E760" i="14"/>
  <c r="E765" i="14"/>
  <c r="F766" i="14"/>
  <c r="H469" i="12"/>
  <c r="H468" i="12" s="1"/>
  <c r="E800" i="14"/>
  <c r="H484" i="12"/>
  <c r="H483" i="12" s="1"/>
  <c r="E815" i="14"/>
  <c r="H500" i="12"/>
  <c r="H499" i="12" s="1"/>
  <c r="H498" i="12" s="1"/>
  <c r="E839" i="14"/>
  <c r="H508" i="12"/>
  <c r="H507" i="12" s="1"/>
  <c r="E850" i="14"/>
  <c r="H515" i="12"/>
  <c r="H514" i="12" s="1"/>
  <c r="H513" i="12" s="1"/>
  <c r="E857" i="14"/>
  <c r="H559" i="12"/>
  <c r="H558" i="12" s="1"/>
  <c r="H557" i="12" s="1"/>
  <c r="H556" i="12" s="1"/>
  <c r="E518" i="14"/>
  <c r="H570" i="12"/>
  <c r="H569" i="12" s="1"/>
  <c r="H568" i="12" s="1"/>
  <c r="H567" i="12" s="1"/>
  <c r="H566" i="12" s="1"/>
  <c r="E730" i="14"/>
  <c r="H584" i="12"/>
  <c r="H583" i="12" s="1"/>
  <c r="E529" i="14"/>
  <c r="H593" i="12"/>
  <c r="H592" i="12" s="1"/>
  <c r="H591" i="12" s="1"/>
  <c r="E992" i="14"/>
  <c r="H600" i="12"/>
  <c r="H599" i="12" s="1"/>
  <c r="H595" i="12" s="1"/>
  <c r="E1001" i="14"/>
  <c r="H669" i="12"/>
  <c r="H668" i="12" s="1"/>
  <c r="E313" i="14"/>
  <c r="H677" i="12"/>
  <c r="H676" i="12" s="1"/>
  <c r="E323" i="14"/>
  <c r="H686" i="12"/>
  <c r="E380" i="14"/>
  <c r="H691" i="12"/>
  <c r="H690" i="12" s="1"/>
  <c r="E385" i="14"/>
  <c r="H698" i="12"/>
  <c r="E392" i="14"/>
  <c r="H719" i="12"/>
  <c r="H718" i="12" s="1"/>
  <c r="H717" i="12" s="1"/>
  <c r="H716" i="12" s="1"/>
  <c r="H715" i="12" s="1"/>
  <c r="E880" i="14"/>
  <c r="H755" i="12"/>
  <c r="H754" i="12" s="1"/>
  <c r="E940" i="14"/>
  <c r="F941" i="14"/>
  <c r="H772" i="12"/>
  <c r="H771" i="12" s="1"/>
  <c r="E956" i="14"/>
  <c r="F956" i="14" s="1"/>
  <c r="F957" i="14"/>
  <c r="E961" i="14"/>
  <c r="F961" i="14" s="1"/>
  <c r="F962" i="14"/>
  <c r="H793" i="12"/>
  <c r="H792" i="12" s="1"/>
  <c r="H799" i="12"/>
  <c r="E979" i="14"/>
  <c r="F979" i="14" s="1"/>
  <c r="F980" i="14"/>
  <c r="H810" i="12"/>
  <c r="E984" i="14"/>
  <c r="F985" i="14"/>
  <c r="E579" i="14"/>
  <c r="F580" i="14"/>
  <c r="E603" i="14"/>
  <c r="F603" i="14" s="1"/>
  <c r="F604" i="14"/>
  <c r="H829" i="12"/>
  <c r="E608" i="14"/>
  <c r="F609" i="14"/>
  <c r="H834" i="12"/>
  <c r="H843" i="12"/>
  <c r="E637" i="14"/>
  <c r="F637" i="14" s="1"/>
  <c r="F638" i="14"/>
  <c r="F53" i="14"/>
  <c r="E52" i="14"/>
  <c r="F124" i="14"/>
  <c r="E108" i="14"/>
  <c r="F108" i="14" s="1"/>
  <c r="F109" i="14"/>
  <c r="E328" i="14"/>
  <c r="E327" i="14" s="1"/>
  <c r="F329" i="14"/>
  <c r="E461" i="14"/>
  <c r="F462" i="14"/>
  <c r="E45" i="14"/>
  <c r="F45" i="14" s="1"/>
  <c r="F46" i="14"/>
  <c r="E179" i="14"/>
  <c r="F180" i="14"/>
  <c r="E266" i="14"/>
  <c r="F266" i="14" s="1"/>
  <c r="F267" i="14"/>
  <c r="E174" i="14"/>
  <c r="F175" i="14"/>
  <c r="E199" i="14"/>
  <c r="F200" i="14"/>
  <c r="F243" i="14"/>
  <c r="E193" i="14"/>
  <c r="F193" i="14" s="1"/>
  <c r="F194" i="14"/>
  <c r="H400" i="12"/>
  <c r="H399" i="12" s="1"/>
  <c r="E742" i="14"/>
  <c r="H437" i="12"/>
  <c r="E768" i="14"/>
  <c r="H447" i="12"/>
  <c r="E778" i="14"/>
  <c r="H457" i="12"/>
  <c r="H456" i="12" s="1"/>
  <c r="E788" i="14"/>
  <c r="E506" i="14"/>
  <c r="F507" i="14"/>
  <c r="H688" i="12"/>
  <c r="E382" i="14"/>
  <c r="E937" i="14"/>
  <c r="F938" i="14"/>
  <c r="E959" i="14"/>
  <c r="F960" i="14"/>
  <c r="E970" i="14"/>
  <c r="F971" i="14"/>
  <c r="E981" i="14"/>
  <c r="F981" i="14" s="1"/>
  <c r="F982" i="14"/>
  <c r="E986" i="14"/>
  <c r="F986" i="14" s="1"/>
  <c r="F987" i="14"/>
  <c r="E605" i="14"/>
  <c r="F605" i="14" s="1"/>
  <c r="F606" i="14"/>
  <c r="E610" i="14"/>
  <c r="F610" i="14" s="1"/>
  <c r="F611" i="14"/>
  <c r="E620" i="14"/>
  <c r="F621" i="14"/>
  <c r="E159" i="14"/>
  <c r="F159" i="14" s="1"/>
  <c r="F160" i="14"/>
  <c r="E456" i="14"/>
  <c r="F457" i="14"/>
  <c r="E190" i="14"/>
  <c r="F191" i="14"/>
  <c r="E1028" i="14"/>
  <c r="F1028" i="14" s="1"/>
  <c r="F1029" i="14"/>
  <c r="E135" i="14"/>
  <c r="F135" i="14" s="1"/>
  <c r="F136" i="14"/>
  <c r="F59" i="14"/>
  <c r="E58" i="14"/>
  <c r="F49" i="14"/>
  <c r="E48" i="14"/>
  <c r="F48" i="14" s="1"/>
  <c r="E548" i="14"/>
  <c r="F549" i="14"/>
  <c r="E154" i="14"/>
  <c r="F154" i="14" s="1"/>
  <c r="F155" i="14"/>
  <c r="E139" i="14"/>
  <c r="F140" i="14"/>
  <c r="H397" i="12"/>
  <c r="H396" i="12" s="1"/>
  <c r="E739" i="14"/>
  <c r="H416" i="12"/>
  <c r="H415" i="12" s="1"/>
  <c r="E747" i="14"/>
  <c r="H432" i="12"/>
  <c r="H431" i="12" s="1"/>
  <c r="E763" i="14"/>
  <c r="H439" i="12"/>
  <c r="E770" i="14"/>
  <c r="H449" i="12"/>
  <c r="E780" i="14"/>
  <c r="H466" i="12"/>
  <c r="H465" i="12" s="1"/>
  <c r="E797" i="14"/>
  <c r="H481" i="12"/>
  <c r="H480" i="12" s="1"/>
  <c r="E812" i="14"/>
  <c r="H487" i="12"/>
  <c r="H486" i="12" s="1"/>
  <c r="E818" i="14"/>
  <c r="H504" i="12"/>
  <c r="H503" i="12" s="1"/>
  <c r="H502" i="12" s="1"/>
  <c r="E846" i="14"/>
  <c r="H511" i="12"/>
  <c r="H510" i="12" s="1"/>
  <c r="E853" i="14"/>
  <c r="H535" i="12"/>
  <c r="E369" i="14"/>
  <c r="H564" i="12"/>
  <c r="H563" i="12" s="1"/>
  <c r="H562" i="12" s="1"/>
  <c r="H561" i="12" s="1"/>
  <c r="E523" i="14"/>
  <c r="H587" i="12"/>
  <c r="H586" i="12" s="1"/>
  <c r="E535" i="14"/>
  <c r="H651" i="12"/>
  <c r="E996" i="14"/>
  <c r="H666" i="12"/>
  <c r="H665" i="12" s="1"/>
  <c r="E310" i="14"/>
  <c r="H672" i="12"/>
  <c r="H671" i="12" s="1"/>
  <c r="H680" i="12"/>
  <c r="H679" i="12" s="1"/>
  <c r="E326" i="14"/>
  <c r="H694" i="12"/>
  <c r="E388" i="14"/>
  <c r="H731" i="12"/>
  <c r="H730" i="12" s="1"/>
  <c r="H723" i="12" s="1"/>
  <c r="E900" i="14"/>
  <c r="E915" i="14"/>
  <c r="F916" i="14"/>
  <c r="E931" i="14"/>
  <c r="F932" i="14"/>
  <c r="E934" i="14"/>
  <c r="F935" i="14"/>
  <c r="H766" i="12"/>
  <c r="H765" i="12" s="1"/>
  <c r="E946" i="14"/>
  <c r="F947" i="14"/>
  <c r="E949" i="14"/>
  <c r="E948" i="14" s="1"/>
  <c r="F950" i="14"/>
  <c r="H785" i="12"/>
  <c r="H788" i="12"/>
  <c r="E967" i="14"/>
  <c r="F968" i="14"/>
  <c r="E972" i="14"/>
  <c r="F972" i="14" s="1"/>
  <c r="F973" i="14"/>
  <c r="H806" i="12"/>
  <c r="H815" i="12"/>
  <c r="E509" i="14"/>
  <c r="F510" i="14"/>
  <c r="H825" i="12"/>
  <c r="E612" i="14"/>
  <c r="F612" i="14" s="1"/>
  <c r="F613" i="14"/>
  <c r="E622" i="14"/>
  <c r="F622" i="14" s="1"/>
  <c r="F623" i="14"/>
  <c r="H839" i="12"/>
  <c r="E633" i="14"/>
  <c r="F634" i="14"/>
  <c r="H848" i="12"/>
  <c r="E276" i="14"/>
  <c r="F276" i="14" s="1"/>
  <c r="F277" i="14"/>
  <c r="E451" i="14"/>
  <c r="F452" i="14"/>
  <c r="E629" i="14"/>
  <c r="F629" i="14" s="1"/>
  <c r="F630" i="14"/>
  <c r="E1025" i="14"/>
  <c r="E1018" i="14" s="1"/>
  <c r="F1026" i="14"/>
  <c r="E131" i="14"/>
  <c r="F132" i="14"/>
  <c r="E256" i="14"/>
  <c r="F257" i="14"/>
  <c r="E597" i="14"/>
  <c r="F597" i="14" s="1"/>
  <c r="F598" i="14"/>
  <c r="F681" i="14"/>
  <c r="E1089" i="14"/>
  <c r="F1089" i="14" s="1"/>
  <c r="F1090" i="14"/>
  <c r="E710" i="14"/>
  <c r="F710" i="14" s="1"/>
  <c r="F711" i="14"/>
  <c r="E1008" i="14"/>
  <c r="E1007" i="14" s="1"/>
  <c r="F1009" i="14"/>
  <c r="E552" i="14"/>
  <c r="F553" i="14"/>
  <c r="E642" i="14"/>
  <c r="F643" i="14"/>
  <c r="E272" i="14"/>
  <c r="F273" i="14"/>
  <c r="E13" i="14"/>
  <c r="F14" i="14"/>
  <c r="F19" i="14"/>
  <c r="E18" i="14"/>
  <c r="E713" i="14"/>
  <c r="F714" i="14"/>
  <c r="E98" i="14"/>
  <c r="F98" i="14" s="1"/>
  <c r="F99" i="14"/>
  <c r="H387" i="12"/>
  <c r="H386" i="12" s="1"/>
  <c r="H382" i="12" s="1"/>
  <c r="H381" i="12" s="1"/>
  <c r="E295" i="14"/>
  <c r="H407" i="12"/>
  <c r="H406" i="12" s="1"/>
  <c r="E228" i="14"/>
  <c r="H422" i="12"/>
  <c r="E753" i="14"/>
  <c r="H379" i="12"/>
  <c r="H378" i="12" s="1"/>
  <c r="H377" i="12" s="1"/>
  <c r="H376" i="12" s="1"/>
  <c r="E285" i="14"/>
  <c r="H424" i="12"/>
  <c r="E755" i="14"/>
  <c r="H435" i="12"/>
  <c r="H444" i="12"/>
  <c r="H443" i="12" s="1"/>
  <c r="J443" i="12" s="1"/>
  <c r="E775" i="14"/>
  <c r="H451" i="12"/>
  <c r="E782" i="14"/>
  <c r="H454" i="12"/>
  <c r="H453" i="12" s="1"/>
  <c r="E785" i="14"/>
  <c r="H460" i="12"/>
  <c r="H459" i="12" s="1"/>
  <c r="E791" i="14"/>
  <c r="I538" i="12"/>
  <c r="I537" i="12" s="1"/>
  <c r="E371" i="14"/>
  <c r="H653" i="12"/>
  <c r="E998" i="14"/>
  <c r="H696" i="12"/>
  <c r="E390" i="14"/>
  <c r="J748" i="12"/>
  <c r="H747" i="12"/>
  <c r="J747" i="12" s="1"/>
  <c r="E926" i="14"/>
  <c r="E925" i="14" s="1"/>
  <c r="F927" i="14"/>
  <c r="E943" i="14"/>
  <c r="F944" i="14"/>
  <c r="E954" i="14"/>
  <c r="F955" i="14"/>
  <c r="E964" i="14"/>
  <c r="F965" i="14"/>
  <c r="E977" i="14"/>
  <c r="F978" i="14"/>
  <c r="E511" i="14"/>
  <c r="F511" i="14" s="1"/>
  <c r="F512" i="14"/>
  <c r="E601" i="14"/>
  <c r="F602" i="14"/>
  <c r="E624" i="14"/>
  <c r="F624" i="14" s="1"/>
  <c r="F625" i="14"/>
  <c r="E635" i="14"/>
  <c r="F635" i="14" s="1"/>
  <c r="F636" i="14"/>
  <c r="E250" i="14"/>
  <c r="F251" i="14"/>
  <c r="F24" i="14"/>
  <c r="E219" i="14"/>
  <c r="F220" i="14"/>
  <c r="E94" i="14"/>
  <c r="F94" i="14" s="1"/>
  <c r="F95" i="14"/>
  <c r="E210" i="14"/>
  <c r="F211" i="14"/>
  <c r="F29" i="14"/>
  <c r="E28" i="14"/>
  <c r="F28" i="14" s="1"/>
  <c r="F81" i="14"/>
  <c r="E80" i="14"/>
  <c r="E1015" i="14"/>
  <c r="F1016" i="14"/>
  <c r="F89" i="14"/>
  <c r="E88" i="14"/>
  <c r="I1051" i="12"/>
  <c r="I1050" i="12" s="1"/>
  <c r="I1087" i="12"/>
  <c r="I1086" i="12" s="1"/>
  <c r="I1085" i="12" s="1"/>
  <c r="I812" i="12"/>
  <c r="I434" i="12"/>
  <c r="I650" i="12"/>
  <c r="I649" i="12" s="1"/>
  <c r="I648" i="12" s="1"/>
  <c r="I647" i="12" s="1"/>
  <c r="I1224" i="12"/>
  <c r="I446" i="12"/>
  <c r="I685" i="12"/>
  <c r="I824" i="12"/>
  <c r="I405" i="12"/>
  <c r="I404" i="12" s="1"/>
  <c r="I403" i="12" s="1"/>
  <c r="I582" i="12"/>
  <c r="I581" i="12" s="1"/>
  <c r="I580" i="12" s="1"/>
  <c r="I798" i="12"/>
  <c r="I421" i="12"/>
  <c r="I506" i="12"/>
  <c r="I693" i="12"/>
  <c r="I805" i="12"/>
  <c r="I838" i="12"/>
  <c r="I517" i="12"/>
  <c r="I658" i="12"/>
  <c r="I657" i="12" s="1"/>
  <c r="I656" i="12" s="1"/>
  <c r="K747" i="12"/>
  <c r="I845" i="12"/>
  <c r="I392" i="12"/>
  <c r="I391" i="12" s="1"/>
  <c r="I390" i="12" s="1"/>
  <c r="I389" i="12" s="1"/>
  <c r="I920" i="12"/>
  <c r="K921" i="12"/>
  <c r="I831" i="12"/>
  <c r="K746" i="12"/>
  <c r="I385" i="12"/>
  <c r="I384" i="12" s="1"/>
  <c r="I383" i="12" s="1"/>
  <c r="I382" i="12" s="1"/>
  <c r="I381" i="12" s="1"/>
  <c r="I375" i="12" s="1"/>
  <c r="I374" i="12" s="1"/>
  <c r="H537" i="12"/>
  <c r="I536" i="12"/>
  <c r="I535" i="12" s="1"/>
  <c r="I590" i="12"/>
  <c r="I589" i="12" s="1"/>
  <c r="I555" i="12"/>
  <c r="I372" i="12"/>
  <c r="I371" i="12" s="1"/>
  <c r="H373" i="12"/>
  <c r="I347" i="12"/>
  <c r="I346" i="12" s="1"/>
  <c r="F685" i="14"/>
  <c r="E684" i="14"/>
  <c r="I341" i="12"/>
  <c r="I340" i="12" s="1"/>
  <c r="I339" i="12" s="1"/>
  <c r="I338" i="12" s="1"/>
  <c r="I337" i="12" s="1"/>
  <c r="H342" i="12"/>
  <c r="H341" i="12" s="1"/>
  <c r="H340" i="12" s="1"/>
  <c r="H339" i="12" s="1"/>
  <c r="H338" i="12" s="1"/>
  <c r="H337" i="12" s="1"/>
  <c r="I330" i="12"/>
  <c r="I332" i="12"/>
  <c r="H333" i="12"/>
  <c r="H331" i="12"/>
  <c r="I318" i="12"/>
  <c r="I317" i="12" s="1"/>
  <c r="H319" i="12"/>
  <c r="H316" i="12"/>
  <c r="I311" i="12"/>
  <c r="I310" i="12" s="1"/>
  <c r="I309" i="12" s="1"/>
  <c r="H312" i="12"/>
  <c r="I307" i="12"/>
  <c r="I306" i="12" s="1"/>
  <c r="H308" i="12"/>
  <c r="I304" i="12"/>
  <c r="I303" i="12" s="1"/>
  <c r="H305" i="12"/>
  <c r="H299" i="12"/>
  <c r="H290" i="12"/>
  <c r="H288" i="12"/>
  <c r="H283" i="12"/>
  <c r="I279" i="12"/>
  <c r="I278" i="12" s="1"/>
  <c r="H280" i="12"/>
  <c r="I271" i="12"/>
  <c r="I270" i="12" s="1"/>
  <c r="I273" i="12"/>
  <c r="H274" i="12"/>
  <c r="H272" i="12"/>
  <c r="I266" i="12"/>
  <c r="I265" i="12" s="1"/>
  <c r="I264" i="12" s="1"/>
  <c r="I263" i="12" s="1"/>
  <c r="H267" i="12"/>
  <c r="I256" i="12"/>
  <c r="I255" i="12" s="1"/>
  <c r="I250" i="12"/>
  <c r="I249" i="12" s="1"/>
  <c r="I244" i="12"/>
  <c r="I243" i="12" s="1"/>
  <c r="H245" i="12"/>
  <c r="I212" i="12"/>
  <c r="I211" i="12" s="1"/>
  <c r="I210" i="12" s="1"/>
  <c r="H213" i="12"/>
  <c r="H207" i="12"/>
  <c r="I197" i="12"/>
  <c r="I196" i="12" s="1"/>
  <c r="I195" i="12" s="1"/>
  <c r="I194" i="12" s="1"/>
  <c r="H198" i="12"/>
  <c r="I191" i="12"/>
  <c r="I189" i="12"/>
  <c r="H192" i="12"/>
  <c r="H190" i="12"/>
  <c r="I186" i="12"/>
  <c r="I182" i="12"/>
  <c r="I180" i="12"/>
  <c r="H187" i="12"/>
  <c r="H183" i="12"/>
  <c r="E592" i="14" s="1"/>
  <c r="H181" i="12"/>
  <c r="I177" i="12"/>
  <c r="I175" i="12"/>
  <c r="I173" i="12"/>
  <c r="I170" i="12"/>
  <c r="I169" i="12" s="1"/>
  <c r="H171" i="12"/>
  <c r="E577" i="14" s="1"/>
  <c r="I167" i="12"/>
  <c r="I166" i="12" s="1"/>
  <c r="H168" i="12"/>
  <c r="H167" i="12" s="1"/>
  <c r="H166" i="12" s="1"/>
  <c r="I162" i="12"/>
  <c r="I161" i="12" s="1"/>
  <c r="I160" i="12" s="1"/>
  <c r="H163" i="12"/>
  <c r="E545" i="14" s="1"/>
  <c r="I158" i="12"/>
  <c r="I157" i="12" s="1"/>
  <c r="I156" i="12" s="1"/>
  <c r="I155" i="12" s="1"/>
  <c r="H159" i="12"/>
  <c r="I145" i="12"/>
  <c r="I144" i="12" s="1"/>
  <c r="H146" i="12"/>
  <c r="I142" i="12"/>
  <c r="I141" i="12" s="1"/>
  <c r="I140" i="12" s="1"/>
  <c r="I139" i="12" s="1"/>
  <c r="H143" i="12"/>
  <c r="I137" i="12"/>
  <c r="I136" i="12" s="1"/>
  <c r="H138" i="12"/>
  <c r="I134" i="12"/>
  <c r="H135" i="12"/>
  <c r="I132" i="12"/>
  <c r="H133" i="12"/>
  <c r="I130" i="12"/>
  <c r="H131" i="12"/>
  <c r="I127" i="12"/>
  <c r="I126" i="12" s="1"/>
  <c r="H128" i="12"/>
  <c r="I953" i="12" l="1"/>
  <c r="F131" i="14"/>
  <c r="E969" i="14"/>
  <c r="F969" i="14" s="1"/>
  <c r="F948" i="14"/>
  <c r="H798" i="12"/>
  <c r="J798" i="12" s="1"/>
  <c r="H434" i="12"/>
  <c r="J434" i="12" s="1"/>
  <c r="J462" i="12"/>
  <c r="F219" i="14"/>
  <c r="E222" i="14"/>
  <c r="F222" i="14" s="1"/>
  <c r="I329" i="12"/>
  <c r="I328" i="12" s="1"/>
  <c r="I327" i="12" s="1"/>
  <c r="I326" i="12" s="1"/>
  <c r="F713" i="14"/>
  <c r="H1224" i="12"/>
  <c r="J1224" i="12" s="1"/>
  <c r="H658" i="12"/>
  <c r="H657" i="12" s="1"/>
  <c r="H1050" i="12"/>
  <c r="J1050" i="12" s="1"/>
  <c r="E242" i="14"/>
  <c r="E241" i="14" s="1"/>
  <c r="H1104" i="12"/>
  <c r="H1087" i="12" s="1"/>
  <c r="H1086" i="12" s="1"/>
  <c r="H1085" i="12" s="1"/>
  <c r="J1085" i="12" s="1"/>
  <c r="H930" i="12"/>
  <c r="H929" i="12" s="1"/>
  <c r="H928" i="12" s="1"/>
  <c r="J928" i="12" s="1"/>
  <c r="E121" i="14"/>
  <c r="E120" i="14" s="1"/>
  <c r="H1169" i="12"/>
  <c r="J1169" i="12" s="1"/>
  <c r="J921" i="12"/>
  <c r="H887" i="12"/>
  <c r="H886" i="12" s="1"/>
  <c r="J886" i="12" s="1"/>
  <c r="H534" i="12"/>
  <c r="H590" i="12"/>
  <c r="H589" i="12" s="1"/>
  <c r="J589" i="12" s="1"/>
  <c r="H405" i="12"/>
  <c r="H404" i="12" s="1"/>
  <c r="H403" i="12" s="1"/>
  <c r="H506" i="12"/>
  <c r="J506" i="12" s="1"/>
  <c r="H685" i="12"/>
  <c r="J685" i="12" s="1"/>
  <c r="H782" i="12"/>
  <c r="J782" i="12" s="1"/>
  <c r="H812" i="12"/>
  <c r="J812" i="12" s="1"/>
  <c r="H392" i="12"/>
  <c r="H391" i="12" s="1"/>
  <c r="H390" i="12" s="1"/>
  <c r="H389" i="12" s="1"/>
  <c r="J389" i="12" s="1"/>
  <c r="H805" i="12"/>
  <c r="H555" i="12"/>
  <c r="J555" i="12" s="1"/>
  <c r="H861" i="12"/>
  <c r="H582" i="12"/>
  <c r="H581" i="12" s="1"/>
  <c r="H580" i="12" s="1"/>
  <c r="J777" i="12"/>
  <c r="H650" i="12"/>
  <c r="H649" i="12" s="1"/>
  <c r="H648" i="12" s="1"/>
  <c r="H647" i="12" s="1"/>
  <c r="J647" i="12" s="1"/>
  <c r="H446" i="12"/>
  <c r="J446" i="12" s="1"/>
  <c r="I1161" i="12"/>
  <c r="H787" i="12"/>
  <c r="J787" i="12" s="1"/>
  <c r="H1197" i="12"/>
  <c r="H421" i="12"/>
  <c r="J421" i="12" s="1"/>
  <c r="H375" i="12"/>
  <c r="H374" i="12" s="1"/>
  <c r="J374" i="12" s="1"/>
  <c r="H693" i="12"/>
  <c r="H838" i="12"/>
  <c r="H824" i="12"/>
  <c r="J824" i="12" s="1"/>
  <c r="H517" i="12"/>
  <c r="H831" i="12"/>
  <c r="J831" i="12" s="1"/>
  <c r="H845" i="12"/>
  <c r="J845" i="12" s="1"/>
  <c r="J444" i="12"/>
  <c r="I534" i="12"/>
  <c r="I533" i="12" s="1"/>
  <c r="H746" i="12"/>
  <c r="J746" i="12" s="1"/>
  <c r="H173" i="12"/>
  <c r="J173" i="12" s="1"/>
  <c r="E583" i="14"/>
  <c r="H134" i="12"/>
  <c r="J134" i="12" s="1"/>
  <c r="E1062" i="14"/>
  <c r="H142" i="12"/>
  <c r="H141" i="12" s="1"/>
  <c r="J141" i="12" s="1"/>
  <c r="E1075" i="14"/>
  <c r="E1072" i="14" s="1"/>
  <c r="E1067" i="14" s="1"/>
  <c r="H158" i="12"/>
  <c r="H157" i="12" s="1"/>
  <c r="H156" i="12" s="1"/>
  <c r="E532" i="14"/>
  <c r="H170" i="12"/>
  <c r="H169" i="12" s="1"/>
  <c r="J169" i="12" s="1"/>
  <c r="H177" i="12"/>
  <c r="J177" i="12" s="1"/>
  <c r="E587" i="14"/>
  <c r="H180" i="12"/>
  <c r="J180" i="12" s="1"/>
  <c r="E590" i="14"/>
  <c r="H191" i="12"/>
  <c r="J191" i="12" s="1"/>
  <c r="E618" i="14"/>
  <c r="H244" i="12"/>
  <c r="H243" i="12" s="1"/>
  <c r="J243" i="12" s="1"/>
  <c r="E1088" i="14"/>
  <c r="H271" i="12"/>
  <c r="J271" i="12" s="1"/>
  <c r="E420" i="14"/>
  <c r="H279" i="12"/>
  <c r="H278" i="12" s="1"/>
  <c r="J278" i="12" s="1"/>
  <c r="E428" i="14"/>
  <c r="E209" i="14"/>
  <c r="F209" i="14" s="1"/>
  <c r="F210" i="14"/>
  <c r="E249" i="14"/>
  <c r="F250" i="14"/>
  <c r="F925" i="14"/>
  <c r="F926" i="14"/>
  <c r="E754" i="14"/>
  <c r="F754" i="14" s="1"/>
  <c r="F755" i="14"/>
  <c r="E752" i="14"/>
  <c r="F753" i="14"/>
  <c r="E294" i="14"/>
  <c r="F295" i="14"/>
  <c r="E930" i="14"/>
  <c r="F930" i="14" s="1"/>
  <c r="F931" i="14"/>
  <c r="E138" i="14"/>
  <c r="F138" i="14" s="1"/>
  <c r="F139" i="14"/>
  <c r="E547" i="14"/>
  <c r="F548" i="14"/>
  <c r="E381" i="14"/>
  <c r="F381" i="14" s="1"/>
  <c r="F382" i="14"/>
  <c r="E787" i="14"/>
  <c r="F788" i="14"/>
  <c r="E767" i="14"/>
  <c r="F767" i="14" s="1"/>
  <c r="F768" i="14"/>
  <c r="E460" i="14"/>
  <c r="F461" i="14"/>
  <c r="F917" i="14"/>
  <c r="E391" i="14"/>
  <c r="F391" i="14" s="1"/>
  <c r="F392" i="14"/>
  <c r="E379" i="14"/>
  <c r="F380" i="14"/>
  <c r="E322" i="14"/>
  <c r="F323" i="14"/>
  <c r="E1000" i="14"/>
  <c r="F1001" i="14"/>
  <c r="E528" i="14"/>
  <c r="F529" i="14"/>
  <c r="E729" i="14"/>
  <c r="F730" i="14"/>
  <c r="E849" i="14"/>
  <c r="F850" i="14"/>
  <c r="E814" i="14"/>
  <c r="F815" i="14"/>
  <c r="E756" i="14"/>
  <c r="F756" i="14" s="1"/>
  <c r="F757" i="14"/>
  <c r="E230" i="14"/>
  <c r="F231" i="14"/>
  <c r="H127" i="12"/>
  <c r="H126" i="12" s="1"/>
  <c r="J126" i="12" s="1"/>
  <c r="E1055" i="14"/>
  <c r="H132" i="12"/>
  <c r="J132" i="12" s="1"/>
  <c r="E1060" i="14"/>
  <c r="H137" i="12"/>
  <c r="H136" i="12" s="1"/>
  <c r="J136" i="12" s="1"/>
  <c r="E1065" i="14"/>
  <c r="H145" i="12"/>
  <c r="H144" i="12" s="1"/>
  <c r="J144" i="12" s="1"/>
  <c r="E1078" i="14"/>
  <c r="E591" i="14"/>
  <c r="F591" i="14" s="1"/>
  <c r="F592" i="14"/>
  <c r="I207" i="12"/>
  <c r="I206" i="12" s="1"/>
  <c r="I205" i="12" s="1"/>
  <c r="I204" i="12" s="1"/>
  <c r="E725" i="14"/>
  <c r="H273" i="12"/>
  <c r="J273" i="12" s="1"/>
  <c r="E422" i="14"/>
  <c r="H298" i="12"/>
  <c r="H297" i="12" s="1"/>
  <c r="E341" i="14"/>
  <c r="H304" i="12"/>
  <c r="H303" i="12" s="1"/>
  <c r="J303" i="12" s="1"/>
  <c r="E347" i="14"/>
  <c r="H307" i="12"/>
  <c r="H306" i="12" s="1"/>
  <c r="J306" i="12" s="1"/>
  <c r="E350" i="14"/>
  <c r="H315" i="12"/>
  <c r="H314" i="12" s="1"/>
  <c r="J314" i="12" s="1"/>
  <c r="E358" i="14"/>
  <c r="H330" i="12"/>
  <c r="E36" i="14"/>
  <c r="E683" i="14"/>
  <c r="F684" i="14"/>
  <c r="E963" i="14"/>
  <c r="F963" i="14" s="1"/>
  <c r="F964" i="14"/>
  <c r="E389" i="14"/>
  <c r="F389" i="14" s="1"/>
  <c r="F390" i="14"/>
  <c r="E370" i="14"/>
  <c r="F370" i="14" s="1"/>
  <c r="F371" i="14"/>
  <c r="E784" i="14"/>
  <c r="F785" i="14"/>
  <c r="E774" i="14"/>
  <c r="F775" i="14"/>
  <c r="E271" i="14"/>
  <c r="F272" i="14"/>
  <c r="E551" i="14"/>
  <c r="F551" i="14" s="1"/>
  <c r="F552" i="14"/>
  <c r="E255" i="14"/>
  <c r="F256" i="14"/>
  <c r="F1025" i="14"/>
  <c r="E450" i="14"/>
  <c r="F451" i="14"/>
  <c r="E966" i="14"/>
  <c r="F966" i="14" s="1"/>
  <c r="F967" i="14"/>
  <c r="F949" i="14"/>
  <c r="E387" i="14"/>
  <c r="F388" i="14"/>
  <c r="E317" i="14"/>
  <c r="E314" i="14" s="1"/>
  <c r="F318" i="14"/>
  <c r="E995" i="14"/>
  <c r="F996" i="14"/>
  <c r="E368" i="14"/>
  <c r="F369" i="14"/>
  <c r="E845" i="14"/>
  <c r="F846" i="14"/>
  <c r="E811" i="14"/>
  <c r="F812" i="14"/>
  <c r="E779" i="14"/>
  <c r="F779" i="14" s="1"/>
  <c r="F780" i="14"/>
  <c r="E762" i="14"/>
  <c r="F763" i="14"/>
  <c r="E738" i="14"/>
  <c r="F739" i="14"/>
  <c r="E455" i="14"/>
  <c r="F456" i="14"/>
  <c r="F970" i="14"/>
  <c r="E505" i="14"/>
  <c r="F506" i="14"/>
  <c r="F199" i="14"/>
  <c r="E983" i="14"/>
  <c r="F983" i="14" s="1"/>
  <c r="F984" i="14"/>
  <c r="E939" i="14"/>
  <c r="F940" i="14"/>
  <c r="F765" i="14"/>
  <c r="E544" i="14"/>
  <c r="F545" i="14"/>
  <c r="H186" i="12"/>
  <c r="J186" i="12" s="1"/>
  <c r="E596" i="14"/>
  <c r="H212" i="12"/>
  <c r="H211" i="12" s="1"/>
  <c r="H210" i="12" s="1"/>
  <c r="E824" i="14"/>
  <c r="J220" i="12"/>
  <c r="H250" i="12"/>
  <c r="H249" i="12" s="1"/>
  <c r="J249" i="12" s="1"/>
  <c r="E1097" i="14"/>
  <c r="H266" i="12"/>
  <c r="H265" i="12" s="1"/>
  <c r="H264" i="12" s="1"/>
  <c r="H263" i="12" s="1"/>
  <c r="J263" i="12" s="1"/>
  <c r="E415" i="14"/>
  <c r="H282" i="12"/>
  <c r="H281" i="12" s="1"/>
  <c r="J281" i="12" s="1"/>
  <c r="E431" i="14"/>
  <c r="H332" i="12"/>
  <c r="J332" i="12" s="1"/>
  <c r="E38" i="14"/>
  <c r="H372" i="12"/>
  <c r="H371" i="12" s="1"/>
  <c r="J371" i="12" s="1"/>
  <c r="E709" i="14"/>
  <c r="E1014" i="14"/>
  <c r="F1014" i="14" s="1"/>
  <c r="F1015" i="14"/>
  <c r="F23" i="14"/>
  <c r="E22" i="14"/>
  <c r="E600" i="14"/>
  <c r="F600" i="14" s="1"/>
  <c r="F601" i="14"/>
  <c r="E942" i="14"/>
  <c r="F942" i="14" s="1"/>
  <c r="F943" i="14"/>
  <c r="E284" i="14"/>
  <c r="F285" i="14"/>
  <c r="E227" i="14"/>
  <c r="F228" i="14"/>
  <c r="F18" i="14"/>
  <c r="E17" i="14"/>
  <c r="E632" i="14"/>
  <c r="F632" i="14" s="1"/>
  <c r="F633" i="14"/>
  <c r="E933" i="14"/>
  <c r="F933" i="14" s="1"/>
  <c r="F934" i="14"/>
  <c r="E914" i="14"/>
  <c r="F914" i="14" s="1"/>
  <c r="F915" i="14"/>
  <c r="E375" i="14"/>
  <c r="F375" i="14" s="1"/>
  <c r="F376" i="14"/>
  <c r="E777" i="14"/>
  <c r="F778" i="14"/>
  <c r="E741" i="14"/>
  <c r="F742" i="14"/>
  <c r="E232" i="14"/>
  <c r="F232" i="14" s="1"/>
  <c r="F233" i="14"/>
  <c r="E178" i="14"/>
  <c r="F178" i="14" s="1"/>
  <c r="F179" i="14"/>
  <c r="F327" i="14"/>
  <c r="F328" i="14"/>
  <c r="E607" i="14"/>
  <c r="F607" i="14" s="1"/>
  <c r="F608" i="14"/>
  <c r="E879" i="14"/>
  <c r="F880" i="14"/>
  <c r="E384" i="14"/>
  <c r="F385" i="14"/>
  <c r="E373" i="14"/>
  <c r="F374" i="14"/>
  <c r="E312" i="14"/>
  <c r="F313" i="14"/>
  <c r="E991" i="14"/>
  <c r="F992" i="14"/>
  <c r="E875" i="14"/>
  <c r="F876" i="14"/>
  <c r="E517" i="14"/>
  <c r="F518" i="14"/>
  <c r="E856" i="14"/>
  <c r="F857" i="14"/>
  <c r="E838" i="14"/>
  <c r="F839" i="14"/>
  <c r="E799" i="14"/>
  <c r="F800" i="14"/>
  <c r="E759" i="14"/>
  <c r="F760" i="14"/>
  <c r="E749" i="14"/>
  <c r="F750" i="14"/>
  <c r="E735" i="14"/>
  <c r="F736" i="14"/>
  <c r="H130" i="12"/>
  <c r="J130" i="12" s="1"/>
  <c r="E1058" i="14"/>
  <c r="I153" i="12"/>
  <c r="I152" i="12" s="1"/>
  <c r="I151" i="12" s="1"/>
  <c r="I150" i="12" s="1"/>
  <c r="I149" i="12" s="1"/>
  <c r="I148" i="12" s="1"/>
  <c r="E103" i="14"/>
  <c r="H162" i="12"/>
  <c r="H161" i="12" s="1"/>
  <c r="H160" i="12" s="1"/>
  <c r="J160" i="12" s="1"/>
  <c r="E576" i="14"/>
  <c r="F577" i="14"/>
  <c r="H175" i="12"/>
  <c r="J175" i="12" s="1"/>
  <c r="E585" i="14"/>
  <c r="H182" i="12"/>
  <c r="H189" i="12"/>
  <c r="J189" i="12" s="1"/>
  <c r="E616" i="14"/>
  <c r="H197" i="12"/>
  <c r="H196" i="12" s="1"/>
  <c r="H195" i="12" s="1"/>
  <c r="H194" i="12" s="1"/>
  <c r="J194" i="12" s="1"/>
  <c r="E654" i="14"/>
  <c r="H289" i="12"/>
  <c r="J289" i="12" s="1"/>
  <c r="E438" i="14"/>
  <c r="H311" i="12"/>
  <c r="H310" i="12" s="1"/>
  <c r="H309" i="12" s="1"/>
  <c r="J309" i="12" s="1"/>
  <c r="E354" i="14"/>
  <c r="H318" i="12"/>
  <c r="H317" i="12" s="1"/>
  <c r="J317" i="12" s="1"/>
  <c r="E361" i="14"/>
  <c r="F88" i="14"/>
  <c r="F80" i="14"/>
  <c r="E79" i="14"/>
  <c r="E976" i="14"/>
  <c r="F977" i="14"/>
  <c r="E953" i="14"/>
  <c r="F953" i="14" s="1"/>
  <c r="F954" i="14"/>
  <c r="E997" i="14"/>
  <c r="F997" i="14" s="1"/>
  <c r="F998" i="14"/>
  <c r="E790" i="14"/>
  <c r="F791" i="14"/>
  <c r="E781" i="14"/>
  <c r="F781" i="14" s="1"/>
  <c r="F782" i="14"/>
  <c r="E12" i="14"/>
  <c r="F13" i="14"/>
  <c r="E641" i="14"/>
  <c r="F641" i="14" s="1"/>
  <c r="F642" i="14"/>
  <c r="F1007" i="14"/>
  <c r="F1008" i="14"/>
  <c r="E508" i="14"/>
  <c r="F509" i="14"/>
  <c r="E945" i="14"/>
  <c r="F945" i="14" s="1"/>
  <c r="F946" i="14"/>
  <c r="E899" i="14"/>
  <c r="F900" i="14"/>
  <c r="E325" i="14"/>
  <c r="F326" i="14"/>
  <c r="E309" i="14"/>
  <c r="F310" i="14"/>
  <c r="E534" i="14"/>
  <c r="F535" i="14"/>
  <c r="E522" i="14"/>
  <c r="F523" i="14"/>
  <c r="E852" i="14"/>
  <c r="F853" i="14"/>
  <c r="E817" i="14"/>
  <c r="F818" i="14"/>
  <c r="E796" i="14"/>
  <c r="F797" i="14"/>
  <c r="E769" i="14"/>
  <c r="F769" i="14" s="1"/>
  <c r="F770" i="14"/>
  <c r="E746" i="14"/>
  <c r="F747" i="14"/>
  <c r="F58" i="14"/>
  <c r="E57" i="14"/>
  <c r="F57" i="14" s="1"/>
  <c r="E189" i="14"/>
  <c r="F190" i="14"/>
  <c r="E619" i="14"/>
  <c r="F619" i="14" s="1"/>
  <c r="F620" i="14"/>
  <c r="E958" i="14"/>
  <c r="F958" i="14" s="1"/>
  <c r="F959" i="14"/>
  <c r="E936" i="14"/>
  <c r="F936" i="14" s="1"/>
  <c r="F937" i="14"/>
  <c r="E173" i="14"/>
  <c r="F174" i="14"/>
  <c r="E51" i="14"/>
  <c r="F51" i="14" s="1"/>
  <c r="F52" i="14"/>
  <c r="E578" i="14"/>
  <c r="F578" i="14" s="1"/>
  <c r="F579" i="14"/>
  <c r="H287" i="12"/>
  <c r="J287" i="12" s="1"/>
  <c r="E436" i="14"/>
  <c r="I573" i="12"/>
  <c r="K573" i="12" s="1"/>
  <c r="I414" i="12"/>
  <c r="I413" i="12" s="1"/>
  <c r="I412" i="12" s="1"/>
  <c r="I402" i="12" s="1"/>
  <c r="K402" i="12" s="1"/>
  <c r="I613" i="12"/>
  <c r="K613" i="12" s="1"/>
  <c r="I820" i="12"/>
  <c r="I819" i="12" s="1"/>
  <c r="I818" i="12" s="1"/>
  <c r="I817" i="12" s="1"/>
  <c r="I188" i="12"/>
  <c r="K188" i="12" s="1"/>
  <c r="I497" i="12"/>
  <c r="I496" i="12" s="1"/>
  <c r="I495" i="12" s="1"/>
  <c r="K495" i="12" s="1"/>
  <c r="I684" i="12"/>
  <c r="I233" i="12"/>
  <c r="K233" i="12" s="1"/>
  <c r="I209" i="12"/>
  <c r="I208" i="12" s="1"/>
  <c r="K208" i="12" s="1"/>
  <c r="I179" i="12"/>
  <c r="K179" i="12" s="1"/>
  <c r="I919" i="12"/>
  <c r="K920" i="12"/>
  <c r="I129" i="12"/>
  <c r="I125" i="12" s="1"/>
  <c r="K125" i="12" s="1"/>
  <c r="H919" i="12"/>
  <c r="J920" i="12"/>
  <c r="H347" i="12"/>
  <c r="H346" i="12" s="1"/>
  <c r="H152" i="12"/>
  <c r="H151" i="12" s="1"/>
  <c r="H150" i="12" s="1"/>
  <c r="H149" i="12" s="1"/>
  <c r="H148" i="12" s="1"/>
  <c r="H206" i="12"/>
  <c r="H205" i="12" s="1"/>
  <c r="H204" i="12" s="1"/>
  <c r="I345" i="12"/>
  <c r="I344" i="12" s="1"/>
  <c r="I343" i="12" s="1"/>
  <c r="K343" i="12" s="1"/>
  <c r="K255" i="12"/>
  <c r="I172" i="12"/>
  <c r="I123" i="12"/>
  <c r="K123" i="12" s="1"/>
  <c r="I121" i="12"/>
  <c r="K121" i="12" s="1"/>
  <c r="I119" i="12"/>
  <c r="K119" i="12" s="1"/>
  <c r="H124" i="12"/>
  <c r="J124" i="12" s="1"/>
  <c r="H122" i="12"/>
  <c r="J122" i="12" s="1"/>
  <c r="H120" i="12"/>
  <c r="J120" i="12" s="1"/>
  <c r="I112" i="12"/>
  <c r="I111" i="12" s="1"/>
  <c r="H113" i="12"/>
  <c r="J113" i="12" s="1"/>
  <c r="H109" i="12"/>
  <c r="J109" i="12" s="1"/>
  <c r="H101" i="12"/>
  <c r="J101" i="12" s="1"/>
  <c r="I102" i="12"/>
  <c r="K102" i="12" s="1"/>
  <c r="I100" i="12"/>
  <c r="I98" i="12"/>
  <c r="K98" i="12" s="1"/>
  <c r="H99" i="12"/>
  <c r="J99" i="12" s="1"/>
  <c r="H92" i="12"/>
  <c r="J92" i="12" s="1"/>
  <c r="H78" i="12"/>
  <c r="J78" i="12" s="1"/>
  <c r="H76" i="12"/>
  <c r="J76" i="12" s="1"/>
  <c r="H70" i="12"/>
  <c r="J70" i="12" s="1"/>
  <c r="H68" i="12"/>
  <c r="J68" i="12" s="1"/>
  <c r="H62" i="12"/>
  <c r="J62" i="12" s="1"/>
  <c r="H60" i="12"/>
  <c r="J60" i="12" s="1"/>
  <c r="H54" i="12"/>
  <c r="J54" i="12" s="1"/>
  <c r="H52" i="12"/>
  <c r="J52" i="12" s="1"/>
  <c r="I45" i="12"/>
  <c r="I44" i="12" s="1"/>
  <c r="K44" i="12" s="1"/>
  <c r="H46" i="12"/>
  <c r="J46" i="12" s="1"/>
  <c r="H41" i="12"/>
  <c r="J41" i="12" s="1"/>
  <c r="I36" i="12"/>
  <c r="I35" i="12" s="1"/>
  <c r="H37" i="12"/>
  <c r="J37" i="12" s="1"/>
  <c r="H30" i="12"/>
  <c r="J30" i="12" s="1"/>
  <c r="H28" i="12"/>
  <c r="J28" i="12" s="1"/>
  <c r="H26" i="12"/>
  <c r="J26" i="12" s="1"/>
  <c r="H23" i="12"/>
  <c r="J23" i="12" s="1"/>
  <c r="H18" i="12"/>
  <c r="J18" i="12" s="1"/>
  <c r="K1358" i="12"/>
  <c r="J1358" i="12"/>
  <c r="K1357" i="12"/>
  <c r="J1357" i="12"/>
  <c r="K1356" i="12"/>
  <c r="J1356" i="12"/>
  <c r="K1355" i="12"/>
  <c r="J1355" i="12"/>
  <c r="K1354" i="12"/>
  <c r="J1354" i="12"/>
  <c r="K1353" i="12"/>
  <c r="J1353" i="12"/>
  <c r="K1352" i="12"/>
  <c r="J1352" i="12"/>
  <c r="K1351" i="12"/>
  <c r="J1351" i="12"/>
  <c r="K1350" i="12"/>
  <c r="J1350" i="12"/>
  <c r="K1349" i="12"/>
  <c r="J1349" i="12"/>
  <c r="K1348" i="12"/>
  <c r="J1348" i="12"/>
  <c r="K1347" i="12"/>
  <c r="J1347" i="12"/>
  <c r="K1346" i="12"/>
  <c r="J1346" i="12"/>
  <c r="K1345" i="12"/>
  <c r="J1345" i="12"/>
  <c r="K1339" i="12"/>
  <c r="J1339" i="12"/>
  <c r="K1338" i="12"/>
  <c r="J1338" i="12"/>
  <c r="K1337" i="12"/>
  <c r="J1337" i="12"/>
  <c r="K1336" i="12"/>
  <c r="J1336" i="12"/>
  <c r="K1335" i="12"/>
  <c r="J1335" i="12"/>
  <c r="K1334" i="12"/>
  <c r="J1334" i="12"/>
  <c r="K1333" i="12"/>
  <c r="J1333" i="12"/>
  <c r="K1332" i="12"/>
  <c r="J1332" i="12"/>
  <c r="K1331" i="12"/>
  <c r="J1331" i="12"/>
  <c r="K1328" i="12"/>
  <c r="J1328" i="12"/>
  <c r="K1327" i="12"/>
  <c r="J1327" i="12"/>
  <c r="K1326" i="12"/>
  <c r="J1326" i="12"/>
  <c r="K1325" i="12"/>
  <c r="J1325" i="12"/>
  <c r="K1324" i="12"/>
  <c r="J1324" i="12"/>
  <c r="K1323" i="12"/>
  <c r="J1323" i="12"/>
  <c r="K1322" i="12"/>
  <c r="J1322" i="12"/>
  <c r="K1321" i="12"/>
  <c r="J1321" i="12"/>
  <c r="K1320" i="12"/>
  <c r="J1320" i="12"/>
  <c r="K1319" i="12"/>
  <c r="J1319" i="12"/>
  <c r="K1318" i="12"/>
  <c r="J1318" i="12"/>
  <c r="K1317" i="12"/>
  <c r="J1317" i="12"/>
  <c r="K1316" i="12"/>
  <c r="J1316" i="12"/>
  <c r="K1315" i="12"/>
  <c r="J1315" i="12"/>
  <c r="K1314" i="12"/>
  <c r="J1314" i="12"/>
  <c r="K1313" i="12"/>
  <c r="J1313" i="12"/>
  <c r="K1312" i="12"/>
  <c r="J1312" i="12"/>
  <c r="K1311" i="12"/>
  <c r="J1311" i="12"/>
  <c r="K1310" i="12"/>
  <c r="J1310" i="12"/>
  <c r="K1309" i="12"/>
  <c r="J1309" i="12"/>
  <c r="K1308" i="12"/>
  <c r="J1308" i="12"/>
  <c r="K1307" i="12"/>
  <c r="J1307" i="12"/>
  <c r="K1306" i="12"/>
  <c r="J1306" i="12"/>
  <c r="K1305" i="12"/>
  <c r="J1305" i="12"/>
  <c r="K1298" i="12"/>
  <c r="J1298" i="12"/>
  <c r="K1297" i="12"/>
  <c r="J1297" i="12"/>
  <c r="K1296" i="12"/>
  <c r="J1296" i="12"/>
  <c r="K1295" i="12"/>
  <c r="J1295" i="12"/>
  <c r="K1294" i="12"/>
  <c r="J1294" i="12"/>
  <c r="K1293" i="12"/>
  <c r="J1293" i="12"/>
  <c r="K1292" i="12"/>
  <c r="J1292" i="12"/>
  <c r="K1291" i="12"/>
  <c r="J1291" i="12"/>
  <c r="K1290" i="12"/>
  <c r="J1290" i="12"/>
  <c r="K1289" i="12"/>
  <c r="J1289" i="12"/>
  <c r="K1288" i="12"/>
  <c r="J1288" i="12"/>
  <c r="K1287" i="12"/>
  <c r="J1287" i="12"/>
  <c r="K1284" i="12"/>
  <c r="J1284" i="12"/>
  <c r="K1283" i="12"/>
  <c r="J1283" i="12"/>
  <c r="K1282" i="12"/>
  <c r="J1282" i="12"/>
  <c r="K1281" i="12"/>
  <c r="J1281" i="12"/>
  <c r="K1280" i="12"/>
  <c r="J1280" i="12"/>
  <c r="K1279" i="12"/>
  <c r="J1279" i="12"/>
  <c r="K1278" i="12"/>
  <c r="J1278" i="12"/>
  <c r="K1277" i="12"/>
  <c r="J1277" i="12"/>
  <c r="K1276" i="12"/>
  <c r="J1276" i="12"/>
  <c r="K1275" i="12"/>
  <c r="J1275" i="12"/>
  <c r="K1274" i="12"/>
  <c r="J1274" i="12"/>
  <c r="K1273" i="12"/>
  <c r="J1273" i="12"/>
  <c r="K1272" i="12"/>
  <c r="J1272" i="12"/>
  <c r="K1271" i="12"/>
  <c r="J1271" i="12"/>
  <c r="K1270" i="12"/>
  <c r="J1270" i="12"/>
  <c r="K1269" i="12"/>
  <c r="J1269" i="12"/>
  <c r="K1268" i="12"/>
  <c r="J1268" i="12"/>
  <c r="K1267" i="12"/>
  <c r="J1267" i="12"/>
  <c r="K1266" i="12"/>
  <c r="J1266" i="12"/>
  <c r="K1265" i="12"/>
  <c r="J1265" i="12"/>
  <c r="K1264" i="12"/>
  <c r="J1264" i="12"/>
  <c r="K1263" i="12"/>
  <c r="J1263" i="12"/>
  <c r="K1262" i="12"/>
  <c r="J1262" i="12"/>
  <c r="K1261" i="12"/>
  <c r="J1261" i="12"/>
  <c r="K1260" i="12"/>
  <c r="J1260" i="12"/>
  <c r="K1259" i="12"/>
  <c r="J1259" i="12"/>
  <c r="K1258" i="12"/>
  <c r="J1258" i="12"/>
  <c r="K1248" i="12"/>
  <c r="J1248" i="12"/>
  <c r="K1247" i="12"/>
  <c r="J1247" i="12"/>
  <c r="K1246" i="12"/>
  <c r="J1246" i="12"/>
  <c r="K1245" i="12"/>
  <c r="J1245" i="12"/>
  <c r="K1244" i="12"/>
  <c r="J1244" i="12"/>
  <c r="K1243" i="12"/>
  <c r="J1243" i="12"/>
  <c r="K1242" i="12"/>
  <c r="J1242" i="12"/>
  <c r="K1241" i="12"/>
  <c r="J1241" i="12"/>
  <c r="K1240" i="12"/>
  <c r="J1240" i="12"/>
  <c r="K1239" i="12"/>
  <c r="J1239" i="12"/>
  <c r="K1238" i="12"/>
  <c r="J1238" i="12"/>
  <c r="K1237" i="12"/>
  <c r="J1237" i="12"/>
  <c r="K1236" i="12"/>
  <c r="J1236" i="12"/>
  <c r="K1235" i="12"/>
  <c r="J1235" i="12"/>
  <c r="K1234" i="12"/>
  <c r="J1234" i="12"/>
  <c r="K1233" i="12"/>
  <c r="J1233" i="12"/>
  <c r="K1232" i="12"/>
  <c r="J1232" i="12"/>
  <c r="K1231" i="12"/>
  <c r="J1231" i="12"/>
  <c r="K1230" i="12"/>
  <c r="J1230" i="12"/>
  <c r="K1229" i="12"/>
  <c r="J1229" i="12"/>
  <c r="K1228" i="12"/>
  <c r="J1228" i="12"/>
  <c r="K1227" i="12"/>
  <c r="J1227" i="12"/>
  <c r="K1226" i="12"/>
  <c r="J1226" i="12"/>
  <c r="K1225" i="12"/>
  <c r="J1225" i="12"/>
  <c r="K1224" i="12"/>
  <c r="K1223" i="12"/>
  <c r="J1223" i="12"/>
  <c r="K1222" i="12"/>
  <c r="J1222" i="12"/>
  <c r="K1221" i="12"/>
  <c r="J1221" i="12"/>
  <c r="K1220" i="12"/>
  <c r="J1220" i="12"/>
  <c r="K1219" i="12"/>
  <c r="J1219" i="12"/>
  <c r="K1218" i="12"/>
  <c r="J1218" i="12"/>
  <c r="K1217" i="12"/>
  <c r="J1217" i="12"/>
  <c r="J1216" i="12"/>
  <c r="J1215" i="12"/>
  <c r="J1214" i="12"/>
  <c r="J1213" i="12"/>
  <c r="J1212" i="12"/>
  <c r="K1211" i="12"/>
  <c r="J1211" i="12"/>
  <c r="K1210" i="12"/>
  <c r="J1210" i="12"/>
  <c r="K1209" i="12"/>
  <c r="J1209" i="12"/>
  <c r="K1208" i="12"/>
  <c r="J1208" i="12"/>
  <c r="K1207" i="12"/>
  <c r="J1207" i="12"/>
  <c r="J1206" i="12"/>
  <c r="J1205" i="12"/>
  <c r="J1204" i="12"/>
  <c r="J1203" i="12"/>
  <c r="J1202" i="12"/>
  <c r="J1201" i="12"/>
  <c r="J1200" i="12"/>
  <c r="J1199" i="12"/>
  <c r="J1198" i="12"/>
  <c r="K1196" i="12"/>
  <c r="J1196" i="12"/>
  <c r="K1195" i="12"/>
  <c r="J1195" i="12"/>
  <c r="K1194" i="12"/>
  <c r="J1194" i="12"/>
  <c r="K1193" i="12"/>
  <c r="J1193" i="12"/>
  <c r="K1192" i="12"/>
  <c r="J1192" i="12"/>
  <c r="K1191" i="12"/>
  <c r="J1191" i="12"/>
  <c r="K1190" i="12"/>
  <c r="J1190" i="12"/>
  <c r="K1189" i="12"/>
  <c r="J1189" i="12"/>
  <c r="K1188" i="12"/>
  <c r="J1188" i="12"/>
  <c r="K1187" i="12"/>
  <c r="J1187" i="12"/>
  <c r="K1186" i="12"/>
  <c r="J1186" i="12"/>
  <c r="K1185" i="12"/>
  <c r="J1185" i="12"/>
  <c r="K1184" i="12"/>
  <c r="J1184" i="12"/>
  <c r="J1183" i="12"/>
  <c r="J1182" i="12"/>
  <c r="J1181" i="12"/>
  <c r="J1180" i="12"/>
  <c r="J1179" i="12"/>
  <c r="J1178" i="12"/>
  <c r="J1177" i="12"/>
  <c r="J1176" i="12"/>
  <c r="K1175" i="12"/>
  <c r="J1175" i="12"/>
  <c r="K1174" i="12"/>
  <c r="J1174" i="12"/>
  <c r="K1173" i="12"/>
  <c r="J1173" i="12"/>
  <c r="K1172" i="12"/>
  <c r="J1172" i="12"/>
  <c r="K1171" i="12"/>
  <c r="J1171" i="12"/>
  <c r="K1170" i="12"/>
  <c r="J1170" i="12"/>
  <c r="K1168" i="12"/>
  <c r="J1168" i="12"/>
  <c r="K1167" i="12"/>
  <c r="J1167" i="12"/>
  <c r="K1166" i="12"/>
  <c r="J1166" i="12"/>
  <c r="K1165" i="12"/>
  <c r="J1165" i="12"/>
  <c r="K1164" i="12"/>
  <c r="J1164" i="12"/>
  <c r="K1163" i="12"/>
  <c r="J1163" i="12"/>
  <c r="K1162" i="12"/>
  <c r="J1162" i="12"/>
  <c r="K1160" i="12"/>
  <c r="J1160" i="12"/>
  <c r="K1159" i="12"/>
  <c r="J1159" i="12"/>
  <c r="K1158" i="12"/>
  <c r="J1158" i="12"/>
  <c r="K1157" i="12"/>
  <c r="J1157" i="12"/>
  <c r="K1156" i="12"/>
  <c r="J1156" i="12"/>
  <c r="K1155" i="12"/>
  <c r="J1155" i="12"/>
  <c r="K1154" i="12"/>
  <c r="J1154" i="12"/>
  <c r="K1153" i="12"/>
  <c r="J1153" i="12"/>
  <c r="K1152" i="12"/>
  <c r="J1152" i="12"/>
  <c r="K1151" i="12"/>
  <c r="J1151" i="12"/>
  <c r="K1149" i="12"/>
  <c r="J1149" i="12"/>
  <c r="K1148" i="12"/>
  <c r="J1148" i="12"/>
  <c r="K1147" i="12"/>
  <c r="J1147" i="12"/>
  <c r="K1145" i="12"/>
  <c r="J1145" i="12"/>
  <c r="K1144" i="12"/>
  <c r="J1144" i="12"/>
  <c r="K1143" i="12"/>
  <c r="J1143" i="12"/>
  <c r="K1142" i="12"/>
  <c r="J1142" i="12"/>
  <c r="K1136" i="12"/>
  <c r="J1136" i="12"/>
  <c r="K1135" i="12"/>
  <c r="J1135" i="12"/>
  <c r="K1134" i="12"/>
  <c r="J1134" i="12"/>
  <c r="K1133" i="12"/>
  <c r="J1133" i="12"/>
  <c r="K1132" i="12"/>
  <c r="J1132" i="12"/>
  <c r="K1131" i="12"/>
  <c r="J1131" i="12"/>
  <c r="K1130" i="12"/>
  <c r="J1130" i="12"/>
  <c r="K1129" i="12"/>
  <c r="J1129" i="12"/>
  <c r="K1128" i="12"/>
  <c r="J1128" i="12"/>
  <c r="K1127" i="12"/>
  <c r="J1127" i="12"/>
  <c r="K1126" i="12"/>
  <c r="J1126" i="12"/>
  <c r="K1125" i="12"/>
  <c r="J1125" i="12"/>
  <c r="K1124" i="12"/>
  <c r="J1124" i="12"/>
  <c r="K1123" i="12"/>
  <c r="J1123" i="12"/>
  <c r="K1122" i="12"/>
  <c r="J1122" i="12"/>
  <c r="K1121" i="12"/>
  <c r="J1121" i="12"/>
  <c r="K1120" i="12"/>
  <c r="J1120" i="12"/>
  <c r="K1119" i="12"/>
  <c r="J1119" i="12"/>
  <c r="K1118" i="12"/>
  <c r="J1118" i="12"/>
  <c r="K1117" i="12"/>
  <c r="J1117" i="12"/>
  <c r="K1116" i="12"/>
  <c r="J1116" i="12"/>
  <c r="K1115" i="12"/>
  <c r="J1115" i="12"/>
  <c r="K1114" i="12"/>
  <c r="J1114" i="12"/>
  <c r="K1113" i="12"/>
  <c r="J1113" i="12"/>
  <c r="K1112" i="12"/>
  <c r="J1112" i="12"/>
  <c r="K1111" i="12"/>
  <c r="J1111" i="12"/>
  <c r="K1110" i="12"/>
  <c r="J1110" i="12"/>
  <c r="K1109" i="12"/>
  <c r="J1109" i="12"/>
  <c r="K1108" i="12"/>
  <c r="J1108" i="12"/>
  <c r="K1107" i="12"/>
  <c r="J1107" i="12"/>
  <c r="K1106" i="12"/>
  <c r="J1106" i="12"/>
  <c r="K1105" i="12"/>
  <c r="J1105" i="12"/>
  <c r="K1104" i="12"/>
  <c r="K1103" i="12"/>
  <c r="J1103" i="12"/>
  <c r="K1102" i="12"/>
  <c r="J1102" i="12"/>
  <c r="K1101" i="12"/>
  <c r="J1101" i="12"/>
  <c r="K1100" i="12"/>
  <c r="J1100" i="12"/>
  <c r="K1097" i="12"/>
  <c r="J1097" i="12"/>
  <c r="K1096" i="12"/>
  <c r="J1096" i="12"/>
  <c r="K1095" i="12"/>
  <c r="J1095" i="12"/>
  <c r="K1094" i="12"/>
  <c r="J1094" i="12"/>
  <c r="K1093" i="12"/>
  <c r="J1093" i="12"/>
  <c r="K1092" i="12"/>
  <c r="J1092" i="12"/>
  <c r="K1091" i="12"/>
  <c r="J1091" i="12"/>
  <c r="K1090" i="12"/>
  <c r="J1090" i="12"/>
  <c r="K1089" i="12"/>
  <c r="J1089" i="12"/>
  <c r="K1088" i="12"/>
  <c r="J1088" i="12"/>
  <c r="K1087" i="12"/>
  <c r="K1086" i="12"/>
  <c r="K1085" i="12"/>
  <c r="K1084" i="12"/>
  <c r="J1084" i="12"/>
  <c r="K1083" i="12"/>
  <c r="J1083" i="12"/>
  <c r="K1082" i="12"/>
  <c r="J1082" i="12"/>
  <c r="K1081" i="12"/>
  <c r="J1081" i="12"/>
  <c r="K1080" i="12"/>
  <c r="J1080" i="12"/>
  <c r="K1079" i="12"/>
  <c r="J1079" i="12"/>
  <c r="K1078" i="12"/>
  <c r="J1078" i="12"/>
  <c r="K1077" i="12"/>
  <c r="J1077" i="12"/>
  <c r="K1076" i="12"/>
  <c r="J1076" i="12"/>
  <c r="K1074" i="12"/>
  <c r="J1074" i="12"/>
  <c r="K1073" i="12"/>
  <c r="J1073" i="12"/>
  <c r="K1072" i="12"/>
  <c r="J1072" i="12"/>
  <c r="K1071" i="12"/>
  <c r="J1071" i="12"/>
  <c r="K1070" i="12"/>
  <c r="J1070" i="12"/>
  <c r="K1069" i="12"/>
  <c r="J1069" i="12"/>
  <c r="K1068" i="12"/>
  <c r="J1068" i="12"/>
  <c r="K1067" i="12"/>
  <c r="J1067" i="12"/>
  <c r="K1066" i="12"/>
  <c r="J1066" i="12"/>
  <c r="K1065" i="12"/>
  <c r="J1065" i="12"/>
  <c r="K1064" i="12"/>
  <c r="J1064" i="12"/>
  <c r="K1063" i="12"/>
  <c r="J1063" i="12"/>
  <c r="K1062" i="12"/>
  <c r="J1062" i="12"/>
  <c r="K1061" i="12"/>
  <c r="J1061" i="12"/>
  <c r="K1060" i="12"/>
  <c r="J1060" i="12"/>
  <c r="K1059" i="12"/>
  <c r="J1059" i="12"/>
  <c r="K1058" i="12"/>
  <c r="J1058" i="12"/>
  <c r="K1057" i="12"/>
  <c r="J1057" i="12"/>
  <c r="K1056" i="12"/>
  <c r="J1056" i="12"/>
  <c r="K1055" i="12"/>
  <c r="J1055" i="12"/>
  <c r="K1054" i="12"/>
  <c r="J1054" i="12"/>
  <c r="K1053" i="12"/>
  <c r="J1053" i="12"/>
  <c r="K1052" i="12"/>
  <c r="J1052" i="12"/>
  <c r="K1051" i="12"/>
  <c r="J1051" i="12"/>
  <c r="K1050" i="12"/>
  <c r="K1049" i="12"/>
  <c r="J1049" i="12"/>
  <c r="K1048" i="12"/>
  <c r="J1048" i="12"/>
  <c r="K1047" i="12"/>
  <c r="J1047" i="12"/>
  <c r="K1046" i="12"/>
  <c r="J1046" i="12"/>
  <c r="K1045" i="12"/>
  <c r="J1045" i="12"/>
  <c r="K1044" i="12"/>
  <c r="J1044" i="12"/>
  <c r="K1043" i="12"/>
  <c r="J1043" i="12"/>
  <c r="K1042" i="12"/>
  <c r="J1042" i="12"/>
  <c r="K1041" i="12"/>
  <c r="J1041" i="12"/>
  <c r="K1040" i="12"/>
  <c r="J1040" i="12"/>
  <c r="K1039" i="12"/>
  <c r="J1039" i="12"/>
  <c r="K1038" i="12"/>
  <c r="J1038" i="12"/>
  <c r="K1037" i="12"/>
  <c r="J1037" i="12"/>
  <c r="K1036" i="12"/>
  <c r="J1036" i="12"/>
  <c r="K1035" i="12"/>
  <c r="J1035" i="12"/>
  <c r="K1034" i="12"/>
  <c r="J1034" i="12"/>
  <c r="K1033" i="12"/>
  <c r="J1033" i="12"/>
  <c r="K1032" i="12"/>
  <c r="J1032" i="12"/>
  <c r="K1031" i="12"/>
  <c r="J1031" i="12"/>
  <c r="K1030" i="12"/>
  <c r="J1030" i="12"/>
  <c r="K1029" i="12"/>
  <c r="J1029" i="12"/>
  <c r="K1028" i="12"/>
  <c r="J1028" i="12"/>
  <c r="K1027" i="12"/>
  <c r="J1027" i="12"/>
  <c r="K1026" i="12"/>
  <c r="J1026" i="12"/>
  <c r="K1025" i="12"/>
  <c r="J1025" i="12"/>
  <c r="K1024" i="12"/>
  <c r="J1024" i="12"/>
  <c r="K1023" i="12"/>
  <c r="J1023" i="12"/>
  <c r="K1022" i="12"/>
  <c r="J1022" i="12"/>
  <c r="K1021" i="12"/>
  <c r="J1021" i="12"/>
  <c r="K1020" i="12"/>
  <c r="J1020" i="12"/>
  <c r="K1019" i="12"/>
  <c r="J1019" i="12"/>
  <c r="K1018" i="12"/>
  <c r="J1018" i="12"/>
  <c r="K1017" i="12"/>
  <c r="J1017" i="12"/>
  <c r="K1016" i="12"/>
  <c r="J1016" i="12"/>
  <c r="K1015" i="12"/>
  <c r="J1015" i="12"/>
  <c r="K1009" i="12"/>
  <c r="J1009" i="12"/>
  <c r="K1008" i="12"/>
  <c r="J1008" i="12"/>
  <c r="K1007" i="12"/>
  <c r="J1007" i="12"/>
  <c r="K1006" i="12"/>
  <c r="J1006" i="12"/>
  <c r="K1005" i="12"/>
  <c r="J1005" i="12"/>
  <c r="K1004" i="12"/>
  <c r="J1004" i="12"/>
  <c r="K1003" i="12"/>
  <c r="J1003" i="12"/>
  <c r="K1002" i="12"/>
  <c r="J1002" i="12"/>
  <c r="K1001" i="12"/>
  <c r="J1001" i="12"/>
  <c r="K1000" i="12"/>
  <c r="J1000" i="12"/>
  <c r="K999" i="12"/>
  <c r="J999" i="12"/>
  <c r="K998" i="12"/>
  <c r="J998" i="12"/>
  <c r="K997" i="12"/>
  <c r="J997" i="12"/>
  <c r="K996" i="12"/>
  <c r="J996" i="12"/>
  <c r="K995" i="12"/>
  <c r="J995" i="12"/>
  <c r="K994" i="12"/>
  <c r="J994" i="12"/>
  <c r="K993" i="12"/>
  <c r="J993" i="12"/>
  <c r="K992" i="12"/>
  <c r="J992" i="12"/>
  <c r="K991" i="12"/>
  <c r="J991" i="12"/>
  <c r="K984" i="12"/>
  <c r="J984" i="12"/>
  <c r="K983" i="12"/>
  <c r="J983" i="12"/>
  <c r="K982" i="12"/>
  <c r="J982" i="12"/>
  <c r="K981" i="12"/>
  <c r="J981" i="12"/>
  <c r="K980" i="12"/>
  <c r="J980" i="12"/>
  <c r="K979" i="12"/>
  <c r="J979" i="12"/>
  <c r="K978" i="12"/>
  <c r="J978" i="12"/>
  <c r="J968" i="12"/>
  <c r="J967" i="12"/>
  <c r="J966" i="12"/>
  <c r="J965" i="12"/>
  <c r="J964" i="12"/>
  <c r="J963" i="12"/>
  <c r="J962" i="12"/>
  <c r="J961" i="12"/>
  <c r="J960" i="12"/>
  <c r="J953" i="12"/>
  <c r="J952" i="12"/>
  <c r="J951" i="12"/>
  <c r="J950" i="12"/>
  <c r="J949" i="12"/>
  <c r="J948" i="12"/>
  <c r="J947" i="12"/>
  <c r="J946" i="12"/>
  <c r="J944" i="12"/>
  <c r="J943" i="12"/>
  <c r="J942" i="12"/>
  <c r="K937" i="12"/>
  <c r="J937" i="12"/>
  <c r="K936" i="12"/>
  <c r="J936" i="12"/>
  <c r="K935" i="12"/>
  <c r="J935" i="12"/>
  <c r="K934" i="12"/>
  <c r="J934" i="12"/>
  <c r="K933" i="12"/>
  <c r="J933" i="12"/>
  <c r="K932" i="12"/>
  <c r="J932" i="12"/>
  <c r="J931" i="12"/>
  <c r="K924" i="12"/>
  <c r="J924" i="12"/>
  <c r="K918" i="12"/>
  <c r="J918" i="12"/>
  <c r="K917" i="12"/>
  <c r="J917" i="12"/>
  <c r="K916" i="12"/>
  <c r="J916" i="12"/>
  <c r="K915" i="12"/>
  <c r="J915" i="12"/>
  <c r="K914" i="12"/>
  <c r="J914" i="12"/>
  <c r="K913" i="12"/>
  <c r="J913" i="12"/>
  <c r="K905" i="12"/>
  <c r="J905" i="12"/>
  <c r="K904" i="12"/>
  <c r="J904" i="12"/>
  <c r="K903" i="12"/>
  <c r="J903" i="12"/>
  <c r="K902" i="12"/>
  <c r="J902" i="12"/>
  <c r="J901" i="12"/>
  <c r="J900" i="12"/>
  <c r="J899" i="12"/>
  <c r="J898" i="12"/>
  <c r="J897" i="12"/>
  <c r="J896" i="12"/>
  <c r="J895" i="12"/>
  <c r="K894" i="12"/>
  <c r="J894" i="12"/>
  <c r="K893" i="12"/>
  <c r="J893" i="12"/>
  <c r="K892" i="12"/>
  <c r="J892" i="12"/>
  <c r="K891" i="12"/>
  <c r="J891" i="12"/>
  <c r="K890" i="12"/>
  <c r="J890" i="12"/>
  <c r="K889" i="12"/>
  <c r="J889" i="12"/>
  <c r="J888" i="12"/>
  <c r="K878" i="12"/>
  <c r="J878" i="12"/>
  <c r="K877" i="12"/>
  <c r="J877" i="12"/>
  <c r="K876" i="12"/>
  <c r="J876" i="12"/>
  <c r="K875" i="12"/>
  <c r="J875" i="12"/>
  <c r="K862" i="12"/>
  <c r="J862" i="12"/>
  <c r="K861" i="12"/>
  <c r="K860" i="12"/>
  <c r="K852" i="12"/>
  <c r="K851" i="12"/>
  <c r="J851" i="12"/>
  <c r="K850" i="12"/>
  <c r="J850" i="12"/>
  <c r="K849" i="12"/>
  <c r="J849" i="12"/>
  <c r="K848" i="12"/>
  <c r="J848" i="12"/>
  <c r="K847" i="12"/>
  <c r="J847" i="12"/>
  <c r="K846" i="12"/>
  <c r="J846" i="12"/>
  <c r="K845" i="12"/>
  <c r="K844" i="12"/>
  <c r="J844" i="12"/>
  <c r="K843" i="12"/>
  <c r="J843" i="12"/>
  <c r="K842" i="12"/>
  <c r="J842" i="12"/>
  <c r="K841" i="12"/>
  <c r="J841" i="12"/>
  <c r="K840" i="12"/>
  <c r="J840" i="12"/>
  <c r="K839" i="12"/>
  <c r="J839" i="12"/>
  <c r="K838" i="12"/>
  <c r="K837" i="12"/>
  <c r="J837" i="12"/>
  <c r="K836" i="12"/>
  <c r="J836" i="12"/>
  <c r="K835" i="12"/>
  <c r="J835" i="12"/>
  <c r="K834" i="12"/>
  <c r="J834" i="12"/>
  <c r="K833" i="12"/>
  <c r="J833" i="12"/>
  <c r="K832" i="12"/>
  <c r="J832" i="12"/>
  <c r="K831" i="12"/>
  <c r="K830" i="12"/>
  <c r="J830" i="12"/>
  <c r="K829" i="12"/>
  <c r="J829" i="12"/>
  <c r="K828" i="12"/>
  <c r="J828" i="12"/>
  <c r="K827" i="12"/>
  <c r="J827" i="12"/>
  <c r="K826" i="12"/>
  <c r="J826" i="12"/>
  <c r="K825" i="12"/>
  <c r="J825" i="12"/>
  <c r="K824" i="12"/>
  <c r="K823" i="12"/>
  <c r="J823" i="12"/>
  <c r="K822" i="12"/>
  <c r="J822" i="12"/>
  <c r="K821" i="12"/>
  <c r="J821" i="12"/>
  <c r="K816" i="12"/>
  <c r="J816" i="12"/>
  <c r="K815" i="12"/>
  <c r="J815" i="12"/>
  <c r="K814" i="12"/>
  <c r="J814" i="12"/>
  <c r="K813" i="12"/>
  <c r="J813" i="12"/>
  <c r="K812" i="12"/>
  <c r="K811" i="12"/>
  <c r="J811" i="12"/>
  <c r="K810" i="12"/>
  <c r="J810" i="12"/>
  <c r="K809" i="12"/>
  <c r="J809" i="12"/>
  <c r="K808" i="12"/>
  <c r="J808" i="12"/>
  <c r="K807" i="12"/>
  <c r="J807" i="12"/>
  <c r="K806" i="12"/>
  <c r="J806" i="12"/>
  <c r="K805" i="12"/>
  <c r="K802" i="12"/>
  <c r="J802" i="12"/>
  <c r="K801" i="12"/>
  <c r="J801" i="12"/>
  <c r="K800" i="12"/>
  <c r="J800" i="12"/>
  <c r="K799" i="12"/>
  <c r="J799" i="12"/>
  <c r="K798" i="12"/>
  <c r="K797" i="12"/>
  <c r="J797" i="12"/>
  <c r="K796" i="12"/>
  <c r="J796" i="12"/>
  <c r="K795" i="12"/>
  <c r="J795" i="12"/>
  <c r="K794" i="12"/>
  <c r="J794" i="12"/>
  <c r="K793" i="12"/>
  <c r="J793" i="12"/>
  <c r="K792" i="12"/>
  <c r="J792" i="12"/>
  <c r="K791" i="12"/>
  <c r="J791" i="12"/>
  <c r="K790" i="12"/>
  <c r="J790" i="12"/>
  <c r="K789" i="12"/>
  <c r="J789" i="12"/>
  <c r="K788" i="12"/>
  <c r="J788" i="12"/>
  <c r="K787" i="12"/>
  <c r="K786" i="12"/>
  <c r="J786" i="12"/>
  <c r="K785" i="12"/>
  <c r="J785" i="12"/>
  <c r="K784" i="12"/>
  <c r="J784" i="12"/>
  <c r="K783" i="12"/>
  <c r="J783" i="12"/>
  <c r="K782" i="12"/>
  <c r="K779" i="12"/>
  <c r="J779" i="12"/>
  <c r="K778" i="12"/>
  <c r="J778" i="12"/>
  <c r="K777" i="12"/>
  <c r="K776" i="12"/>
  <c r="J776" i="12"/>
  <c r="K775" i="12"/>
  <c r="J775" i="12"/>
  <c r="K774" i="12"/>
  <c r="J774" i="12"/>
  <c r="K773" i="12"/>
  <c r="J773" i="12"/>
  <c r="K772" i="12"/>
  <c r="J772" i="12"/>
  <c r="K771" i="12"/>
  <c r="J771" i="12"/>
  <c r="K770" i="12"/>
  <c r="J770" i="12"/>
  <c r="K769" i="12"/>
  <c r="J769" i="12"/>
  <c r="K768" i="12"/>
  <c r="J768" i="12"/>
  <c r="K767" i="12"/>
  <c r="J767" i="12"/>
  <c r="K766" i="12"/>
  <c r="J766" i="12"/>
  <c r="K765" i="12"/>
  <c r="J765" i="12"/>
  <c r="K764" i="12"/>
  <c r="J764" i="12"/>
  <c r="K763" i="12"/>
  <c r="J763" i="12"/>
  <c r="K762" i="12"/>
  <c r="J762" i="12"/>
  <c r="J761" i="12"/>
  <c r="J760" i="12"/>
  <c r="J759" i="12"/>
  <c r="K756" i="12"/>
  <c r="J756" i="12"/>
  <c r="K755" i="12"/>
  <c r="J755" i="12"/>
  <c r="K754" i="12"/>
  <c r="J754" i="12"/>
  <c r="K749" i="12"/>
  <c r="J749" i="12"/>
  <c r="K745" i="12"/>
  <c r="K732" i="12"/>
  <c r="J732" i="12"/>
  <c r="K731" i="12"/>
  <c r="J731" i="12"/>
  <c r="K730" i="12"/>
  <c r="J730" i="12"/>
  <c r="K723" i="12"/>
  <c r="J723" i="12"/>
  <c r="K722" i="12"/>
  <c r="K720" i="12"/>
  <c r="J720" i="12"/>
  <c r="K719" i="12"/>
  <c r="J719" i="12"/>
  <c r="K718" i="12"/>
  <c r="J718" i="12"/>
  <c r="K717" i="12"/>
  <c r="J717" i="12"/>
  <c r="K716" i="12"/>
  <c r="J716" i="12"/>
  <c r="K715" i="12"/>
  <c r="J715" i="12"/>
  <c r="K699" i="12"/>
  <c r="J699" i="12"/>
  <c r="K698" i="12"/>
  <c r="J698" i="12"/>
  <c r="K697" i="12"/>
  <c r="J697" i="12"/>
  <c r="K696" i="12"/>
  <c r="J696" i="12"/>
  <c r="K695" i="12"/>
  <c r="J695" i="12"/>
  <c r="K694" i="12"/>
  <c r="J694" i="12"/>
  <c r="K693" i="12"/>
  <c r="K692" i="12"/>
  <c r="J692" i="12"/>
  <c r="K691" i="12"/>
  <c r="J691" i="12"/>
  <c r="K690" i="12"/>
  <c r="J690" i="12"/>
  <c r="K689" i="12"/>
  <c r="J689" i="12"/>
  <c r="K688" i="12"/>
  <c r="J688" i="12"/>
  <c r="K687" i="12"/>
  <c r="J687" i="12"/>
  <c r="K686" i="12"/>
  <c r="J686" i="12"/>
  <c r="K685" i="12"/>
  <c r="K681" i="12"/>
  <c r="J681" i="12"/>
  <c r="K680" i="12"/>
  <c r="J680" i="12"/>
  <c r="K679" i="12"/>
  <c r="J679" i="12"/>
  <c r="K678" i="12"/>
  <c r="J678" i="12"/>
  <c r="K677" i="12"/>
  <c r="J677" i="12"/>
  <c r="K676" i="12"/>
  <c r="J676" i="12"/>
  <c r="K673" i="12"/>
  <c r="J673" i="12"/>
  <c r="K672" i="12"/>
  <c r="J672" i="12"/>
  <c r="K671" i="12"/>
  <c r="J671" i="12"/>
  <c r="K670" i="12"/>
  <c r="J670" i="12"/>
  <c r="K669" i="12"/>
  <c r="J669" i="12"/>
  <c r="K668" i="12"/>
  <c r="J668" i="12"/>
  <c r="K667" i="12"/>
  <c r="J667" i="12"/>
  <c r="K666" i="12"/>
  <c r="J666" i="12"/>
  <c r="K665" i="12"/>
  <c r="J665" i="12"/>
  <c r="K658" i="12"/>
  <c r="K657" i="12"/>
  <c r="K656" i="12"/>
  <c r="K654" i="12"/>
  <c r="J654" i="12"/>
  <c r="K653" i="12"/>
  <c r="J653" i="12"/>
  <c r="K652" i="12"/>
  <c r="J652" i="12"/>
  <c r="K651" i="12"/>
  <c r="J651" i="12"/>
  <c r="K650" i="12"/>
  <c r="K649" i="12"/>
  <c r="K648" i="12"/>
  <c r="K647" i="12"/>
  <c r="K614" i="12"/>
  <c r="K601" i="12"/>
  <c r="J601" i="12"/>
  <c r="K600" i="12"/>
  <c r="J600" i="12"/>
  <c r="K599" i="12"/>
  <c r="J599" i="12"/>
  <c r="K598" i="12"/>
  <c r="J598" i="12"/>
  <c r="K597" i="12"/>
  <c r="J597" i="12"/>
  <c r="K596" i="12"/>
  <c r="J596" i="12"/>
  <c r="K595" i="12"/>
  <c r="J595" i="12"/>
  <c r="K594" i="12"/>
  <c r="J594" i="12"/>
  <c r="K593" i="12"/>
  <c r="J593" i="12"/>
  <c r="K592" i="12"/>
  <c r="J592" i="12"/>
  <c r="K591" i="12"/>
  <c r="J591" i="12"/>
  <c r="K590" i="12"/>
  <c r="K589" i="12"/>
  <c r="K588" i="12"/>
  <c r="J588" i="12"/>
  <c r="K587" i="12"/>
  <c r="J587" i="12"/>
  <c r="K586" i="12"/>
  <c r="J586" i="12"/>
  <c r="K585" i="12"/>
  <c r="J585" i="12"/>
  <c r="K584" i="12"/>
  <c r="J584" i="12"/>
  <c r="K583" i="12"/>
  <c r="J583" i="12"/>
  <c r="K582" i="12"/>
  <c r="K581" i="12"/>
  <c r="K580" i="12"/>
  <c r="K579" i="12"/>
  <c r="J579" i="12"/>
  <c r="K578" i="12"/>
  <c r="J578" i="12"/>
  <c r="K577" i="12"/>
  <c r="J577" i="12"/>
  <c r="K576" i="12"/>
  <c r="J576" i="12"/>
  <c r="K575" i="12"/>
  <c r="J575" i="12"/>
  <c r="K574" i="12"/>
  <c r="J574" i="12"/>
  <c r="K571" i="12"/>
  <c r="J571" i="12"/>
  <c r="K570" i="12"/>
  <c r="J570" i="12"/>
  <c r="K569" i="12"/>
  <c r="J569" i="12"/>
  <c r="K568" i="12"/>
  <c r="J568" i="12"/>
  <c r="K567" i="12"/>
  <c r="J567" i="12"/>
  <c r="K566" i="12"/>
  <c r="J566" i="12"/>
  <c r="K565" i="12"/>
  <c r="J565" i="12"/>
  <c r="K564" i="12"/>
  <c r="J564" i="12"/>
  <c r="K563" i="12"/>
  <c r="J563" i="12"/>
  <c r="K562" i="12"/>
  <c r="J562" i="12"/>
  <c r="K561" i="12"/>
  <c r="J561" i="12"/>
  <c r="K560" i="12"/>
  <c r="J560" i="12"/>
  <c r="K559" i="12"/>
  <c r="J559" i="12"/>
  <c r="K558" i="12"/>
  <c r="J558" i="12"/>
  <c r="K557" i="12"/>
  <c r="J557" i="12"/>
  <c r="K556" i="12"/>
  <c r="J556" i="12"/>
  <c r="K555" i="12"/>
  <c r="J538" i="12"/>
  <c r="J537" i="12"/>
  <c r="J536" i="12"/>
  <c r="J535" i="12"/>
  <c r="K527" i="12"/>
  <c r="J527" i="12"/>
  <c r="K524" i="12"/>
  <c r="J524" i="12"/>
  <c r="K521" i="12"/>
  <c r="J521" i="12"/>
  <c r="K518" i="12"/>
  <c r="J518" i="12"/>
  <c r="K517" i="12"/>
  <c r="K516" i="12"/>
  <c r="J516" i="12"/>
  <c r="K515" i="12"/>
  <c r="J515" i="12"/>
  <c r="K514" i="12"/>
  <c r="J514" i="12"/>
  <c r="K513" i="12"/>
  <c r="J513" i="12"/>
  <c r="K512" i="12"/>
  <c r="J512" i="12"/>
  <c r="K511" i="12"/>
  <c r="J511" i="12"/>
  <c r="K510" i="12"/>
  <c r="J510" i="12"/>
  <c r="K509" i="12"/>
  <c r="J509" i="12"/>
  <c r="K508" i="12"/>
  <c r="J508" i="12"/>
  <c r="K507" i="12"/>
  <c r="J507" i="12"/>
  <c r="K506" i="12"/>
  <c r="K505" i="12"/>
  <c r="J505" i="12"/>
  <c r="K504" i="12"/>
  <c r="J504" i="12"/>
  <c r="K503" i="12"/>
  <c r="J503" i="12"/>
  <c r="K502" i="12"/>
  <c r="J502" i="12"/>
  <c r="K501" i="12"/>
  <c r="J501" i="12"/>
  <c r="K500" i="12"/>
  <c r="J500" i="12"/>
  <c r="K499" i="12"/>
  <c r="J499" i="12"/>
  <c r="K498" i="12"/>
  <c r="J498" i="12"/>
  <c r="K488" i="12"/>
  <c r="J488" i="12"/>
  <c r="K487" i="12"/>
  <c r="J487" i="12"/>
  <c r="K486" i="12"/>
  <c r="J486" i="12"/>
  <c r="K485" i="12"/>
  <c r="J485" i="12"/>
  <c r="K484" i="12"/>
  <c r="J484" i="12"/>
  <c r="K483" i="12"/>
  <c r="J483" i="12"/>
  <c r="K482" i="12"/>
  <c r="J482" i="12"/>
  <c r="K481" i="12"/>
  <c r="J481" i="12"/>
  <c r="K480" i="12"/>
  <c r="J480" i="12"/>
  <c r="K470" i="12"/>
  <c r="J470" i="12"/>
  <c r="K469" i="12"/>
  <c r="J469" i="12"/>
  <c r="K468" i="12"/>
  <c r="J468" i="12"/>
  <c r="K467" i="12"/>
  <c r="J467" i="12"/>
  <c r="K466" i="12"/>
  <c r="J466" i="12"/>
  <c r="K465" i="12"/>
  <c r="J465" i="12"/>
  <c r="K462" i="12"/>
  <c r="K461" i="12"/>
  <c r="J461" i="12"/>
  <c r="K460" i="12"/>
  <c r="J460" i="12"/>
  <c r="K459" i="12"/>
  <c r="J459" i="12"/>
  <c r="K458" i="12"/>
  <c r="J458" i="12"/>
  <c r="K457" i="12"/>
  <c r="J457" i="12"/>
  <c r="K456" i="12"/>
  <c r="J456" i="12"/>
  <c r="K455" i="12"/>
  <c r="J455" i="12"/>
  <c r="K454" i="12"/>
  <c r="J454" i="12"/>
  <c r="K453" i="12"/>
  <c r="J453" i="12"/>
  <c r="K452" i="12"/>
  <c r="J452" i="12"/>
  <c r="K451" i="12"/>
  <c r="J451" i="12"/>
  <c r="K450" i="12"/>
  <c r="J450" i="12"/>
  <c r="K449" i="12"/>
  <c r="J449" i="12"/>
  <c r="K448" i="12"/>
  <c r="J448" i="12"/>
  <c r="K447" i="12"/>
  <c r="J447" i="12"/>
  <c r="K446" i="12"/>
  <c r="K445" i="12"/>
  <c r="J445" i="12"/>
  <c r="K444" i="12"/>
  <c r="K443" i="12"/>
  <c r="K440" i="12"/>
  <c r="J440" i="12"/>
  <c r="K439" i="12"/>
  <c r="J439" i="12"/>
  <c r="K438" i="12"/>
  <c r="J438" i="12"/>
  <c r="K437" i="12"/>
  <c r="J437" i="12"/>
  <c r="K436" i="12"/>
  <c r="J436" i="12"/>
  <c r="K435" i="12"/>
  <c r="J435" i="12"/>
  <c r="K434" i="12"/>
  <c r="K433" i="12"/>
  <c r="J433" i="12"/>
  <c r="K432" i="12"/>
  <c r="J432" i="12"/>
  <c r="K431" i="12"/>
  <c r="J431" i="12"/>
  <c r="K430" i="12"/>
  <c r="J430" i="12"/>
  <c r="K429" i="12"/>
  <c r="J429" i="12"/>
  <c r="K428" i="12"/>
  <c r="J428" i="12"/>
  <c r="K427" i="12"/>
  <c r="J427" i="12"/>
  <c r="K426" i="12"/>
  <c r="J426" i="12"/>
  <c r="K425" i="12"/>
  <c r="J425" i="12"/>
  <c r="K424" i="12"/>
  <c r="J424" i="12"/>
  <c r="K423" i="12"/>
  <c r="J423" i="12"/>
  <c r="K422" i="12"/>
  <c r="J422" i="12"/>
  <c r="K421" i="12"/>
  <c r="K420" i="12"/>
  <c r="J420" i="12"/>
  <c r="K419" i="12"/>
  <c r="J419" i="12"/>
  <c r="K418" i="12"/>
  <c r="J418" i="12"/>
  <c r="K417" i="12"/>
  <c r="J417" i="12"/>
  <c r="K416" i="12"/>
  <c r="J416" i="12"/>
  <c r="K415" i="12"/>
  <c r="J415" i="12"/>
  <c r="K411" i="12"/>
  <c r="J411" i="12"/>
  <c r="K410" i="12"/>
  <c r="J410" i="12"/>
  <c r="K409" i="12"/>
  <c r="J409" i="12"/>
  <c r="K408" i="12"/>
  <c r="J408" i="12"/>
  <c r="K407" i="12"/>
  <c r="J407" i="12"/>
  <c r="K406" i="12"/>
  <c r="J406" i="12"/>
  <c r="K405" i="12"/>
  <c r="K404" i="12"/>
  <c r="K403" i="12"/>
  <c r="K401" i="12"/>
  <c r="J401" i="12"/>
  <c r="K400" i="12"/>
  <c r="J400" i="12"/>
  <c r="K399" i="12"/>
  <c r="J399" i="12"/>
  <c r="K398" i="12"/>
  <c r="J398" i="12"/>
  <c r="K397" i="12"/>
  <c r="J397" i="12"/>
  <c r="K396" i="12"/>
  <c r="J396" i="12"/>
  <c r="K395" i="12"/>
  <c r="J395" i="12"/>
  <c r="K394" i="12"/>
  <c r="J394" i="12"/>
  <c r="K393" i="12"/>
  <c r="J393" i="12"/>
  <c r="K392" i="12"/>
  <c r="K391" i="12"/>
  <c r="K390" i="12"/>
  <c r="K389" i="12"/>
  <c r="K388" i="12"/>
  <c r="J388" i="12"/>
  <c r="K387" i="12"/>
  <c r="J387" i="12"/>
  <c r="K386" i="12"/>
  <c r="J386" i="12"/>
  <c r="J385" i="12"/>
  <c r="J384" i="12"/>
  <c r="J383" i="12"/>
  <c r="J382" i="12"/>
  <c r="J381" i="12"/>
  <c r="K380" i="12"/>
  <c r="J380" i="12"/>
  <c r="K379" i="12"/>
  <c r="J379" i="12"/>
  <c r="K378" i="12"/>
  <c r="J378" i="12"/>
  <c r="K377" i="12"/>
  <c r="J377" i="12"/>
  <c r="K376" i="12"/>
  <c r="J376" i="12"/>
  <c r="K373" i="12"/>
  <c r="J373" i="12"/>
  <c r="K372" i="12"/>
  <c r="K371" i="12"/>
  <c r="K350" i="12"/>
  <c r="K349" i="12"/>
  <c r="J349" i="12"/>
  <c r="K348" i="12"/>
  <c r="J348" i="12"/>
  <c r="K347" i="12"/>
  <c r="K346" i="12"/>
  <c r="K342" i="12"/>
  <c r="J342" i="12"/>
  <c r="K341" i="12"/>
  <c r="J341" i="12"/>
  <c r="K340" i="12"/>
  <c r="J340" i="12"/>
  <c r="K339" i="12"/>
  <c r="J339" i="12"/>
  <c r="K338" i="12"/>
  <c r="J338" i="12"/>
  <c r="K337" i="12"/>
  <c r="J337" i="12"/>
  <c r="K333" i="12"/>
  <c r="J333" i="12"/>
  <c r="K332" i="12"/>
  <c r="K331" i="12"/>
  <c r="J331" i="12"/>
  <c r="K330" i="12"/>
  <c r="K319" i="12"/>
  <c r="J319" i="12"/>
  <c r="K318" i="12"/>
  <c r="K317" i="12"/>
  <c r="J316" i="12"/>
  <c r="K312" i="12"/>
  <c r="J312" i="12"/>
  <c r="K311" i="12"/>
  <c r="K310" i="12"/>
  <c r="K309" i="12"/>
  <c r="K308" i="12"/>
  <c r="J308" i="12"/>
  <c r="K307" i="12"/>
  <c r="K306" i="12"/>
  <c r="K305" i="12"/>
  <c r="J305" i="12"/>
  <c r="K304" i="12"/>
  <c r="K303" i="12"/>
  <c r="J299" i="12"/>
  <c r="J290" i="12"/>
  <c r="J288" i="12"/>
  <c r="J283" i="12"/>
  <c r="K280" i="12"/>
  <c r="J280" i="12"/>
  <c r="K279" i="12"/>
  <c r="K278" i="12"/>
  <c r="K274" i="12"/>
  <c r="J274" i="12"/>
  <c r="K273" i="12"/>
  <c r="K272" i="12"/>
  <c r="J272" i="12"/>
  <c r="K271" i="12"/>
  <c r="K270" i="12"/>
  <c r="K267" i="12"/>
  <c r="J267" i="12"/>
  <c r="K266" i="12"/>
  <c r="K265" i="12"/>
  <c r="K264" i="12"/>
  <c r="K263" i="12"/>
  <c r="K260" i="12"/>
  <c r="K256" i="12"/>
  <c r="K251" i="12"/>
  <c r="J251" i="12"/>
  <c r="K250" i="12"/>
  <c r="K249" i="12"/>
  <c r="K245" i="12"/>
  <c r="J245" i="12"/>
  <c r="K244" i="12"/>
  <c r="K243" i="12"/>
  <c r="K220" i="12"/>
  <c r="K213" i="12"/>
  <c r="J213" i="12"/>
  <c r="K212" i="12"/>
  <c r="K211" i="12"/>
  <c r="K210" i="12"/>
  <c r="J207" i="12"/>
  <c r="K198" i="12"/>
  <c r="J198" i="12"/>
  <c r="K197" i="12"/>
  <c r="K196" i="12"/>
  <c r="K195" i="12"/>
  <c r="K194" i="12"/>
  <c r="K192" i="12"/>
  <c r="J192" i="12"/>
  <c r="K191" i="12"/>
  <c r="K190" i="12"/>
  <c r="J190" i="12"/>
  <c r="K189" i="12"/>
  <c r="K187" i="12"/>
  <c r="J187" i="12"/>
  <c r="K186" i="12"/>
  <c r="K183" i="12"/>
  <c r="J183" i="12"/>
  <c r="K182" i="12"/>
  <c r="K181" i="12"/>
  <c r="J181" i="12"/>
  <c r="K180" i="12"/>
  <c r="K178" i="12"/>
  <c r="J178" i="12"/>
  <c r="K177" i="12"/>
  <c r="K176" i="12"/>
  <c r="J176" i="12"/>
  <c r="K175" i="12"/>
  <c r="K174" i="12"/>
  <c r="J174" i="12"/>
  <c r="K173" i="12"/>
  <c r="K172" i="12"/>
  <c r="K171" i="12"/>
  <c r="J171" i="12"/>
  <c r="K170" i="12"/>
  <c r="K169" i="12"/>
  <c r="K168" i="12"/>
  <c r="J168" i="12"/>
  <c r="K167" i="12"/>
  <c r="J167" i="12"/>
  <c r="K166" i="12"/>
  <c r="J166" i="12"/>
  <c r="K163" i="12"/>
  <c r="J163" i="12"/>
  <c r="K162" i="12"/>
  <c r="K161" i="12"/>
  <c r="K160" i="12"/>
  <c r="K159" i="12"/>
  <c r="J159" i="12"/>
  <c r="K158" i="12"/>
  <c r="K157" i="12"/>
  <c r="K156" i="12"/>
  <c r="K155" i="12"/>
  <c r="J153" i="12"/>
  <c r="K146" i="12"/>
  <c r="J146" i="12"/>
  <c r="K145" i="12"/>
  <c r="K144" i="12"/>
  <c r="K143" i="12"/>
  <c r="J143" i="12"/>
  <c r="K142" i="12"/>
  <c r="K141" i="12"/>
  <c r="K140" i="12"/>
  <c r="K139" i="12"/>
  <c r="K138" i="12"/>
  <c r="J138" i="12"/>
  <c r="K137" i="12"/>
  <c r="K136" i="12"/>
  <c r="K135" i="12"/>
  <c r="J135" i="12"/>
  <c r="K134" i="12"/>
  <c r="K133" i="12"/>
  <c r="J133" i="12"/>
  <c r="K132" i="12"/>
  <c r="K131" i="12"/>
  <c r="J131" i="12"/>
  <c r="K130" i="12"/>
  <c r="K128" i="12"/>
  <c r="J128" i="12"/>
  <c r="K127" i="12"/>
  <c r="K126" i="12"/>
  <c r="K124" i="12"/>
  <c r="K122" i="12"/>
  <c r="K120" i="12"/>
  <c r="K113" i="12"/>
  <c r="K109" i="12"/>
  <c r="K101" i="12"/>
  <c r="K99" i="12"/>
  <c r="K46" i="12"/>
  <c r="K37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E913" i="14" l="1"/>
  <c r="H745" i="12"/>
  <c r="J517" i="12"/>
  <c r="H497" i="12"/>
  <c r="H496" i="12" s="1"/>
  <c r="H495" i="12" s="1"/>
  <c r="J495" i="12" s="1"/>
  <c r="J297" i="12"/>
  <c r="H296" i="12"/>
  <c r="K820" i="12"/>
  <c r="E172" i="14"/>
  <c r="F172" i="14" s="1"/>
  <c r="I532" i="12"/>
  <c r="I531" i="12" s="1"/>
  <c r="I530" i="12" s="1"/>
  <c r="H414" i="12"/>
  <c r="H413" i="12" s="1"/>
  <c r="H412" i="12" s="1"/>
  <c r="J403" i="12"/>
  <c r="H753" i="12"/>
  <c r="H752" i="12" s="1"/>
  <c r="J752" i="12" s="1"/>
  <c r="E924" i="14"/>
  <c r="K818" i="12"/>
  <c r="F792" i="14"/>
  <c r="E764" i="14"/>
  <c r="F764" i="14" s="1"/>
  <c r="J350" i="12"/>
  <c r="J300" i="12"/>
  <c r="I683" i="12"/>
  <c r="I682" i="12" s="1"/>
  <c r="K682" i="12" s="1"/>
  <c r="K345" i="12"/>
  <c r="K819" i="12"/>
  <c r="H329" i="12"/>
  <c r="H328" i="12" s="1"/>
  <c r="H327" i="12" s="1"/>
  <c r="K326" i="12"/>
  <c r="I325" i="12"/>
  <c r="K325" i="12" s="1"/>
  <c r="J346" i="12"/>
  <c r="F939" i="14"/>
  <c r="H256" i="12"/>
  <c r="F242" i="14"/>
  <c r="J1104" i="12"/>
  <c r="H533" i="12"/>
  <c r="H532" i="12" s="1"/>
  <c r="J887" i="12"/>
  <c r="F505" i="14"/>
  <c r="E492" i="14"/>
  <c r="J148" i="12"/>
  <c r="K328" i="12"/>
  <c r="J347" i="12"/>
  <c r="F121" i="14"/>
  <c r="I930" i="12"/>
  <c r="I929" i="12" s="1"/>
  <c r="I928" i="12" s="1"/>
  <c r="H1161" i="12"/>
  <c r="J1161" i="12" s="1"/>
  <c r="H573" i="12"/>
  <c r="J573" i="12" s="1"/>
  <c r="H233" i="12"/>
  <c r="J233" i="12" s="1"/>
  <c r="J392" i="12"/>
  <c r="J390" i="12"/>
  <c r="J534" i="12"/>
  <c r="J210" i="12"/>
  <c r="J265" i="12"/>
  <c r="J151" i="12"/>
  <c r="J311" i="12"/>
  <c r="J310" i="12"/>
  <c r="J375" i="12"/>
  <c r="J581" i="12"/>
  <c r="J260" i="12"/>
  <c r="J264" i="12"/>
  <c r="J266" i="12"/>
  <c r="H684" i="12"/>
  <c r="J330" i="12"/>
  <c r="J590" i="12"/>
  <c r="J244" i="12"/>
  <c r="J404" i="12"/>
  <c r="J929" i="12"/>
  <c r="J658" i="12"/>
  <c r="J693" i="12"/>
  <c r="J196" i="12"/>
  <c r="J648" i="12"/>
  <c r="J650" i="12"/>
  <c r="J930" i="12"/>
  <c r="J1197" i="12"/>
  <c r="J405" i="12"/>
  <c r="J649" i="12"/>
  <c r="I199" i="12"/>
  <c r="I193" i="12" s="1"/>
  <c r="K684" i="12"/>
  <c r="H199" i="12"/>
  <c r="J199" i="12" s="1"/>
  <c r="H188" i="12"/>
  <c r="J188" i="12" s="1"/>
  <c r="J282" i="12"/>
  <c r="J318" i="12"/>
  <c r="J161" i="12"/>
  <c r="J211" i="12"/>
  <c r="J195" i="12"/>
  <c r="J197" i="12"/>
  <c r="J250" i="12"/>
  <c r="J391" i="12"/>
  <c r="J1086" i="12"/>
  <c r="J162" i="12"/>
  <c r="J212" i="12"/>
  <c r="J372" i="12"/>
  <c r="H656" i="12"/>
  <c r="J657" i="12"/>
  <c r="J205" i="12"/>
  <c r="K36" i="12"/>
  <c r="J580" i="12"/>
  <c r="J582" i="12"/>
  <c r="J805" i="12"/>
  <c r="H860" i="12"/>
  <c r="H852" i="12" s="1"/>
  <c r="J861" i="12"/>
  <c r="H820" i="12"/>
  <c r="H819" i="12" s="1"/>
  <c r="H818" i="12" s="1"/>
  <c r="H817" i="12" s="1"/>
  <c r="H613" i="12"/>
  <c r="J613" i="12" s="1"/>
  <c r="J127" i="12"/>
  <c r="J137" i="12"/>
  <c r="J142" i="12"/>
  <c r="J170" i="12"/>
  <c r="J298" i="12"/>
  <c r="J307" i="12"/>
  <c r="J614" i="12"/>
  <c r="H140" i="12"/>
  <c r="H139" i="12" s="1"/>
  <c r="J139" i="12" s="1"/>
  <c r="H313" i="12"/>
  <c r="J313" i="12" s="1"/>
  <c r="J279" i="12"/>
  <c r="J838" i="12"/>
  <c r="J1087" i="12"/>
  <c r="H179" i="12"/>
  <c r="J179" i="12" s="1"/>
  <c r="H286" i="12"/>
  <c r="H285" i="12" s="1"/>
  <c r="H284" i="12" s="1"/>
  <c r="J284" i="12" s="1"/>
  <c r="H270" i="12"/>
  <c r="H269" i="12" s="1"/>
  <c r="H155" i="12"/>
  <c r="J155" i="12" s="1"/>
  <c r="J145" i="12"/>
  <c r="J156" i="12"/>
  <c r="J150" i="12"/>
  <c r="J157" i="12"/>
  <c r="J182" i="12"/>
  <c r="K209" i="12"/>
  <c r="J304" i="12"/>
  <c r="J315" i="12"/>
  <c r="J152" i="12"/>
  <c r="H129" i="12"/>
  <c r="H125" i="12" s="1"/>
  <c r="J125" i="12" s="1"/>
  <c r="J158" i="12"/>
  <c r="J149" i="12"/>
  <c r="H172" i="12"/>
  <c r="J172" i="12" s="1"/>
  <c r="H17" i="12"/>
  <c r="J17" i="12" s="1"/>
  <c r="E560" i="14"/>
  <c r="H29" i="12"/>
  <c r="J29" i="12" s="1"/>
  <c r="E1052" i="14"/>
  <c r="H45" i="12"/>
  <c r="H44" i="12" s="1"/>
  <c r="J44" i="12" s="1"/>
  <c r="E77" i="14"/>
  <c r="H59" i="12"/>
  <c r="J59" i="12" s="1"/>
  <c r="E206" i="14"/>
  <c r="I70" i="12"/>
  <c r="I69" i="12" s="1"/>
  <c r="E292" i="14"/>
  <c r="H98" i="12"/>
  <c r="J98" i="12" s="1"/>
  <c r="E563" i="14"/>
  <c r="H100" i="12"/>
  <c r="J100" i="12" s="1"/>
  <c r="E565" i="14"/>
  <c r="H119" i="12"/>
  <c r="J119" i="12" s="1"/>
  <c r="E570" i="14"/>
  <c r="F79" i="14"/>
  <c r="E78" i="14"/>
  <c r="F78" i="14" s="1"/>
  <c r="F41" i="14"/>
  <c r="E39" i="14"/>
  <c r="F39" i="14" s="1"/>
  <c r="E353" i="14"/>
  <c r="F354" i="14"/>
  <c r="E615" i="14"/>
  <c r="F616" i="14"/>
  <c r="E102" i="14"/>
  <c r="F103" i="14"/>
  <c r="E37" i="14"/>
  <c r="F37" i="14" s="1"/>
  <c r="F38" i="14"/>
  <c r="E414" i="14"/>
  <c r="F415" i="14"/>
  <c r="E595" i="14"/>
  <c r="F595" i="14" s="1"/>
  <c r="F596" i="14"/>
  <c r="E357" i="14"/>
  <c r="F358" i="14"/>
  <c r="E346" i="14"/>
  <c r="F347" i="14"/>
  <c r="E421" i="14"/>
  <c r="F421" i="14" s="1"/>
  <c r="F422" i="14"/>
  <c r="E724" i="14"/>
  <c r="F725" i="14"/>
  <c r="E1077" i="14"/>
  <c r="F1078" i="14"/>
  <c r="E1059" i="14"/>
  <c r="F1059" i="14" s="1"/>
  <c r="F1060" i="14"/>
  <c r="E419" i="14"/>
  <c r="F420" i="14"/>
  <c r="E531" i="14"/>
  <c r="F532" i="14"/>
  <c r="E1061" i="14"/>
  <c r="F1061" i="14" s="1"/>
  <c r="F1062" i="14"/>
  <c r="H22" i="12"/>
  <c r="H21" i="12" s="1"/>
  <c r="E1045" i="14"/>
  <c r="H36" i="12"/>
  <c r="J36" i="12" s="1"/>
  <c r="E68" i="14"/>
  <c r="I62" i="12"/>
  <c r="I61" i="12" s="1"/>
  <c r="E208" i="14"/>
  <c r="H75" i="12"/>
  <c r="J75" i="12" s="1"/>
  <c r="E446" i="14"/>
  <c r="H102" i="12"/>
  <c r="J102" i="12" s="1"/>
  <c r="E567" i="14"/>
  <c r="H121" i="12"/>
  <c r="J121" i="12" s="1"/>
  <c r="E572" i="14"/>
  <c r="E240" i="14"/>
  <c r="F240" i="14" s="1"/>
  <c r="F241" i="14"/>
  <c r="E188" i="14"/>
  <c r="F188" i="14" s="1"/>
  <c r="F189" i="14"/>
  <c r="E745" i="14"/>
  <c r="F746" i="14"/>
  <c r="E795" i="14"/>
  <c r="F795" i="14" s="1"/>
  <c r="F796" i="14"/>
  <c r="E851" i="14"/>
  <c r="F852" i="14"/>
  <c r="E521" i="14"/>
  <c r="F522" i="14"/>
  <c r="E324" i="14"/>
  <c r="F324" i="14" s="1"/>
  <c r="F325" i="14"/>
  <c r="F508" i="14"/>
  <c r="F862" i="14"/>
  <c r="E404" i="14"/>
  <c r="E403" i="14" s="1"/>
  <c r="E734" i="14"/>
  <c r="F735" i="14"/>
  <c r="E758" i="14"/>
  <c r="F758" i="14" s="1"/>
  <c r="F759" i="14"/>
  <c r="E837" i="14"/>
  <c r="F838" i="14"/>
  <c r="E516" i="14"/>
  <c r="F517" i="14"/>
  <c r="E990" i="14"/>
  <c r="F991" i="14"/>
  <c r="E311" i="14"/>
  <c r="F311" i="14" s="1"/>
  <c r="F312" i="14"/>
  <c r="E383" i="14"/>
  <c r="F383" i="14" s="1"/>
  <c r="F384" i="14"/>
  <c r="E776" i="14"/>
  <c r="F776" i="14" s="1"/>
  <c r="F777" i="14"/>
  <c r="E226" i="14"/>
  <c r="F227" i="14"/>
  <c r="E454" i="14"/>
  <c r="F454" i="14" s="1"/>
  <c r="F455" i="14"/>
  <c r="E761" i="14"/>
  <c r="F762" i="14"/>
  <c r="E810" i="14"/>
  <c r="F810" i="14" s="1"/>
  <c r="F811" i="14"/>
  <c r="E994" i="14"/>
  <c r="F995" i="14"/>
  <c r="E386" i="14"/>
  <c r="F386" i="14" s="1"/>
  <c r="F387" i="14"/>
  <c r="E1006" i="14"/>
  <c r="E1005" i="14" s="1"/>
  <c r="F1018" i="14"/>
  <c r="E773" i="14"/>
  <c r="F773" i="14" s="1"/>
  <c r="F774" i="14"/>
  <c r="F683" i="14"/>
  <c r="E680" i="14"/>
  <c r="E229" i="14"/>
  <c r="F229" i="14" s="1"/>
  <c r="F230" i="14"/>
  <c r="E813" i="14"/>
  <c r="F813" i="14" s="1"/>
  <c r="F814" i="14"/>
  <c r="F868" i="14"/>
  <c r="E527" i="14"/>
  <c r="F528" i="14"/>
  <c r="E378" i="14"/>
  <c r="F379" i="14"/>
  <c r="E459" i="14"/>
  <c r="F459" i="14" s="1"/>
  <c r="F460" i="14"/>
  <c r="E786" i="14"/>
  <c r="F786" i="14" s="1"/>
  <c r="F787" i="14"/>
  <c r="E546" i="14"/>
  <c r="F546" i="14" s="1"/>
  <c r="F547" i="14"/>
  <c r="E751" i="14"/>
  <c r="F751" i="14" s="1"/>
  <c r="F752" i="14"/>
  <c r="E1087" i="14"/>
  <c r="F1088" i="14"/>
  <c r="E617" i="14"/>
  <c r="F617" i="14" s="1"/>
  <c r="F618" i="14"/>
  <c r="E586" i="14"/>
  <c r="F586" i="14" s="1"/>
  <c r="F587" i="14"/>
  <c r="H25" i="12"/>
  <c r="J25" i="12" s="1"/>
  <c r="E1048" i="14"/>
  <c r="H51" i="12"/>
  <c r="J51" i="12" s="1"/>
  <c r="E145" i="14"/>
  <c r="H61" i="12"/>
  <c r="J61" i="12" s="1"/>
  <c r="I78" i="12"/>
  <c r="I77" i="12" s="1"/>
  <c r="E448" i="14"/>
  <c r="H112" i="12"/>
  <c r="J112" i="12" s="1"/>
  <c r="E1086" i="14"/>
  <c r="H1362" i="12"/>
  <c r="H123" i="12"/>
  <c r="J123" i="12" s="1"/>
  <c r="E574" i="14"/>
  <c r="E360" i="14"/>
  <c r="F361" i="14"/>
  <c r="E437" i="14"/>
  <c r="F437" i="14" s="1"/>
  <c r="F438" i="14"/>
  <c r="E653" i="14"/>
  <c r="F654" i="14"/>
  <c r="E575" i="14"/>
  <c r="F575" i="14" s="1"/>
  <c r="F576" i="14"/>
  <c r="E1057" i="14"/>
  <c r="F1058" i="14"/>
  <c r="E16" i="14"/>
  <c r="F17" i="14"/>
  <c r="F22" i="14"/>
  <c r="E21" i="14"/>
  <c r="F21" i="14" s="1"/>
  <c r="E708" i="14"/>
  <c r="F709" i="14"/>
  <c r="E430" i="14"/>
  <c r="F431" i="14"/>
  <c r="E1096" i="14"/>
  <c r="E1095" i="14" s="1"/>
  <c r="F1097" i="14"/>
  <c r="E823" i="14"/>
  <c r="F824" i="14"/>
  <c r="E35" i="14"/>
  <c r="F36" i="14"/>
  <c r="E349" i="14"/>
  <c r="F350" i="14"/>
  <c r="E340" i="14"/>
  <c r="F341" i="14"/>
  <c r="E1064" i="14"/>
  <c r="F1065" i="14"/>
  <c r="E1054" i="14"/>
  <c r="F1055" i="14"/>
  <c r="E427" i="14"/>
  <c r="F428" i="14"/>
  <c r="F1075" i="14"/>
  <c r="E582" i="14"/>
  <c r="F583" i="14"/>
  <c r="H27" i="12"/>
  <c r="J27" i="12" s="1"/>
  <c r="E1050" i="14"/>
  <c r="H40" i="12"/>
  <c r="E72" i="14"/>
  <c r="H53" i="12"/>
  <c r="J53" i="12" s="1"/>
  <c r="E147" i="14"/>
  <c r="H67" i="12"/>
  <c r="J67" i="12" s="1"/>
  <c r="E290" i="14"/>
  <c r="H91" i="12"/>
  <c r="E539" i="14"/>
  <c r="F173" i="14"/>
  <c r="E816" i="14"/>
  <c r="F816" i="14" s="1"/>
  <c r="F817" i="14"/>
  <c r="F865" i="14"/>
  <c r="E533" i="14"/>
  <c r="F533" i="14" s="1"/>
  <c r="F534" i="14"/>
  <c r="E308" i="14"/>
  <c r="F309" i="14"/>
  <c r="E898" i="14"/>
  <c r="E891" i="14" s="1"/>
  <c r="F899" i="14"/>
  <c r="E11" i="14"/>
  <c r="F12" i="14"/>
  <c r="E789" i="14"/>
  <c r="F789" i="14" s="1"/>
  <c r="F790" i="14"/>
  <c r="F976" i="14"/>
  <c r="E584" i="14"/>
  <c r="F584" i="14" s="1"/>
  <c r="F585" i="14"/>
  <c r="E748" i="14"/>
  <c r="F748" i="14" s="1"/>
  <c r="F749" i="14"/>
  <c r="E798" i="14"/>
  <c r="F798" i="14" s="1"/>
  <c r="F799" i="14"/>
  <c r="E855" i="14"/>
  <c r="F856" i="14"/>
  <c r="E874" i="14"/>
  <c r="F875" i="14"/>
  <c r="E372" i="14"/>
  <c r="F372" i="14" s="1"/>
  <c r="F373" i="14"/>
  <c r="E878" i="14"/>
  <c r="F879" i="14"/>
  <c r="F120" i="14"/>
  <c r="E740" i="14"/>
  <c r="F740" i="14" s="1"/>
  <c r="F741" i="14"/>
  <c r="E283" i="14"/>
  <c r="F284" i="14"/>
  <c r="E543" i="14"/>
  <c r="F544" i="14"/>
  <c r="E737" i="14"/>
  <c r="F737" i="14" s="1"/>
  <c r="F738" i="14"/>
  <c r="E844" i="14"/>
  <c r="F845" i="14"/>
  <c r="E367" i="14"/>
  <c r="F368" i="14"/>
  <c r="F314" i="14"/>
  <c r="F317" i="14"/>
  <c r="E449" i="14"/>
  <c r="F449" i="14" s="1"/>
  <c r="F450" i="14"/>
  <c r="E254" i="14"/>
  <c r="F255" i="14"/>
  <c r="E270" i="14"/>
  <c r="F270" i="14" s="1"/>
  <c r="F271" i="14"/>
  <c r="E783" i="14"/>
  <c r="F783" i="14" s="1"/>
  <c r="F784" i="14"/>
  <c r="E848" i="14"/>
  <c r="F848" i="14" s="1"/>
  <c r="F849" i="14"/>
  <c r="E728" i="14"/>
  <c r="F729" i="14"/>
  <c r="E999" i="14"/>
  <c r="F999" i="14" s="1"/>
  <c r="F1000" i="14"/>
  <c r="E321" i="14"/>
  <c r="F321" i="14" s="1"/>
  <c r="F322" i="14"/>
  <c r="E293" i="14"/>
  <c r="F293" i="14" s="1"/>
  <c r="F294" i="14"/>
  <c r="E248" i="14"/>
  <c r="F248" i="14" s="1"/>
  <c r="F249" i="14"/>
  <c r="E720" i="14"/>
  <c r="F721" i="14"/>
  <c r="E589" i="14"/>
  <c r="F590" i="14"/>
  <c r="E435" i="14"/>
  <c r="F436" i="14"/>
  <c r="K129" i="12"/>
  <c r="K496" i="12"/>
  <c r="K497" i="12"/>
  <c r="K45" i="12"/>
  <c r="K327" i="12"/>
  <c r="K329" i="12"/>
  <c r="J206" i="12"/>
  <c r="K413" i="12"/>
  <c r="J204" i="12"/>
  <c r="K344" i="12"/>
  <c r="K412" i="12"/>
  <c r="K414" i="12"/>
  <c r="I118" i="12"/>
  <c r="I117" i="12" s="1"/>
  <c r="I165" i="12"/>
  <c r="I164" i="12" s="1"/>
  <c r="I97" i="12"/>
  <c r="K97" i="12" s="1"/>
  <c r="K919" i="12"/>
  <c r="I885" i="12"/>
  <c r="J919" i="12"/>
  <c r="H885" i="12"/>
  <c r="I41" i="12"/>
  <c r="I52" i="12"/>
  <c r="I60" i="12"/>
  <c r="I68" i="12"/>
  <c r="I76" i="12"/>
  <c r="I54" i="12"/>
  <c r="I92" i="12"/>
  <c r="I34" i="12"/>
  <c r="K35" i="12"/>
  <c r="H69" i="12"/>
  <c r="J69" i="12" s="1"/>
  <c r="H77" i="12"/>
  <c r="J77" i="12" s="1"/>
  <c r="I110" i="12"/>
  <c r="K110" i="12" s="1"/>
  <c r="K111" i="12"/>
  <c r="K112" i="12"/>
  <c r="K100" i="12"/>
  <c r="J256" i="12" l="1"/>
  <c r="H255" i="12"/>
  <c r="E377" i="14"/>
  <c r="F377" i="14" s="1"/>
  <c r="E744" i="14"/>
  <c r="J656" i="12"/>
  <c r="E993" i="14"/>
  <c r="H402" i="12"/>
  <c r="J402" i="12" s="1"/>
  <c r="J40" i="12"/>
  <c r="H39" i="12"/>
  <c r="H38" i="12" s="1"/>
  <c r="H295" i="12"/>
  <c r="I324" i="12"/>
  <c r="H345" i="12"/>
  <c r="H344" i="12" s="1"/>
  <c r="J344" i="12" s="1"/>
  <c r="E218" i="14"/>
  <c r="K683" i="12"/>
  <c r="J684" i="12"/>
  <c r="H683" i="12"/>
  <c r="F761" i="14"/>
  <c r="J255" i="12"/>
  <c r="E298" i="14"/>
  <c r="J533" i="12"/>
  <c r="H531" i="12"/>
  <c r="H530" i="12" s="1"/>
  <c r="J532" i="12"/>
  <c r="H165" i="12"/>
  <c r="J91" i="12"/>
  <c r="H90" i="12"/>
  <c r="J90" i="12" s="1"/>
  <c r="J497" i="12"/>
  <c r="H209" i="12"/>
  <c r="H208" i="12" s="1"/>
  <c r="J208" i="12" s="1"/>
  <c r="H193" i="12"/>
  <c r="J193" i="12" s="1"/>
  <c r="J496" i="12"/>
  <c r="H326" i="12"/>
  <c r="J326" i="12" s="1"/>
  <c r="J327" i="12"/>
  <c r="J328" i="12"/>
  <c r="H16" i="12"/>
  <c r="J16" i="12" s="1"/>
  <c r="J820" i="12"/>
  <c r="E588" i="14"/>
  <c r="F588" i="14" s="1"/>
  <c r="J45" i="12"/>
  <c r="J413" i="12"/>
  <c r="J414" i="12"/>
  <c r="J753" i="12"/>
  <c r="H35" i="12"/>
  <c r="H34" i="12" s="1"/>
  <c r="J34" i="12" s="1"/>
  <c r="J412" i="12"/>
  <c r="J22" i="12"/>
  <c r="J852" i="12"/>
  <c r="J860" i="12"/>
  <c r="J817" i="12"/>
  <c r="J818" i="12"/>
  <c r="J819" i="12"/>
  <c r="J140" i="12"/>
  <c r="J329" i="12"/>
  <c r="H118" i="12"/>
  <c r="J118" i="12" s="1"/>
  <c r="J129" i="12"/>
  <c r="H50" i="12"/>
  <c r="J50" i="12" s="1"/>
  <c r="E434" i="14"/>
  <c r="J286" i="12"/>
  <c r="J270" i="12"/>
  <c r="H111" i="12"/>
  <c r="J111" i="12" s="1"/>
  <c r="J285" i="12"/>
  <c r="H58" i="12"/>
  <c r="J58" i="12" s="1"/>
  <c r="H97" i="12"/>
  <c r="H96" i="12" s="1"/>
  <c r="H268" i="12"/>
  <c r="J269" i="12"/>
  <c r="H24" i="12"/>
  <c r="J24" i="12" s="1"/>
  <c r="F589" i="14"/>
  <c r="E719" i="14"/>
  <c r="F720" i="14"/>
  <c r="E843" i="14"/>
  <c r="F843" i="14" s="1"/>
  <c r="F844" i="14"/>
  <c r="E542" i="14"/>
  <c r="F542" i="14" s="1"/>
  <c r="F543" i="14"/>
  <c r="E877" i="14"/>
  <c r="F877" i="14" s="1"/>
  <c r="F878" i="14"/>
  <c r="E854" i="14"/>
  <c r="F854" i="14" s="1"/>
  <c r="F855" i="14"/>
  <c r="E923" i="14"/>
  <c r="F923" i="14" s="1"/>
  <c r="F924" i="14"/>
  <c r="E10" i="14"/>
  <c r="F11" i="14"/>
  <c r="F308" i="14"/>
  <c r="E581" i="14"/>
  <c r="F581" i="14" s="1"/>
  <c r="F582" i="14"/>
  <c r="E426" i="14"/>
  <c r="F426" i="14" s="1"/>
  <c r="F427" i="14"/>
  <c r="E1053" i="14"/>
  <c r="F1053" i="14" s="1"/>
  <c r="F1054" i="14"/>
  <c r="E348" i="14"/>
  <c r="F348" i="14" s="1"/>
  <c r="F349" i="14"/>
  <c r="E822" i="14"/>
  <c r="E821" i="14" s="1"/>
  <c r="F823" i="14"/>
  <c r="E429" i="14"/>
  <c r="F429" i="14" s="1"/>
  <c r="F430" i="14"/>
  <c r="E1056" i="14"/>
  <c r="F1057" i="14"/>
  <c r="E652" i="14"/>
  <c r="E651" i="14" s="1"/>
  <c r="F653" i="14"/>
  <c r="E447" i="14"/>
  <c r="F447" i="14" s="1"/>
  <c r="F448" i="14"/>
  <c r="F1087" i="14"/>
  <c r="F378" i="14"/>
  <c r="F527" i="14"/>
  <c r="F1005" i="14"/>
  <c r="F1006" i="14"/>
  <c r="F994" i="14"/>
  <c r="E858" i="14"/>
  <c r="F859" i="14"/>
  <c r="E571" i="14"/>
  <c r="F571" i="14" s="1"/>
  <c r="F572" i="14"/>
  <c r="E445" i="14"/>
  <c r="F446" i="14"/>
  <c r="E67" i="14"/>
  <c r="F68" i="14"/>
  <c r="E569" i="14"/>
  <c r="F570" i="14"/>
  <c r="E562" i="14"/>
  <c r="F563" i="14"/>
  <c r="E205" i="14"/>
  <c r="F206" i="14"/>
  <c r="E1051" i="14"/>
  <c r="F1051" i="14" s="1"/>
  <c r="F1052" i="14"/>
  <c r="E538" i="14"/>
  <c r="E537" i="14" s="1"/>
  <c r="F539" i="14"/>
  <c r="E146" i="14"/>
  <c r="F146" i="14" s="1"/>
  <c r="F147" i="14"/>
  <c r="E1049" i="14"/>
  <c r="F1049" i="14" s="1"/>
  <c r="F1050" i="14"/>
  <c r="E1047" i="14"/>
  <c r="F1048" i="14"/>
  <c r="F226" i="14"/>
  <c r="E989" i="14"/>
  <c r="F989" i="14" s="1"/>
  <c r="F990" i="14"/>
  <c r="E836" i="14"/>
  <c r="F837" i="14"/>
  <c r="E733" i="14"/>
  <c r="F734" i="14"/>
  <c r="E520" i="14"/>
  <c r="F521" i="14"/>
  <c r="E418" i="14"/>
  <c r="F419" i="14"/>
  <c r="E723" i="14"/>
  <c r="F724" i="14"/>
  <c r="E345" i="14"/>
  <c r="F345" i="14" s="1"/>
  <c r="F346" i="14"/>
  <c r="E413" i="14"/>
  <c r="F414" i="14"/>
  <c r="F102" i="14"/>
  <c r="E101" i="14"/>
  <c r="F342" i="14"/>
  <c r="E727" i="14"/>
  <c r="F728" i="14"/>
  <c r="E253" i="14"/>
  <c r="F253" i="14" s="1"/>
  <c r="F254" i="14"/>
  <c r="E366" i="14"/>
  <c r="F366" i="14" s="1"/>
  <c r="F367" i="14"/>
  <c r="E282" i="14"/>
  <c r="F283" i="14"/>
  <c r="E873" i="14"/>
  <c r="F874" i="14"/>
  <c r="F898" i="14"/>
  <c r="F1072" i="14"/>
  <c r="F686" i="14"/>
  <c r="E1063" i="14"/>
  <c r="F1063" i="14" s="1"/>
  <c r="F1064" i="14"/>
  <c r="E339" i="14"/>
  <c r="F340" i="14"/>
  <c r="F35" i="14"/>
  <c r="E34" i="14"/>
  <c r="E33" i="14" s="1"/>
  <c r="F1095" i="14"/>
  <c r="F1096" i="14"/>
  <c r="E707" i="14"/>
  <c r="F707" i="14" s="1"/>
  <c r="F708" i="14"/>
  <c r="F16" i="14"/>
  <c r="E359" i="14"/>
  <c r="F359" i="14" s="1"/>
  <c r="F360" i="14"/>
  <c r="E1085" i="14"/>
  <c r="F1085" i="14" s="1"/>
  <c r="F1086" i="14"/>
  <c r="E566" i="14"/>
  <c r="F566" i="14" s="1"/>
  <c r="F567" i="14"/>
  <c r="E207" i="14"/>
  <c r="F207" i="14" s="1"/>
  <c r="F208" i="14"/>
  <c r="E1044" i="14"/>
  <c r="F1045" i="14"/>
  <c r="E564" i="14"/>
  <c r="F564" i="14" s="1"/>
  <c r="F565" i="14"/>
  <c r="E291" i="14"/>
  <c r="F291" i="14" s="1"/>
  <c r="F292" i="14"/>
  <c r="E76" i="14"/>
  <c r="F77" i="14"/>
  <c r="E559" i="14"/>
  <c r="F560" i="14"/>
  <c r="E289" i="14"/>
  <c r="F290" i="14"/>
  <c r="E71" i="14"/>
  <c r="E70" i="14" s="1"/>
  <c r="F72" i="14"/>
  <c r="E573" i="14"/>
  <c r="F573" i="14" s="1"/>
  <c r="F574" i="14"/>
  <c r="E144" i="14"/>
  <c r="F145" i="14"/>
  <c r="F680" i="14"/>
  <c r="E515" i="14"/>
  <c r="F516" i="14"/>
  <c r="F404" i="14"/>
  <c r="F408" i="14"/>
  <c r="E491" i="14"/>
  <c r="F491" i="14" s="1"/>
  <c r="F492" i="14"/>
  <c r="E847" i="14"/>
  <c r="F847" i="14" s="1"/>
  <c r="F851" i="14"/>
  <c r="F745" i="14"/>
  <c r="E530" i="14"/>
  <c r="F530" i="14" s="1"/>
  <c r="F531" i="14"/>
  <c r="E1076" i="14"/>
  <c r="F1076" i="14" s="1"/>
  <c r="F1077" i="14"/>
  <c r="E356" i="14"/>
  <c r="F357" i="14"/>
  <c r="E614" i="14"/>
  <c r="F614" i="14" s="1"/>
  <c r="F615" i="14"/>
  <c r="E352" i="14"/>
  <c r="F353" i="14"/>
  <c r="F435" i="14"/>
  <c r="K118" i="12"/>
  <c r="K165" i="12"/>
  <c r="I96" i="12"/>
  <c r="I95" i="12" s="1"/>
  <c r="K95" i="12" s="1"/>
  <c r="H884" i="12"/>
  <c r="J884" i="12" s="1"/>
  <c r="J885" i="12"/>
  <c r="I884" i="12"/>
  <c r="I116" i="12"/>
  <c r="K117" i="12"/>
  <c r="I154" i="12"/>
  <c r="K164" i="12"/>
  <c r="I75" i="12"/>
  <c r="I40" i="12"/>
  <c r="I39" i="12" s="1"/>
  <c r="I67" i="12"/>
  <c r="I59" i="12"/>
  <c r="I51" i="12"/>
  <c r="I91" i="12"/>
  <c r="I90" i="12" s="1"/>
  <c r="I53" i="12"/>
  <c r="K34" i="12"/>
  <c r="H74" i="12"/>
  <c r="J21" i="12"/>
  <c r="H66" i="12"/>
  <c r="F858" i="14" l="1"/>
  <c r="E835" i="14"/>
  <c r="F835" i="14" s="1"/>
  <c r="E338" i="14"/>
  <c r="H254" i="12"/>
  <c r="J296" i="12"/>
  <c r="H343" i="12"/>
  <c r="H325" i="12" s="1"/>
  <c r="J345" i="12"/>
  <c r="E679" i="14"/>
  <c r="E678" i="14" s="1"/>
  <c r="F678" i="14" s="1"/>
  <c r="E417" i="14"/>
  <c r="J531" i="12"/>
  <c r="J530" i="12"/>
  <c r="J209" i="12"/>
  <c r="H682" i="12"/>
  <c r="J683" i="12"/>
  <c r="H15" i="12"/>
  <c r="H14" i="12" s="1"/>
  <c r="J97" i="12"/>
  <c r="J35" i="12"/>
  <c r="H117" i="12"/>
  <c r="H116" i="12" s="1"/>
  <c r="J39" i="12"/>
  <c r="H110" i="12"/>
  <c r="J110" i="12" s="1"/>
  <c r="H20" i="12"/>
  <c r="J20" i="12" s="1"/>
  <c r="H49" i="12"/>
  <c r="J49" i="12" s="1"/>
  <c r="H89" i="12"/>
  <c r="H88" i="12" s="1"/>
  <c r="J88" i="12" s="1"/>
  <c r="H57" i="12"/>
  <c r="H56" i="12" s="1"/>
  <c r="J56" i="12" s="1"/>
  <c r="J268" i="12"/>
  <c r="H164" i="12"/>
  <c r="J165" i="12"/>
  <c r="F101" i="14"/>
  <c r="E87" i="14"/>
  <c r="E86" i="14" s="1"/>
  <c r="E351" i="14"/>
  <c r="F351" i="14" s="1"/>
  <c r="F352" i="14"/>
  <c r="F831" i="14"/>
  <c r="E288" i="14"/>
  <c r="F289" i="14"/>
  <c r="F76" i="14"/>
  <c r="E75" i="14"/>
  <c r="F75" i="14" s="1"/>
  <c r="F339" i="14"/>
  <c r="F891" i="14"/>
  <c r="E281" i="14"/>
  <c r="F281" i="14" s="1"/>
  <c r="F282" i="14"/>
  <c r="F418" i="14"/>
  <c r="E732" i="14"/>
  <c r="F732" i="14" s="1"/>
  <c r="F733" i="14"/>
  <c r="E1046" i="14"/>
  <c r="F1046" i="14" s="1"/>
  <c r="F1047" i="14"/>
  <c r="E561" i="14"/>
  <c r="F561" i="14" s="1"/>
  <c r="F562" i="14"/>
  <c r="F67" i="14"/>
  <c r="E66" i="14"/>
  <c r="E988" i="14"/>
  <c r="F988" i="14" s="1"/>
  <c r="F993" i="14"/>
  <c r="E526" i="14"/>
  <c r="E1082" i="14"/>
  <c r="F1082" i="14" s="1"/>
  <c r="F1056" i="14"/>
  <c r="F822" i="14"/>
  <c r="E297" i="14"/>
  <c r="E296" i="14" s="1"/>
  <c r="F298" i="14"/>
  <c r="E718" i="14"/>
  <c r="F719" i="14"/>
  <c r="F34" i="14"/>
  <c r="E217" i="14"/>
  <c r="F217" i="14" s="1"/>
  <c r="F218" i="14"/>
  <c r="E355" i="14"/>
  <c r="F355" i="14" s="1"/>
  <c r="F356" i="14"/>
  <c r="E743" i="14"/>
  <c r="F744" i="14"/>
  <c r="E514" i="14"/>
  <c r="F515" i="14"/>
  <c r="E143" i="14"/>
  <c r="E142" i="14" s="1"/>
  <c r="F144" i="14"/>
  <c r="F71" i="14"/>
  <c r="E558" i="14"/>
  <c r="F559" i="14"/>
  <c r="E1043" i="14"/>
  <c r="F1043" i="14" s="1"/>
  <c r="F1044" i="14"/>
  <c r="F1067" i="14"/>
  <c r="E872" i="14"/>
  <c r="F873" i="14"/>
  <c r="E726" i="14"/>
  <c r="F726" i="14" s="1"/>
  <c r="F727" i="14"/>
  <c r="E412" i="14"/>
  <c r="F413" i="14"/>
  <c r="E722" i="14"/>
  <c r="F722" i="14" s="1"/>
  <c r="F723" i="14"/>
  <c r="E519" i="14"/>
  <c r="F519" i="14" s="1"/>
  <c r="F520" i="14"/>
  <c r="F836" i="14"/>
  <c r="F538" i="14"/>
  <c r="E204" i="14"/>
  <c r="F205" i="14"/>
  <c r="E568" i="14"/>
  <c r="F568" i="14" s="1"/>
  <c r="F569" i="14"/>
  <c r="E444" i="14"/>
  <c r="F445" i="14"/>
  <c r="F652" i="14"/>
  <c r="F10" i="14"/>
  <c r="E9" i="14"/>
  <c r="F9" i="14" s="1"/>
  <c r="E465" i="14"/>
  <c r="E464" i="14" s="1"/>
  <c r="F466" i="14"/>
  <c r="E433" i="14"/>
  <c r="F434" i="14"/>
  <c r="K96" i="12"/>
  <c r="H294" i="12"/>
  <c r="J295" i="12"/>
  <c r="K154" i="12"/>
  <c r="I147" i="12"/>
  <c r="I115" i="12"/>
  <c r="K116" i="12"/>
  <c r="I58" i="12"/>
  <c r="I74" i="12"/>
  <c r="I66" i="12"/>
  <c r="I65" i="12" s="1"/>
  <c r="I50" i="12"/>
  <c r="J96" i="12"/>
  <c r="H95" i="12"/>
  <c r="J95" i="12" s="1"/>
  <c r="H33" i="12"/>
  <c r="J38" i="12"/>
  <c r="J66" i="12"/>
  <c r="H65" i="12"/>
  <c r="J74" i="12"/>
  <c r="H73" i="12"/>
  <c r="H691" i="10"/>
  <c r="H690" i="10" s="1"/>
  <c r="H689" i="10" s="1"/>
  <c r="I692" i="10"/>
  <c r="I1472" i="10"/>
  <c r="I1469" i="10"/>
  <c r="I1467" i="10"/>
  <c r="I1465" i="10"/>
  <c r="I1459" i="10"/>
  <c r="I1457" i="10"/>
  <c r="I1450" i="10"/>
  <c r="I1449" i="10"/>
  <c r="I1444" i="10"/>
  <c r="I1443" i="10"/>
  <c r="I1440" i="10"/>
  <c r="I1434" i="10"/>
  <c r="I1433" i="10"/>
  <c r="I1425" i="10"/>
  <c r="I1424" i="10"/>
  <c r="I1416" i="10"/>
  <c r="I1407" i="10"/>
  <c r="I1406" i="10"/>
  <c r="I1403" i="10"/>
  <c r="I1402" i="10"/>
  <c r="I1400" i="10"/>
  <c r="I1394" i="10"/>
  <c r="I1386" i="10"/>
  <c r="I1385" i="10"/>
  <c r="I1377" i="10"/>
  <c r="I1372" i="10"/>
  <c r="I1370" i="10"/>
  <c r="I1346" i="10"/>
  <c r="I1344" i="10"/>
  <c r="I1339" i="10"/>
  <c r="I1338" i="10"/>
  <c r="I1334" i="10"/>
  <c r="I1332" i="10"/>
  <c r="I1328" i="10"/>
  <c r="I1325" i="10"/>
  <c r="I1322" i="10"/>
  <c r="I1321" i="10"/>
  <c r="I1316" i="10"/>
  <c r="I1315" i="10"/>
  <c r="I1307" i="10"/>
  <c r="I1299" i="10"/>
  <c r="I1294" i="10"/>
  <c r="I1285" i="10"/>
  <c r="I1283" i="10"/>
  <c r="I1274" i="10"/>
  <c r="I1268" i="10"/>
  <c r="I1265" i="10"/>
  <c r="I1260" i="10"/>
  <c r="I1258" i="10"/>
  <c r="I1251" i="10"/>
  <c r="I1240" i="10"/>
  <c r="I1239" i="10"/>
  <c r="I1235" i="10"/>
  <c r="I1234" i="10"/>
  <c r="I1222" i="10"/>
  <c r="I1221" i="10"/>
  <c r="I1218" i="10"/>
  <c r="I1217" i="10"/>
  <c r="I1216" i="10"/>
  <c r="I1206" i="10"/>
  <c r="I1202" i="10"/>
  <c r="I1198" i="10"/>
  <c r="I1191" i="10"/>
  <c r="I1190" i="10"/>
  <c r="I1176" i="10"/>
  <c r="I1175" i="10"/>
  <c r="I1172" i="10"/>
  <c r="I1169" i="10"/>
  <c r="I1168" i="10"/>
  <c r="I1165" i="10"/>
  <c r="I1164" i="10"/>
  <c r="I1140" i="10"/>
  <c r="I1139" i="10"/>
  <c r="I1131" i="10"/>
  <c r="I1126" i="10"/>
  <c r="I1124" i="10"/>
  <c r="I1115" i="10"/>
  <c r="I1112" i="10"/>
  <c r="I1110" i="10"/>
  <c r="I1108" i="10"/>
  <c r="I1105" i="10"/>
  <c r="I1098" i="10"/>
  <c r="I1096" i="10"/>
  <c r="I1094" i="10"/>
  <c r="I1085" i="10"/>
  <c r="I1083" i="10"/>
  <c r="I1081" i="10"/>
  <c r="I1078" i="10"/>
  <c r="I1071" i="10"/>
  <c r="I1063" i="10"/>
  <c r="I1052" i="10"/>
  <c r="I1049" i="10"/>
  <c r="I1046" i="10"/>
  <c r="I1040" i="10"/>
  <c r="I1036" i="10"/>
  <c r="I1033" i="10"/>
  <c r="I1026" i="10"/>
  <c r="I1023" i="10"/>
  <c r="I1010" i="10"/>
  <c r="I1007" i="10"/>
  <c r="I988" i="10"/>
  <c r="I981" i="10"/>
  <c r="I976" i="10"/>
  <c r="I969" i="10"/>
  <c r="I966" i="10"/>
  <c r="I962" i="10"/>
  <c r="I956" i="10"/>
  <c r="I954" i="10"/>
  <c r="I948" i="10"/>
  <c r="I941" i="10"/>
  <c r="I933" i="10"/>
  <c r="I929" i="10"/>
  <c r="I923" i="10"/>
  <c r="I918" i="10"/>
  <c r="I910" i="10"/>
  <c r="I907" i="10"/>
  <c r="I901" i="10"/>
  <c r="I894" i="10"/>
  <c r="I887" i="10"/>
  <c r="I880" i="10"/>
  <c r="I877" i="10"/>
  <c r="I867" i="10"/>
  <c r="I857" i="10"/>
  <c r="I847" i="10"/>
  <c r="I841" i="10"/>
  <c r="I835" i="10"/>
  <c r="I822" i="10"/>
  <c r="I795" i="10"/>
  <c r="I793" i="10"/>
  <c r="I791" i="10"/>
  <c r="I788" i="10"/>
  <c r="I786" i="10"/>
  <c r="I784" i="10"/>
  <c r="I781" i="10"/>
  <c r="I779" i="10"/>
  <c r="I777" i="10"/>
  <c r="I774" i="10"/>
  <c r="I772" i="10"/>
  <c r="I770" i="10"/>
  <c r="I767" i="10"/>
  <c r="I760" i="10"/>
  <c r="I758" i="10"/>
  <c r="I755" i="10"/>
  <c r="I753" i="10"/>
  <c r="I751" i="10"/>
  <c r="I746" i="10"/>
  <c r="I744" i="10"/>
  <c r="I741" i="10"/>
  <c r="I738" i="10"/>
  <c r="I735" i="10"/>
  <c r="I733" i="10"/>
  <c r="I730" i="10"/>
  <c r="I728" i="10"/>
  <c r="I723" i="10"/>
  <c r="I720" i="10"/>
  <c r="I717" i="10"/>
  <c r="I714" i="10"/>
  <c r="I711" i="10"/>
  <c r="I708" i="10"/>
  <c r="I705" i="10"/>
  <c r="I700" i="10"/>
  <c r="I676" i="10"/>
  <c r="I664" i="10"/>
  <c r="I643" i="10"/>
  <c r="I641" i="10"/>
  <c r="I639" i="10"/>
  <c r="I636" i="10"/>
  <c r="I633" i="10"/>
  <c r="I631" i="10"/>
  <c r="I625" i="10"/>
  <c r="I622" i="10"/>
  <c r="I617" i="10"/>
  <c r="I614" i="10"/>
  <c r="I611" i="10"/>
  <c r="I598" i="10"/>
  <c r="I596" i="10"/>
  <c r="I545" i="10"/>
  <c r="I542" i="10"/>
  <c r="I538" i="10"/>
  <c r="I532" i="10"/>
  <c r="I529" i="10"/>
  <c r="I523" i="10"/>
  <c r="I515" i="10"/>
  <c r="I509" i="10"/>
  <c r="I504" i="10"/>
  <c r="I482" i="10"/>
  <c r="I480" i="10"/>
  <c r="I473" i="10"/>
  <c r="I469" i="10"/>
  <c r="I466" i="10"/>
  <c r="I462" i="10"/>
  <c r="I458" i="10"/>
  <c r="I445" i="10"/>
  <c r="I442" i="10"/>
  <c r="I439" i="10"/>
  <c r="I427" i="10"/>
  <c r="I424" i="10"/>
  <c r="I418" i="10"/>
  <c r="I415" i="10"/>
  <c r="I412" i="10"/>
  <c r="I409" i="10"/>
  <c r="I407" i="10"/>
  <c r="I405" i="10"/>
  <c r="I402" i="10"/>
  <c r="I399" i="10"/>
  <c r="I395" i="10"/>
  <c r="I393" i="10"/>
  <c r="I390" i="10"/>
  <c r="I387" i="10"/>
  <c r="I384" i="10"/>
  <c r="I382" i="10"/>
  <c r="I380" i="10"/>
  <c r="I377" i="10"/>
  <c r="I374" i="10"/>
  <c r="I368" i="10"/>
  <c r="I365" i="10"/>
  <c r="I358" i="10"/>
  <c r="I355" i="10"/>
  <c r="I352" i="10"/>
  <c r="I345" i="10"/>
  <c r="I342" i="10"/>
  <c r="I337" i="10"/>
  <c r="I330" i="10"/>
  <c r="I303" i="10"/>
  <c r="I294" i="10"/>
  <c r="I292" i="10"/>
  <c r="I280" i="10"/>
  <c r="I277" i="10"/>
  <c r="I273" i="10"/>
  <c r="I269" i="10"/>
  <c r="I266" i="10"/>
  <c r="I260" i="10"/>
  <c r="I251" i="10"/>
  <c r="I249" i="10"/>
  <c r="I244" i="10"/>
  <c r="I283" i="12" s="1"/>
  <c r="I241" i="10"/>
  <c r="I235" i="10"/>
  <c r="I233" i="10"/>
  <c r="I228" i="10"/>
  <c r="I209" i="10"/>
  <c r="I177" i="10"/>
  <c r="I171" i="10"/>
  <c r="I162" i="10"/>
  <c r="I156" i="10"/>
  <c r="I154" i="10"/>
  <c r="I151" i="10"/>
  <c r="I147" i="10"/>
  <c r="I145" i="10"/>
  <c r="I135" i="10"/>
  <c r="I132" i="10"/>
  <c r="I127" i="10"/>
  <c r="I123" i="10"/>
  <c r="I110" i="10"/>
  <c r="I107" i="10"/>
  <c r="I102" i="10"/>
  <c r="I92" i="10"/>
  <c r="I90" i="10"/>
  <c r="I88" i="10"/>
  <c r="I81" i="10"/>
  <c r="I67" i="10"/>
  <c r="I65" i="10"/>
  <c r="I59" i="10"/>
  <c r="I57" i="10"/>
  <c r="I51" i="10"/>
  <c r="I49" i="10"/>
  <c r="I43" i="10"/>
  <c r="I41" i="10"/>
  <c r="I35" i="10"/>
  <c r="I30" i="10"/>
  <c r="I26" i="10"/>
  <c r="I19" i="10"/>
  <c r="H1483" i="10"/>
  <c r="H1471" i="10"/>
  <c r="I1471" i="10" s="1"/>
  <c r="H1468" i="10"/>
  <c r="I1468" i="10" s="1"/>
  <c r="H1466" i="10"/>
  <c r="I1466" i="10" s="1"/>
  <c r="H1464" i="10"/>
  <c r="I1464" i="10" s="1"/>
  <c r="H1456" i="10"/>
  <c r="I1456" i="10" s="1"/>
  <c r="H1458" i="10"/>
  <c r="I1458" i="10" s="1"/>
  <c r="H1448" i="10"/>
  <c r="I1448" i="10" s="1"/>
  <c r="H1442" i="10"/>
  <c r="I1442" i="10" s="1"/>
  <c r="H1439" i="10"/>
  <c r="I1439" i="10" s="1"/>
  <c r="H1432" i="10"/>
  <c r="I1432" i="10" s="1"/>
  <c r="H1423" i="10"/>
  <c r="I1423" i="10" s="1"/>
  <c r="H1415" i="10"/>
  <c r="I1415" i="10" s="1"/>
  <c r="H1405" i="10"/>
  <c r="I1405" i="10" s="1"/>
  <c r="H1401" i="10"/>
  <c r="I1401" i="10" s="1"/>
  <c r="H1399" i="10"/>
  <c r="I1399" i="10" s="1"/>
  <c r="H1393" i="10"/>
  <c r="H1384" i="10"/>
  <c r="I1384" i="10" s="1"/>
  <c r="H1376" i="10"/>
  <c r="H1371" i="10"/>
  <c r="I1371" i="10" s="1"/>
  <c r="H1369" i="10"/>
  <c r="I1369" i="10" s="1"/>
  <c r="I1360" i="10"/>
  <c r="H1345" i="10"/>
  <c r="I1345" i="10" s="1"/>
  <c r="H1343" i="10"/>
  <c r="I1343" i="10" s="1"/>
  <c r="H1337" i="10"/>
  <c r="I1337" i="10" s="1"/>
  <c r="H1333" i="10"/>
  <c r="I1333" i="10" s="1"/>
  <c r="H1331" i="10"/>
  <c r="H1327" i="10"/>
  <c r="I1327" i="10" s="1"/>
  <c r="H1324" i="10"/>
  <c r="I1324" i="10" s="1"/>
  <c r="H1320" i="10"/>
  <c r="I1320" i="10" s="1"/>
  <c r="H1306" i="10"/>
  <c r="I1306" i="10" s="1"/>
  <c r="H1314" i="10"/>
  <c r="I1314" i="10" s="1"/>
  <c r="H1298" i="10"/>
  <c r="I1298" i="10" s="1"/>
  <c r="H1293" i="10"/>
  <c r="I1293" i="10" s="1"/>
  <c r="H1284" i="10"/>
  <c r="I1284" i="10" s="1"/>
  <c r="H1282" i="10"/>
  <c r="I1282" i="10" s="1"/>
  <c r="I1273" i="10"/>
  <c r="H1267" i="10"/>
  <c r="I1267" i="10" s="1"/>
  <c r="H1264" i="10"/>
  <c r="I1264" i="10" s="1"/>
  <c r="H1259" i="10"/>
  <c r="I1259" i="10" s="1"/>
  <c r="H1257" i="10"/>
  <c r="I1257" i="10" s="1"/>
  <c r="H1250" i="10"/>
  <c r="I1250" i="10" s="1"/>
  <c r="H1238" i="10"/>
  <c r="I1238" i="10" s="1"/>
  <c r="H1233" i="10"/>
  <c r="I1233" i="10" s="1"/>
  <c r="H1220" i="10"/>
  <c r="I1220" i="10" s="1"/>
  <c r="H1215" i="10"/>
  <c r="I1215" i="10" s="1"/>
  <c r="H1205" i="10"/>
  <c r="I1205" i="10" s="1"/>
  <c r="H1201" i="10"/>
  <c r="I1201" i="10" s="1"/>
  <c r="I1197" i="10"/>
  <c r="H1189" i="10"/>
  <c r="I1189" i="10" s="1"/>
  <c r="H1174" i="10"/>
  <c r="I1174" i="10" s="1"/>
  <c r="H1171" i="10"/>
  <c r="I1171" i="10" s="1"/>
  <c r="H1167" i="10"/>
  <c r="I1167" i="10" s="1"/>
  <c r="H1163" i="10"/>
  <c r="I1163" i="10" s="1"/>
  <c r="H1138" i="10"/>
  <c r="I1138" i="10" s="1"/>
  <c r="H1130" i="10"/>
  <c r="I1130" i="10" s="1"/>
  <c r="H1123" i="10"/>
  <c r="I1123" i="10" s="1"/>
  <c r="H1125" i="10"/>
  <c r="I1125" i="10" s="1"/>
  <c r="H1114" i="10"/>
  <c r="I1114" i="10" s="1"/>
  <c r="H1111" i="10"/>
  <c r="I1111" i="10" s="1"/>
  <c r="H1109" i="10"/>
  <c r="I1109" i="10" s="1"/>
  <c r="H1107" i="10"/>
  <c r="I1107" i="10" s="1"/>
  <c r="H1104" i="10"/>
  <c r="I1104" i="10" s="1"/>
  <c r="H1097" i="10"/>
  <c r="I1097" i="10" s="1"/>
  <c r="H1095" i="10"/>
  <c r="I1095" i="10" s="1"/>
  <c r="H1093" i="10"/>
  <c r="I1093" i="10" s="1"/>
  <c r="H1084" i="10"/>
  <c r="I1084" i="10" s="1"/>
  <c r="H1082" i="10"/>
  <c r="I1082" i="10" s="1"/>
  <c r="H1080" i="10"/>
  <c r="I1080" i="10" s="1"/>
  <c r="H1077" i="10"/>
  <c r="I1077" i="10" s="1"/>
  <c r="H1070" i="10"/>
  <c r="I1070" i="10" s="1"/>
  <c r="H1062" i="10"/>
  <c r="I1062" i="10" s="1"/>
  <c r="H1051" i="10"/>
  <c r="I1051" i="10" s="1"/>
  <c r="H1048" i="10"/>
  <c r="I1048" i="10" s="1"/>
  <c r="H1045" i="10"/>
  <c r="I1045" i="10" s="1"/>
  <c r="H1039" i="10"/>
  <c r="I1039" i="10" s="1"/>
  <c r="H1035" i="10"/>
  <c r="I1035" i="10" s="1"/>
  <c r="H1032" i="10"/>
  <c r="I1032" i="10" s="1"/>
  <c r="H1025" i="10"/>
  <c r="I1025" i="10" s="1"/>
  <c r="H1022" i="10"/>
  <c r="I1022" i="10" s="1"/>
  <c r="J682" i="12" l="1"/>
  <c r="J343" i="12"/>
  <c r="F872" i="14"/>
  <c r="E871" i="14"/>
  <c r="F871" i="14" s="1"/>
  <c r="I1148" i="10"/>
  <c r="E337" i="14"/>
  <c r="E557" i="14"/>
  <c r="I1145" i="10"/>
  <c r="E1066" i="14"/>
  <c r="F1066" i="14" s="1"/>
  <c r="J15" i="12"/>
  <c r="H1342" i="10"/>
  <c r="H1341" i="10" s="1"/>
  <c r="J117" i="12"/>
  <c r="H1359" i="10"/>
  <c r="I1359" i="10" s="1"/>
  <c r="H1061" i="10"/>
  <c r="I1061" i="10" s="1"/>
  <c r="H1044" i="10"/>
  <c r="I1044" i="10" s="1"/>
  <c r="H1196" i="10"/>
  <c r="H1441" i="10"/>
  <c r="I1441" i="10" s="1"/>
  <c r="H1319" i="10"/>
  <c r="H1170" i="10"/>
  <c r="I1170" i="10" s="1"/>
  <c r="H1313" i="10"/>
  <c r="H48" i="12"/>
  <c r="J48" i="12" s="1"/>
  <c r="H1103" i="10"/>
  <c r="I1103" i="10" s="1"/>
  <c r="H1129" i="10"/>
  <c r="I1129" i="10" s="1"/>
  <c r="H1204" i="10"/>
  <c r="I1204" i="10" s="1"/>
  <c r="H1256" i="10"/>
  <c r="I1256" i="10" s="1"/>
  <c r="H1305" i="10"/>
  <c r="I1305" i="10" s="1"/>
  <c r="H1438" i="10"/>
  <c r="I1438" i="10" s="1"/>
  <c r="H1447" i="10"/>
  <c r="I1447" i="10" s="1"/>
  <c r="H1024" i="10"/>
  <c r="I1024" i="10" s="1"/>
  <c r="H1404" i="10"/>
  <c r="I1404" i="10" s="1"/>
  <c r="H1431" i="10"/>
  <c r="H1047" i="10"/>
  <c r="I1047" i="10" s="1"/>
  <c r="H1137" i="10"/>
  <c r="I1137" i="10" s="1"/>
  <c r="H1383" i="10"/>
  <c r="H1422" i="10"/>
  <c r="I1422" i="10" s="1"/>
  <c r="H1455" i="10"/>
  <c r="I1455" i="10" s="1"/>
  <c r="H1034" i="10"/>
  <c r="I1034" i="10" s="1"/>
  <c r="H1021" i="10"/>
  <c r="H1031" i="10"/>
  <c r="H1038" i="10"/>
  <c r="H1069" i="10"/>
  <c r="H1076" i="10"/>
  <c r="H1079" i="10"/>
  <c r="I1079" i="10" s="1"/>
  <c r="H1092" i="10"/>
  <c r="H1106" i="10"/>
  <c r="I1106" i="10" s="1"/>
  <c r="H1122" i="10"/>
  <c r="I1151" i="10"/>
  <c r="H1162" i="10"/>
  <c r="H1214" i="10"/>
  <c r="H1266" i="10"/>
  <c r="I1266" i="10" s="1"/>
  <c r="H1272" i="10"/>
  <c r="I1331" i="10"/>
  <c r="H1330" i="10"/>
  <c r="I1330" i="10" s="1"/>
  <c r="H1329" i="10"/>
  <c r="I1329" i="10" s="1"/>
  <c r="I1356" i="10"/>
  <c r="H1355" i="10"/>
  <c r="I1376" i="10"/>
  <c r="H1375" i="10"/>
  <c r="H1113" i="10"/>
  <c r="I1113" i="10" s="1"/>
  <c r="I1154" i="10"/>
  <c r="H1188" i="10"/>
  <c r="I1188" i="10" s="1"/>
  <c r="H1219" i="10"/>
  <c r="I1219" i="10" s="1"/>
  <c r="H1237" i="10"/>
  <c r="H1263" i="10"/>
  <c r="H1281" i="10"/>
  <c r="H1297" i="10"/>
  <c r="I1393" i="10"/>
  <c r="H1392" i="10"/>
  <c r="I1041" i="10"/>
  <c r="H1050" i="10"/>
  <c r="I1050" i="10" s="1"/>
  <c r="H1166" i="10"/>
  <c r="I1166" i="10" s="1"/>
  <c r="H1173" i="10"/>
  <c r="I1173" i="10" s="1"/>
  <c r="H1200" i="10"/>
  <c r="H1232" i="10"/>
  <c r="H1249" i="10"/>
  <c r="H1292" i="10"/>
  <c r="H1323" i="10"/>
  <c r="I1323" i="10" s="1"/>
  <c r="H1336" i="10"/>
  <c r="H1414" i="10"/>
  <c r="H1463" i="10"/>
  <c r="I1463" i="10" s="1"/>
  <c r="H1470" i="10"/>
  <c r="H1326" i="10"/>
  <c r="I1326" i="10" s="1"/>
  <c r="H1368" i="10"/>
  <c r="H1398" i="10"/>
  <c r="H19" i="12"/>
  <c r="J19" i="12" s="1"/>
  <c r="I760" i="12"/>
  <c r="K761" i="12"/>
  <c r="J89" i="12"/>
  <c r="I298" i="12"/>
  <c r="K299" i="12"/>
  <c r="I315" i="12"/>
  <c r="K316" i="12"/>
  <c r="H55" i="12"/>
  <c r="J55" i="12" s="1"/>
  <c r="H253" i="12"/>
  <c r="J253" i="12" s="1"/>
  <c r="J254" i="12"/>
  <c r="J164" i="12"/>
  <c r="H154" i="12"/>
  <c r="H147" i="12" s="1"/>
  <c r="J57" i="12"/>
  <c r="F679" i="14"/>
  <c r="I282" i="12"/>
  <c r="K283" i="12"/>
  <c r="I289" i="12"/>
  <c r="K289" i="12" s="1"/>
  <c r="K290" i="12"/>
  <c r="E69" i="14"/>
  <c r="F69" i="14" s="1"/>
  <c r="F70" i="14"/>
  <c r="F464" i="14"/>
  <c r="F465" i="14"/>
  <c r="E640" i="14"/>
  <c r="F651" i="14"/>
  <c r="E536" i="14"/>
  <c r="F536" i="14" s="1"/>
  <c r="F537" i="14"/>
  <c r="E411" i="14"/>
  <c r="F411" i="14" s="1"/>
  <c r="F412" i="14"/>
  <c r="E513" i="14"/>
  <c r="F513" i="14" s="1"/>
  <c r="F514" i="14"/>
  <c r="E717" i="14"/>
  <c r="F717" i="14" s="1"/>
  <c r="F718" i="14"/>
  <c r="F403" i="14"/>
  <c r="E1042" i="14"/>
  <c r="F338" i="14"/>
  <c r="F33" i="14"/>
  <c r="E32" i="14"/>
  <c r="F32" i="14" s="1"/>
  <c r="E65" i="14"/>
  <c r="F66" i="14"/>
  <c r="F87" i="14"/>
  <c r="E443" i="14"/>
  <c r="F444" i="14"/>
  <c r="F204" i="14"/>
  <c r="E198" i="14"/>
  <c r="E197" i="14" s="1"/>
  <c r="F558" i="14"/>
  <c r="F143" i="14"/>
  <c r="E119" i="14"/>
  <c r="E731" i="14"/>
  <c r="F731" i="14" s="1"/>
  <c r="F743" i="14"/>
  <c r="F296" i="14"/>
  <c r="F297" i="14"/>
  <c r="E820" i="14"/>
  <c r="F821" i="14"/>
  <c r="F526" i="14"/>
  <c r="E416" i="14"/>
  <c r="F416" i="14" s="1"/>
  <c r="F417" i="14"/>
  <c r="E287" i="14"/>
  <c r="F288" i="14"/>
  <c r="I287" i="12"/>
  <c r="K288" i="12"/>
  <c r="E432" i="14"/>
  <c r="F433" i="14"/>
  <c r="H293" i="12"/>
  <c r="J294" i="12"/>
  <c r="I114" i="12"/>
  <c r="K114" i="12" s="1"/>
  <c r="K115" i="12"/>
  <c r="I73" i="12"/>
  <c r="I72" i="12" s="1"/>
  <c r="I71" i="12" s="1"/>
  <c r="I38" i="12"/>
  <c r="I57" i="12"/>
  <c r="I56" i="12" s="1"/>
  <c r="I55" i="12" s="1"/>
  <c r="H324" i="12"/>
  <c r="J324" i="12" s="1"/>
  <c r="J325" i="12"/>
  <c r="J14" i="12"/>
  <c r="H13" i="12"/>
  <c r="I49" i="12"/>
  <c r="I48" i="12" s="1"/>
  <c r="I47" i="12" s="1"/>
  <c r="I89" i="12"/>
  <c r="J73" i="12"/>
  <c r="H72" i="12"/>
  <c r="J65" i="12"/>
  <c r="H64" i="12"/>
  <c r="I64" i="12"/>
  <c r="J116" i="12"/>
  <c r="H115" i="12"/>
  <c r="H87" i="12"/>
  <c r="J87" i="12" s="1"/>
  <c r="J33" i="12"/>
  <c r="H32" i="12"/>
  <c r="I691" i="10"/>
  <c r="I690" i="10"/>
  <c r="H1009" i="10"/>
  <c r="I1009" i="10" s="1"/>
  <c r="H1006" i="10"/>
  <c r="I1006" i="10" s="1"/>
  <c r="H987" i="10"/>
  <c r="I987" i="10" s="1"/>
  <c r="H980" i="10"/>
  <c r="I980" i="10" s="1"/>
  <c r="H975" i="10"/>
  <c r="I975" i="10" s="1"/>
  <c r="H968" i="10"/>
  <c r="I968" i="10" s="1"/>
  <c r="H965" i="10"/>
  <c r="I965" i="10" s="1"/>
  <c r="H961" i="10"/>
  <c r="I961" i="10" s="1"/>
  <c r="H955" i="10"/>
  <c r="I955" i="10" s="1"/>
  <c r="H953" i="10"/>
  <c r="I953" i="10" s="1"/>
  <c r="H947" i="10"/>
  <c r="I947" i="10" s="1"/>
  <c r="H940" i="10"/>
  <c r="I940" i="10" s="1"/>
  <c r="H932" i="10"/>
  <c r="I932" i="10" s="1"/>
  <c r="H928" i="10"/>
  <c r="I928" i="10" s="1"/>
  <c r="H922" i="10"/>
  <c r="I922" i="10" s="1"/>
  <c r="H917" i="10"/>
  <c r="I917" i="10" s="1"/>
  <c r="H909" i="10"/>
  <c r="I909" i="10" s="1"/>
  <c r="H906" i="10"/>
  <c r="I906" i="10" s="1"/>
  <c r="H900" i="10"/>
  <c r="I900" i="10" s="1"/>
  <c r="H893" i="10"/>
  <c r="I893" i="10" s="1"/>
  <c r="H886" i="10"/>
  <c r="I886" i="10" s="1"/>
  <c r="H879" i="10"/>
  <c r="I879" i="10" s="1"/>
  <c r="H876" i="10"/>
  <c r="I876" i="10" s="1"/>
  <c r="H866" i="10"/>
  <c r="I866" i="10" s="1"/>
  <c r="H856" i="10"/>
  <c r="I856" i="10" s="1"/>
  <c r="H846" i="10"/>
  <c r="I846" i="10" s="1"/>
  <c r="H840" i="10"/>
  <c r="I840" i="10" s="1"/>
  <c r="H834" i="10"/>
  <c r="I834" i="10" s="1"/>
  <c r="H821" i="10"/>
  <c r="I821" i="10" s="1"/>
  <c r="H794" i="10"/>
  <c r="I794" i="10" s="1"/>
  <c r="H792" i="10"/>
  <c r="I792" i="10" s="1"/>
  <c r="H790" i="10"/>
  <c r="I790" i="10" s="1"/>
  <c r="H787" i="10"/>
  <c r="I787" i="10" s="1"/>
  <c r="H785" i="10"/>
  <c r="I785" i="10" s="1"/>
  <c r="H783" i="10"/>
  <c r="I783" i="10" s="1"/>
  <c r="H780" i="10"/>
  <c r="I780" i="10" s="1"/>
  <c r="H778" i="10"/>
  <c r="I778" i="10" s="1"/>
  <c r="H776" i="10"/>
  <c r="I776" i="10" s="1"/>
  <c r="H773" i="10"/>
  <c r="I773" i="10" s="1"/>
  <c r="H771" i="10"/>
  <c r="I771" i="10" s="1"/>
  <c r="H769" i="10"/>
  <c r="I769" i="10" s="1"/>
  <c r="H766" i="10"/>
  <c r="I766" i="10" s="1"/>
  <c r="H759" i="10"/>
  <c r="I759" i="10" s="1"/>
  <c r="H757" i="10"/>
  <c r="I757" i="10" s="1"/>
  <c r="H754" i="10"/>
  <c r="I754" i="10" s="1"/>
  <c r="H752" i="10"/>
  <c r="I752" i="10" s="1"/>
  <c r="H750" i="10"/>
  <c r="I750" i="10" s="1"/>
  <c r="H745" i="10"/>
  <c r="H743" i="10"/>
  <c r="I743" i="10" s="1"/>
  <c r="H740" i="10"/>
  <c r="I740" i="10" s="1"/>
  <c r="H737" i="10"/>
  <c r="I737" i="10" s="1"/>
  <c r="H732" i="10"/>
  <c r="I732" i="10" s="1"/>
  <c r="H734" i="10"/>
  <c r="I734" i="10" s="1"/>
  <c r="H729" i="10"/>
  <c r="I729" i="10" s="1"/>
  <c r="H727" i="10"/>
  <c r="I727" i="10" s="1"/>
  <c r="H722" i="10"/>
  <c r="H719" i="10"/>
  <c r="I719" i="10" s="1"/>
  <c r="H716" i="10"/>
  <c r="I716" i="10" s="1"/>
  <c r="H713" i="10"/>
  <c r="I713" i="10" s="1"/>
  <c r="H710" i="10"/>
  <c r="I710" i="10" s="1"/>
  <c r="H707" i="10"/>
  <c r="I707" i="10" s="1"/>
  <c r="H704" i="10"/>
  <c r="I704" i="10" s="1"/>
  <c r="H699" i="10"/>
  <c r="H675" i="10"/>
  <c r="I675" i="10" s="1"/>
  <c r="H663" i="10"/>
  <c r="I663" i="10" s="1"/>
  <c r="H642" i="10"/>
  <c r="I642" i="10" s="1"/>
  <c r="H640" i="10"/>
  <c r="I640" i="10" s="1"/>
  <c r="H638" i="10"/>
  <c r="I638" i="10" s="1"/>
  <c r="H635" i="10"/>
  <c r="I635" i="10" s="1"/>
  <c r="H632" i="10"/>
  <c r="I632" i="10" s="1"/>
  <c r="H630" i="10"/>
  <c r="I630" i="10" s="1"/>
  <c r="H624" i="10"/>
  <c r="I624" i="10" s="1"/>
  <c r="H621" i="10"/>
  <c r="I621" i="10" s="1"/>
  <c r="H616" i="10"/>
  <c r="H613" i="10"/>
  <c r="I613" i="10" s="1"/>
  <c r="H610" i="10"/>
  <c r="I610" i="10" s="1"/>
  <c r="H597" i="10"/>
  <c r="I597" i="10" s="1"/>
  <c r="H595" i="10"/>
  <c r="I595" i="10" s="1"/>
  <c r="H544" i="10"/>
  <c r="I544" i="10" s="1"/>
  <c r="H541" i="10"/>
  <c r="I541" i="10" s="1"/>
  <c r="H537" i="10"/>
  <c r="I537" i="10" s="1"/>
  <c r="H531" i="10"/>
  <c r="I531" i="10" s="1"/>
  <c r="H528" i="10"/>
  <c r="I528" i="10" s="1"/>
  <c r="H522" i="10"/>
  <c r="I522" i="10" s="1"/>
  <c r="H514" i="10"/>
  <c r="I514" i="10" s="1"/>
  <c r="H508" i="10"/>
  <c r="I508" i="10" s="1"/>
  <c r="H503" i="10"/>
  <c r="I503" i="10" s="1"/>
  <c r="H481" i="10"/>
  <c r="I481" i="10" s="1"/>
  <c r="H479" i="10"/>
  <c r="I479" i="10" s="1"/>
  <c r="H472" i="10"/>
  <c r="I472" i="10" s="1"/>
  <c r="H468" i="10"/>
  <c r="I468" i="10" s="1"/>
  <c r="H465" i="10"/>
  <c r="I465" i="10" s="1"/>
  <c r="H461" i="10"/>
  <c r="I461" i="10" s="1"/>
  <c r="H457" i="10"/>
  <c r="I457" i="10" s="1"/>
  <c r="F337" i="14" l="1"/>
  <c r="E336" i="14"/>
  <c r="H1037" i="10"/>
  <c r="I722" i="10"/>
  <c r="H721" i="10"/>
  <c r="I721" i="10" s="1"/>
  <c r="H1358" i="10"/>
  <c r="I1358" i="10" s="1"/>
  <c r="I1313" i="10"/>
  <c r="H1309" i="10"/>
  <c r="I1309" i="10" s="1"/>
  <c r="E639" i="14"/>
  <c r="F639" i="14" s="1"/>
  <c r="H1207" i="10"/>
  <c r="I1207" i="10" s="1"/>
  <c r="I1196" i="10"/>
  <c r="H1187" i="10"/>
  <c r="H1203" i="10"/>
  <c r="I1203" i="10" s="1"/>
  <c r="I616" i="10"/>
  <c r="H615" i="10"/>
  <c r="I615" i="10" s="1"/>
  <c r="I699" i="10"/>
  <c r="H698" i="10"/>
  <c r="I698" i="10" s="1"/>
  <c r="I745" i="10"/>
  <c r="H742" i="10"/>
  <c r="I1319" i="10"/>
  <c r="H1318" i="10"/>
  <c r="I1318" i="10" s="1"/>
  <c r="I286" i="12"/>
  <c r="H1446" i="10"/>
  <c r="H1445" i="10" s="1"/>
  <c r="I1445" i="10" s="1"/>
  <c r="H1255" i="10"/>
  <c r="H1254" i="10" s="1"/>
  <c r="I1342" i="10"/>
  <c r="H1060" i="10"/>
  <c r="H1059" i="10" s="1"/>
  <c r="H1421" i="10"/>
  <c r="I1421" i="10" s="1"/>
  <c r="H1304" i="10"/>
  <c r="I1304" i="10" s="1"/>
  <c r="H530" i="10"/>
  <c r="I530" i="10" s="1"/>
  <c r="H543" i="10"/>
  <c r="I543" i="10" s="1"/>
  <c r="H1102" i="10"/>
  <c r="H1101" i="10" s="1"/>
  <c r="H1128" i="10"/>
  <c r="I1128" i="10" s="1"/>
  <c r="H865" i="10"/>
  <c r="I865" i="10" s="1"/>
  <c r="H1454" i="10"/>
  <c r="I1454" i="10" s="1"/>
  <c r="H1437" i="10"/>
  <c r="I1437" i="10" s="1"/>
  <c r="H1136" i="10"/>
  <c r="I1136" i="10" s="1"/>
  <c r="H478" i="10"/>
  <c r="H739" i="10"/>
  <c r="I739" i="10" s="1"/>
  <c r="H527" i="10"/>
  <c r="I527" i="10" s="1"/>
  <c r="H456" i="10"/>
  <c r="I456" i="10" s="1"/>
  <c r="H706" i="10"/>
  <c r="I706" i="10" s="1"/>
  <c r="H712" i="10"/>
  <c r="H718" i="10"/>
  <c r="I718" i="10" s="1"/>
  <c r="H726" i="10"/>
  <c r="I726" i="10" s="1"/>
  <c r="H931" i="10"/>
  <c r="I931" i="10" s="1"/>
  <c r="H736" i="10"/>
  <c r="I736" i="10" s="1"/>
  <c r="H513" i="10"/>
  <c r="I513" i="10" s="1"/>
  <c r="I693" i="10"/>
  <c r="H703" i="10"/>
  <c r="I703" i="10" s="1"/>
  <c r="H709" i="10"/>
  <c r="I709" i="10" s="1"/>
  <c r="H715" i="10"/>
  <c r="I715" i="10" s="1"/>
  <c r="H765" i="10"/>
  <c r="I765" i="10" s="1"/>
  <c r="H833" i="10"/>
  <c r="I833" i="10" s="1"/>
  <c r="H878" i="10"/>
  <c r="I878" i="10" s="1"/>
  <c r="H960" i="10"/>
  <c r="I960" i="10" s="1"/>
  <c r="H47" i="12"/>
  <c r="J47" i="12" s="1"/>
  <c r="H464" i="10"/>
  <c r="I464" i="10" s="1"/>
  <c r="H502" i="10"/>
  <c r="H507" i="10"/>
  <c r="H609" i="10"/>
  <c r="I609" i="10" s="1"/>
  <c r="H623" i="10"/>
  <c r="I623" i="10" s="1"/>
  <c r="H662" i="10"/>
  <c r="H674" i="10"/>
  <c r="H667" i="10" s="1"/>
  <c r="H756" i="10"/>
  <c r="I756" i="10" s="1"/>
  <c r="H845" i="10"/>
  <c r="H844" i="10" s="1"/>
  <c r="H892" i="10"/>
  <c r="H905" i="10"/>
  <c r="I905" i="10" s="1"/>
  <c r="H916" i="10"/>
  <c r="H921" i="10"/>
  <c r="H946" i="10"/>
  <c r="H967" i="10"/>
  <c r="I967" i="10" s="1"/>
  <c r="I1383" i="10"/>
  <c r="H1382" i="10"/>
  <c r="H731" i="10"/>
  <c r="I731" i="10" s="1"/>
  <c r="I1431" i="10"/>
  <c r="H1430" i="10"/>
  <c r="H467" i="10"/>
  <c r="I467" i="10" s="1"/>
  <c r="H612" i="10"/>
  <c r="I612" i="10" s="1"/>
  <c r="H620" i="10"/>
  <c r="I620" i="10" s="1"/>
  <c r="H634" i="10"/>
  <c r="I634" i="10" s="1"/>
  <c r="H637" i="10"/>
  <c r="I637" i="10" s="1"/>
  <c r="H908" i="10"/>
  <c r="I908" i="10" s="1"/>
  <c r="H594" i="10"/>
  <c r="H749" i="10"/>
  <c r="I749" i="10" s="1"/>
  <c r="H927" i="10"/>
  <c r="I1368" i="10"/>
  <c r="H1367" i="10"/>
  <c r="I1477" i="10"/>
  <c r="H1476" i="10"/>
  <c r="I1414" i="10"/>
  <c r="H1413" i="10"/>
  <c r="I1200" i="10"/>
  <c r="I1392" i="10"/>
  <c r="H1391" i="10"/>
  <c r="I1297" i="10"/>
  <c r="H1296" i="10"/>
  <c r="I1237" i="10"/>
  <c r="H1236" i="10"/>
  <c r="I1162" i="10"/>
  <c r="H1161" i="10"/>
  <c r="H1160" i="10" s="1"/>
  <c r="I1092" i="10"/>
  <c r="H1091" i="10"/>
  <c r="I1038" i="10"/>
  <c r="H460" i="10"/>
  <c r="H768" i="10"/>
  <c r="H782" i="10"/>
  <c r="I782" i="10" s="1"/>
  <c r="H1462" i="10"/>
  <c r="I1470" i="10"/>
  <c r="I1292" i="10"/>
  <c r="H1291" i="10"/>
  <c r="I1281" i="10"/>
  <c r="H1280" i="10"/>
  <c r="I1375" i="10"/>
  <c r="H1374" i="10"/>
  <c r="I1272" i="10"/>
  <c r="H1271" i="10"/>
  <c r="I1031" i="10"/>
  <c r="H1030" i="10"/>
  <c r="I1030" i="10" s="1"/>
  <c r="H1008" i="10"/>
  <c r="I1008" i="10" s="1"/>
  <c r="I1249" i="10"/>
  <c r="H1248" i="10"/>
  <c r="I1263" i="10"/>
  <c r="H1262" i="10"/>
  <c r="H1144" i="10"/>
  <c r="H1143" i="10" s="1"/>
  <c r="I1122" i="10"/>
  <c r="H1121" i="10"/>
  <c r="I1076" i="10"/>
  <c r="H1075" i="10"/>
  <c r="I1021" i="10"/>
  <c r="H1020" i="10"/>
  <c r="H521" i="10"/>
  <c r="H536" i="10"/>
  <c r="H540" i="10"/>
  <c r="H629" i="10"/>
  <c r="H775" i="10"/>
  <c r="I775" i="10" s="1"/>
  <c r="H789" i="10"/>
  <c r="I789" i="10" s="1"/>
  <c r="H820" i="10"/>
  <c r="H839" i="10"/>
  <c r="H855" i="10"/>
  <c r="H875" i="10"/>
  <c r="H868" i="10" s="1"/>
  <c r="H885" i="10"/>
  <c r="H899" i="10"/>
  <c r="H939" i="10"/>
  <c r="H952" i="10"/>
  <c r="H964" i="10"/>
  <c r="H974" i="10"/>
  <c r="H979" i="10"/>
  <c r="H986" i="10"/>
  <c r="H1005" i="10"/>
  <c r="I1398" i="10"/>
  <c r="H1397" i="10"/>
  <c r="I1336" i="10"/>
  <c r="H1335" i="10"/>
  <c r="I1232" i="10"/>
  <c r="H1231" i="10"/>
  <c r="I1341" i="10"/>
  <c r="H1340" i="10"/>
  <c r="I1340" i="10" s="1"/>
  <c r="I1355" i="10"/>
  <c r="H1354" i="10"/>
  <c r="I1354" i="10" s="1"/>
  <c r="I1214" i="10"/>
  <c r="I1069" i="10"/>
  <c r="H1068" i="10"/>
  <c r="I759" i="12"/>
  <c r="K760" i="12"/>
  <c r="H471" i="10"/>
  <c r="I297" i="12"/>
  <c r="K298" i="12"/>
  <c r="I314" i="12"/>
  <c r="K315" i="12"/>
  <c r="J154" i="12"/>
  <c r="J147" i="12"/>
  <c r="E525" i="14"/>
  <c r="F525" i="14" s="1"/>
  <c r="E819" i="14"/>
  <c r="F819" i="14" s="1"/>
  <c r="F820" i="14"/>
  <c r="E556" i="14"/>
  <c r="F557" i="14"/>
  <c r="E442" i="14"/>
  <c r="F443" i="14"/>
  <c r="F65" i="14"/>
  <c r="E64" i="14"/>
  <c r="F142" i="14"/>
  <c r="F119" i="14"/>
  <c r="F198" i="14"/>
  <c r="E1100" i="14"/>
  <c r="F1100" i="14" s="1"/>
  <c r="F1042" i="14"/>
  <c r="E286" i="14"/>
  <c r="F287" i="14"/>
  <c r="F86" i="14"/>
  <c r="F640" i="14"/>
  <c r="I281" i="12"/>
  <c r="K282" i="12"/>
  <c r="F432" i="14"/>
  <c r="K287" i="12"/>
  <c r="J293" i="12"/>
  <c r="H252" i="12"/>
  <c r="I33" i="12"/>
  <c r="I88" i="12"/>
  <c r="J13" i="12"/>
  <c r="H12" i="12"/>
  <c r="J12" i="12" s="1"/>
  <c r="I63" i="12"/>
  <c r="J72" i="12"/>
  <c r="H71" i="12"/>
  <c r="J71" i="12" s="1"/>
  <c r="J32" i="12"/>
  <c r="J115" i="12"/>
  <c r="H114" i="12"/>
  <c r="J114" i="12" s="1"/>
  <c r="J64" i="12"/>
  <c r="H63" i="12"/>
  <c r="J63" i="12" s="1"/>
  <c r="H444" i="10"/>
  <c r="I444" i="10" s="1"/>
  <c r="H441" i="10"/>
  <c r="I441" i="10" s="1"/>
  <c r="H438" i="10"/>
  <c r="I438" i="10" s="1"/>
  <c r="H426" i="10"/>
  <c r="I426" i="10" s="1"/>
  <c r="H423" i="10"/>
  <c r="I423" i="10" s="1"/>
  <c r="H417" i="10"/>
  <c r="I417" i="10" s="1"/>
  <c r="H414" i="10"/>
  <c r="I414" i="10" s="1"/>
  <c r="H411" i="10"/>
  <c r="I411" i="10" s="1"/>
  <c r="H408" i="10"/>
  <c r="I408" i="10" s="1"/>
  <c r="H406" i="10"/>
  <c r="I406" i="10" s="1"/>
  <c r="H404" i="10"/>
  <c r="I404" i="10" s="1"/>
  <c r="H401" i="10"/>
  <c r="I401" i="10" s="1"/>
  <c r="H398" i="10"/>
  <c r="I398" i="10" s="1"/>
  <c r="H394" i="10"/>
  <c r="I394" i="10" s="1"/>
  <c r="H392" i="10"/>
  <c r="H389" i="10"/>
  <c r="I389" i="10" s="1"/>
  <c r="H386" i="10"/>
  <c r="I386" i="10" s="1"/>
  <c r="H383" i="10"/>
  <c r="I383" i="10" s="1"/>
  <c r="H381" i="10"/>
  <c r="I381" i="10" s="1"/>
  <c r="H379" i="10"/>
  <c r="I379" i="10" s="1"/>
  <c r="H376" i="10"/>
  <c r="I376" i="10" s="1"/>
  <c r="H373" i="10"/>
  <c r="I373" i="10" s="1"/>
  <c r="H367" i="10"/>
  <c r="I367" i="10" s="1"/>
  <c r="H364" i="10"/>
  <c r="I364" i="10" s="1"/>
  <c r="H357" i="10"/>
  <c r="I357" i="10" s="1"/>
  <c r="H354" i="10"/>
  <c r="I354" i="10" s="1"/>
  <c r="H351" i="10"/>
  <c r="I351" i="10" s="1"/>
  <c r="H344" i="10"/>
  <c r="I344" i="10" s="1"/>
  <c r="H341" i="10"/>
  <c r="I341" i="10" s="1"/>
  <c r="H336" i="10"/>
  <c r="I336" i="10" s="1"/>
  <c r="H329" i="10"/>
  <c r="I329" i="10" s="1"/>
  <c r="K297" i="12" l="1"/>
  <c r="I296" i="12"/>
  <c r="H539" i="10"/>
  <c r="H1308" i="10"/>
  <c r="I1308" i="10" s="1"/>
  <c r="I1255" i="10"/>
  <c r="I1231" i="10"/>
  <c r="H1230" i="10"/>
  <c r="H1127" i="10"/>
  <c r="I1127" i="10" s="1"/>
  <c r="H959" i="10"/>
  <c r="H958" i="10" s="1"/>
  <c r="I1060" i="10"/>
  <c r="I742" i="10"/>
  <c r="H697" i="10"/>
  <c r="H696" i="10" s="1"/>
  <c r="H1436" i="10"/>
  <c r="H1435" i="10" s="1"/>
  <c r="H463" i="10"/>
  <c r="I463" i="10" s="1"/>
  <c r="H1303" i="10"/>
  <c r="I1303" i="10" s="1"/>
  <c r="H1135" i="10"/>
  <c r="I1135" i="10" s="1"/>
  <c r="I1446" i="10"/>
  <c r="I419" i="10"/>
  <c r="I392" i="10"/>
  <c r="H391" i="10"/>
  <c r="I391" i="10" s="1"/>
  <c r="J252" i="12"/>
  <c r="I689" i="10"/>
  <c r="H930" i="10"/>
  <c r="I930" i="10" s="1"/>
  <c r="I820" i="10"/>
  <c r="H819" i="10"/>
  <c r="H806" i="10" s="1"/>
  <c r="H805" i="10" s="1"/>
  <c r="H512" i="10"/>
  <c r="I512" i="10" s="1"/>
  <c r="I712" i="10"/>
  <c r="H602" i="10"/>
  <c r="H601" i="10" s="1"/>
  <c r="H31" i="12"/>
  <c r="H1420" i="10"/>
  <c r="I1420" i="10" s="1"/>
  <c r="I1102" i="10"/>
  <c r="I478" i="10"/>
  <c r="H477" i="10"/>
  <c r="H476" i="10" s="1"/>
  <c r="H328" i="10"/>
  <c r="I328" i="10" s="1"/>
  <c r="H526" i="10"/>
  <c r="H525" i="10" s="1"/>
  <c r="H904" i="10"/>
  <c r="I904" i="10" s="1"/>
  <c r="H864" i="10"/>
  <c r="I864" i="10" s="1"/>
  <c r="H340" i="10"/>
  <c r="I340" i="10" s="1"/>
  <c r="H832" i="10"/>
  <c r="I832" i="10" s="1"/>
  <c r="H1453" i="10"/>
  <c r="H1452" i="10" s="1"/>
  <c r="H455" i="10"/>
  <c r="I455" i="10" s="1"/>
  <c r="H335" i="10"/>
  <c r="I335" i="10" s="1"/>
  <c r="H343" i="10"/>
  <c r="I343" i="10" s="1"/>
  <c r="H375" i="10"/>
  <c r="I375" i="10" s="1"/>
  <c r="H413" i="10"/>
  <c r="I413" i="10" s="1"/>
  <c r="H425" i="10"/>
  <c r="I425" i="10" s="1"/>
  <c r="H372" i="10"/>
  <c r="H410" i="10"/>
  <c r="I410" i="10" s="1"/>
  <c r="H416" i="10"/>
  <c r="I416" i="10" s="1"/>
  <c r="H422" i="10"/>
  <c r="I422" i="10" s="1"/>
  <c r="H437" i="10"/>
  <c r="I1430" i="10"/>
  <c r="H1429" i="10"/>
  <c r="I916" i="10"/>
  <c r="H915" i="10"/>
  <c r="I674" i="10"/>
  <c r="I667" i="10"/>
  <c r="I507" i="10"/>
  <c r="H506" i="10"/>
  <c r="I946" i="10"/>
  <c r="H945" i="10"/>
  <c r="I892" i="10"/>
  <c r="H891" i="10"/>
  <c r="I662" i="10"/>
  <c r="H661" i="10"/>
  <c r="I502" i="10"/>
  <c r="H501" i="10"/>
  <c r="H353" i="10"/>
  <c r="I353" i="10" s="1"/>
  <c r="I1382" i="10"/>
  <c r="H1381" i="10"/>
  <c r="I921" i="10"/>
  <c r="H920" i="10"/>
  <c r="I845" i="10"/>
  <c r="I1397" i="10"/>
  <c r="H1396" i="10"/>
  <c r="I979" i="10"/>
  <c r="H978" i="10"/>
  <c r="I952" i="10"/>
  <c r="H951" i="10"/>
  <c r="I885" i="10"/>
  <c r="H884" i="10"/>
  <c r="I629" i="10"/>
  <c r="H628" i="10"/>
  <c r="I536" i="10"/>
  <c r="H535" i="10"/>
  <c r="I1075" i="10"/>
  <c r="H1074" i="10"/>
  <c r="H1353" i="10"/>
  <c r="H1347" i="10" s="1"/>
  <c r="I1374" i="10"/>
  <c r="H1373" i="10"/>
  <c r="I1373" i="10" s="1"/>
  <c r="I1280" i="10"/>
  <c r="H1279" i="10"/>
  <c r="I1291" i="10"/>
  <c r="H1290" i="10"/>
  <c r="I1091" i="10"/>
  <c r="H1090" i="10"/>
  <c r="I1187" i="10"/>
  <c r="H1186" i="10"/>
  <c r="H350" i="10"/>
  <c r="H363" i="10"/>
  <c r="H388" i="10"/>
  <c r="H378" i="10"/>
  <c r="I378" i="10" s="1"/>
  <c r="H443" i="10"/>
  <c r="I443" i="10" s="1"/>
  <c r="I1068" i="10"/>
  <c r="H1067" i="10"/>
  <c r="I1254" i="10"/>
  <c r="I974" i="10"/>
  <c r="H973" i="10"/>
  <c r="I839" i="10"/>
  <c r="H838" i="10"/>
  <c r="I1248" i="10"/>
  <c r="H1247" i="10"/>
  <c r="H1461" i="10"/>
  <c r="I1462" i="10"/>
  <c r="I460" i="10"/>
  <c r="H459" i="10"/>
  <c r="I459" i="10" s="1"/>
  <c r="I1059" i="10"/>
  <c r="H1058" i="10"/>
  <c r="I1058" i="10" s="1"/>
  <c r="I1296" i="10"/>
  <c r="H1295" i="10"/>
  <c r="I1295" i="10" s="1"/>
  <c r="I1101" i="10"/>
  <c r="H1100" i="10"/>
  <c r="I1413" i="10"/>
  <c r="H1412" i="10"/>
  <c r="I1476" i="10"/>
  <c r="H1475" i="10"/>
  <c r="I927" i="10"/>
  <c r="H926" i="10"/>
  <c r="H403" i="10"/>
  <c r="I403" i="10" s="1"/>
  <c r="I1005" i="10"/>
  <c r="H1004" i="10"/>
  <c r="I964" i="10"/>
  <c r="H963" i="10"/>
  <c r="I963" i="10" s="1"/>
  <c r="I939" i="10"/>
  <c r="H938" i="10"/>
  <c r="I899" i="10"/>
  <c r="H898" i="10"/>
  <c r="I875" i="10"/>
  <c r="I521" i="10"/>
  <c r="H520" i="10"/>
  <c r="I1020" i="10"/>
  <c r="H1019" i="10"/>
  <c r="I1121" i="10"/>
  <c r="H1120" i="10"/>
  <c r="I1144" i="10"/>
  <c r="I1271" i="10"/>
  <c r="H1270" i="10"/>
  <c r="H1029" i="10"/>
  <c r="H1028" i="10" s="1"/>
  <c r="I1037" i="10"/>
  <c r="I1161" i="10"/>
  <c r="I594" i="10"/>
  <c r="H593" i="10"/>
  <c r="H356" i="10"/>
  <c r="I356" i="10" s="1"/>
  <c r="H366" i="10"/>
  <c r="I366" i="10" s="1"/>
  <c r="H385" i="10"/>
  <c r="I385" i="10" s="1"/>
  <c r="H440" i="10"/>
  <c r="I440" i="10" s="1"/>
  <c r="H1317" i="10"/>
  <c r="I1317" i="10" s="1"/>
  <c r="I1335" i="10"/>
  <c r="I986" i="10"/>
  <c r="H985" i="10"/>
  <c r="I855" i="10"/>
  <c r="H854" i="10"/>
  <c r="H853" i="10" s="1"/>
  <c r="I540" i="10"/>
  <c r="I539" i="10"/>
  <c r="I1262" i="10"/>
  <c r="H1261" i="10"/>
  <c r="I1261" i="10" s="1"/>
  <c r="I1436" i="10"/>
  <c r="I768" i="10"/>
  <c r="H764" i="10"/>
  <c r="I1236" i="10"/>
  <c r="I1391" i="10"/>
  <c r="H1390" i="10"/>
  <c r="I1367" i="10"/>
  <c r="H1366" i="10"/>
  <c r="E85" i="14"/>
  <c r="F85" i="14" s="1"/>
  <c r="K759" i="12"/>
  <c r="I753" i="12"/>
  <c r="I471" i="10"/>
  <c r="H470" i="10"/>
  <c r="I313" i="12"/>
  <c r="K313" i="12" s="1"/>
  <c r="K314" i="12"/>
  <c r="H400" i="10"/>
  <c r="E280" i="14"/>
  <c r="F280" i="14" s="1"/>
  <c r="F286" i="14"/>
  <c r="F64" i="14"/>
  <c r="E15" i="14"/>
  <c r="F15" i="14" s="1"/>
  <c r="E196" i="14"/>
  <c r="F196" i="14" s="1"/>
  <c r="F197" i="14"/>
  <c r="E524" i="14"/>
  <c r="F524" i="14" s="1"/>
  <c r="F556" i="14"/>
  <c r="K281" i="12"/>
  <c r="I269" i="12"/>
  <c r="E441" i="14"/>
  <c r="F441" i="14" s="1"/>
  <c r="F442" i="14"/>
  <c r="I285" i="12"/>
  <c r="K286" i="12"/>
  <c r="F336" i="14"/>
  <c r="I32" i="12"/>
  <c r="I87" i="12"/>
  <c r="H302" i="10"/>
  <c r="I302" i="10" s="1"/>
  <c r="H293" i="10"/>
  <c r="I293" i="10" s="1"/>
  <c r="H291" i="10"/>
  <c r="H279" i="10"/>
  <c r="I279" i="10" s="1"/>
  <c r="H276" i="10"/>
  <c r="I276" i="10" s="1"/>
  <c r="H272" i="10"/>
  <c r="I272" i="10" s="1"/>
  <c r="H268" i="10"/>
  <c r="I268" i="10" s="1"/>
  <c r="H265" i="10"/>
  <c r="I265" i="10" s="1"/>
  <c r="H259" i="10"/>
  <c r="I259" i="10" s="1"/>
  <c r="H250" i="10"/>
  <c r="I250" i="10" s="1"/>
  <c r="H248" i="10"/>
  <c r="H243" i="10"/>
  <c r="I243" i="10" s="1"/>
  <c r="H240" i="10"/>
  <c r="I240" i="10" s="1"/>
  <c r="H234" i="10"/>
  <c r="I234" i="10" s="1"/>
  <c r="H232" i="10"/>
  <c r="I232" i="10" s="1"/>
  <c r="H227" i="10"/>
  <c r="I227" i="10" s="1"/>
  <c r="H208" i="10"/>
  <c r="H176" i="10"/>
  <c r="I176" i="10" s="1"/>
  <c r="H170" i="10"/>
  <c r="I170" i="10" s="1"/>
  <c r="H161" i="10"/>
  <c r="I161" i="10" s="1"/>
  <c r="H155" i="10"/>
  <c r="I155" i="10" s="1"/>
  <c r="H153" i="10"/>
  <c r="I153" i="10" s="1"/>
  <c r="H150" i="10"/>
  <c r="I150" i="10" s="1"/>
  <c r="H146" i="10"/>
  <c r="I146" i="10" s="1"/>
  <c r="H144" i="10"/>
  <c r="H134" i="10"/>
  <c r="I134" i="10" s="1"/>
  <c r="H131" i="10"/>
  <c r="I131" i="10" s="1"/>
  <c r="H126" i="10"/>
  <c r="I126" i="10" s="1"/>
  <c r="H122" i="10"/>
  <c r="I122" i="10" s="1"/>
  <c r="H109" i="10"/>
  <c r="I109" i="10" s="1"/>
  <c r="H106" i="10"/>
  <c r="I106" i="10" s="1"/>
  <c r="H101" i="10"/>
  <c r="I101" i="10" s="1"/>
  <c r="H91" i="10"/>
  <c r="I91" i="10" s="1"/>
  <c r="H89" i="10"/>
  <c r="I89" i="10" s="1"/>
  <c r="H87" i="10"/>
  <c r="I87" i="10" s="1"/>
  <c r="H80" i="10"/>
  <c r="H66" i="10"/>
  <c r="I66" i="10" s="1"/>
  <c r="H64" i="10"/>
  <c r="I64" i="10" s="1"/>
  <c r="H58" i="10"/>
  <c r="I58" i="10" s="1"/>
  <c r="H56" i="10"/>
  <c r="I56" i="10" s="1"/>
  <c r="H50" i="10"/>
  <c r="I50" i="10" s="1"/>
  <c r="H48" i="10"/>
  <c r="I48" i="10" s="1"/>
  <c r="H42" i="10"/>
  <c r="I42" i="10" s="1"/>
  <c r="I388" i="10" l="1"/>
  <c r="H371" i="10"/>
  <c r="I959" i="10"/>
  <c r="H1134" i="10"/>
  <c r="I1134" i="10" s="1"/>
  <c r="I526" i="10"/>
  <c r="H666" i="10"/>
  <c r="I666" i="10" s="1"/>
  <c r="H217" i="10"/>
  <c r="H216" i="10" s="1"/>
  <c r="H1419" i="10"/>
  <c r="I1419" i="10" s="1"/>
  <c r="I261" i="10"/>
  <c r="H903" i="10"/>
  <c r="I903" i="10" s="1"/>
  <c r="H511" i="10"/>
  <c r="H510" i="10" s="1"/>
  <c r="I510" i="10" s="1"/>
  <c r="I628" i="10"/>
  <c r="H627" i="10"/>
  <c r="I291" i="10"/>
  <c r="H290" i="10"/>
  <c r="I1453" i="10"/>
  <c r="I372" i="10"/>
  <c r="I477" i="10"/>
  <c r="I437" i="10"/>
  <c r="I307" i="10"/>
  <c r="H306" i="10"/>
  <c r="I306" i="10" s="1"/>
  <c r="H339" i="10"/>
  <c r="I339" i="10" s="1"/>
  <c r="I31" i="12"/>
  <c r="I11" i="12" s="1"/>
  <c r="I80" i="10"/>
  <c r="H79" i="10"/>
  <c r="I79" i="10" s="1"/>
  <c r="H242" i="10"/>
  <c r="I242" i="10" s="1"/>
  <c r="I208" i="10"/>
  <c r="H207" i="10"/>
  <c r="H197" i="10" s="1"/>
  <c r="I602" i="10"/>
  <c r="H831" i="10"/>
  <c r="I831" i="10" s="1"/>
  <c r="H334" i="10"/>
  <c r="H333" i="10" s="1"/>
  <c r="I333" i="10" s="1"/>
  <c r="I697" i="10"/>
  <c r="I819" i="10"/>
  <c r="H105" i="10"/>
  <c r="I105" i="10" s="1"/>
  <c r="H125" i="10"/>
  <c r="I125" i="10" s="1"/>
  <c r="H239" i="10"/>
  <c r="I239" i="10" s="1"/>
  <c r="H258" i="10"/>
  <c r="H264" i="10"/>
  <c r="I264" i="10" s="1"/>
  <c r="H267" i="10"/>
  <c r="I267" i="10" s="1"/>
  <c r="I501" i="10"/>
  <c r="H500" i="10"/>
  <c r="I891" i="10"/>
  <c r="H890" i="10"/>
  <c r="I506" i="10"/>
  <c r="H505" i="10"/>
  <c r="I505" i="10" s="1"/>
  <c r="I915" i="10"/>
  <c r="H914" i="10"/>
  <c r="H86" i="10"/>
  <c r="I86" i="10" s="1"/>
  <c r="H160" i="10"/>
  <c r="I160" i="10" s="1"/>
  <c r="H275" i="10"/>
  <c r="I275" i="10" s="1"/>
  <c r="I844" i="10"/>
  <c r="H843" i="10"/>
  <c r="I1381" i="10"/>
  <c r="H1380" i="10"/>
  <c r="I661" i="10"/>
  <c r="H660" i="10"/>
  <c r="I945" i="10"/>
  <c r="H944" i="10"/>
  <c r="H1428" i="10"/>
  <c r="H1427" i="10" s="1"/>
  <c r="I1429" i="10"/>
  <c r="H169" i="10"/>
  <c r="I169" i="10" s="1"/>
  <c r="H278" i="10"/>
  <c r="I278" i="10" s="1"/>
  <c r="I920" i="10"/>
  <c r="H919" i="10"/>
  <c r="I919" i="10" s="1"/>
  <c r="I144" i="10"/>
  <c r="H143" i="10"/>
  <c r="I143" i="10" s="1"/>
  <c r="I1390" i="10"/>
  <c r="H1389" i="10"/>
  <c r="I764" i="10"/>
  <c r="H763" i="10"/>
  <c r="I593" i="10"/>
  <c r="H592" i="10"/>
  <c r="H1159" i="10"/>
  <c r="H1158" i="10" s="1"/>
  <c r="I1160" i="10"/>
  <c r="I898" i="10"/>
  <c r="H897" i="10"/>
  <c r="I1461" i="10"/>
  <c r="H1460" i="10"/>
  <c r="I1460" i="10" s="1"/>
  <c r="I334" i="10"/>
  <c r="I978" i="10"/>
  <c r="H977" i="10"/>
  <c r="I977" i="10" s="1"/>
  <c r="H47" i="10"/>
  <c r="H63" i="10"/>
  <c r="H100" i="10"/>
  <c r="H121" i="10"/>
  <c r="H175" i="10"/>
  <c r="H174" i="10" s="1"/>
  <c r="H226" i="10"/>
  <c r="I248" i="10"/>
  <c r="H247" i="10"/>
  <c r="H301" i="10"/>
  <c r="I985" i="10"/>
  <c r="H984" i="10"/>
  <c r="I1452" i="10"/>
  <c r="I1019" i="10"/>
  <c r="H1018" i="10"/>
  <c r="H1011" i="10" s="1"/>
  <c r="I601" i="10"/>
  <c r="H600" i="10"/>
  <c r="I600" i="10" s="1"/>
  <c r="I1475" i="10"/>
  <c r="H1474" i="10"/>
  <c r="I1100" i="10"/>
  <c r="H1099" i="10"/>
  <c r="I1099" i="10" s="1"/>
  <c r="I838" i="10"/>
  <c r="H837" i="10"/>
  <c r="H1253" i="10"/>
  <c r="I1067" i="10"/>
  <c r="H1066" i="10"/>
  <c r="I1186" i="10"/>
  <c r="H1185" i="10"/>
  <c r="I1290" i="10"/>
  <c r="H1289" i="10"/>
  <c r="H152" i="10"/>
  <c r="I152" i="10" s="1"/>
  <c r="H231" i="10"/>
  <c r="I476" i="10"/>
  <c r="H475" i="10"/>
  <c r="I1366" i="10"/>
  <c r="H1365" i="10"/>
  <c r="I1435" i="10"/>
  <c r="I1029" i="10"/>
  <c r="H1142" i="10"/>
  <c r="I1143" i="10"/>
  <c r="I868" i="10"/>
  <c r="H863" i="10"/>
  <c r="I938" i="10"/>
  <c r="H937" i="10"/>
  <c r="I1004" i="10"/>
  <c r="H1003" i="10"/>
  <c r="I363" i="10"/>
  <c r="H362" i="10"/>
  <c r="I1074" i="10"/>
  <c r="H1073" i="10"/>
  <c r="I535" i="10"/>
  <c r="H534" i="10"/>
  <c r="I884" i="10"/>
  <c r="H883" i="10"/>
  <c r="I951" i="10"/>
  <c r="H950" i="10"/>
  <c r="I1396" i="10"/>
  <c r="H1395" i="10"/>
  <c r="I1395" i="10" s="1"/>
  <c r="H55" i="10"/>
  <c r="H108" i="10"/>
  <c r="I108" i="10" s="1"/>
  <c r="H133" i="10"/>
  <c r="I133" i="10" s="1"/>
  <c r="H271" i="10"/>
  <c r="I1230" i="10"/>
  <c r="H1229" i="10"/>
  <c r="I854" i="10"/>
  <c r="I958" i="10"/>
  <c r="H957" i="10"/>
  <c r="I957" i="10" s="1"/>
  <c r="H1302" i="10"/>
  <c r="I1302" i="10" s="1"/>
  <c r="I1270" i="10"/>
  <c r="H1269" i="10"/>
  <c r="I1269" i="10" s="1"/>
  <c r="I1120" i="10"/>
  <c r="H1119" i="10"/>
  <c r="I520" i="10"/>
  <c r="H519" i="10"/>
  <c r="I926" i="10"/>
  <c r="H925" i="10"/>
  <c r="I1412" i="10"/>
  <c r="H1411" i="10"/>
  <c r="I1247" i="10"/>
  <c r="H1246" i="10"/>
  <c r="I1246" i="10" s="1"/>
  <c r="I525" i="10"/>
  <c r="H524" i="10"/>
  <c r="I524" i="10" s="1"/>
  <c r="I973" i="10"/>
  <c r="H972" i="10"/>
  <c r="I350" i="10"/>
  <c r="H349" i="10"/>
  <c r="I1090" i="10"/>
  <c r="H1089" i="10"/>
  <c r="I1279" i="10"/>
  <c r="H1278" i="10"/>
  <c r="I1353" i="10"/>
  <c r="I752" i="12"/>
  <c r="K753" i="12"/>
  <c r="H454" i="10"/>
  <c r="I470" i="10"/>
  <c r="H130" i="10"/>
  <c r="I806" i="10"/>
  <c r="I400" i="10"/>
  <c r="I696" i="10"/>
  <c r="I268" i="12"/>
  <c r="K269" i="12"/>
  <c r="I284" i="12"/>
  <c r="K285" i="12"/>
  <c r="J31" i="12"/>
  <c r="H11" i="12"/>
  <c r="H40" i="10"/>
  <c r="I40" i="10" s="1"/>
  <c r="H34" i="10"/>
  <c r="I34" i="10" s="1"/>
  <c r="H29" i="10"/>
  <c r="H25" i="10"/>
  <c r="I25" i="10" s="1"/>
  <c r="H18" i="10"/>
  <c r="I18" i="10" s="1"/>
  <c r="K268" i="12" l="1"/>
  <c r="I254" i="12"/>
  <c r="H902" i="10"/>
  <c r="I902" i="10" s="1"/>
  <c r="I258" i="10"/>
  <c r="H257" i="10"/>
  <c r="H665" i="10"/>
  <c r="I665" i="10" s="1"/>
  <c r="H1133" i="10"/>
  <c r="I1133" i="10" s="1"/>
  <c r="H1418" i="10"/>
  <c r="I1418" i="10" s="1"/>
  <c r="I29" i="10"/>
  <c r="H28" i="10"/>
  <c r="H305" i="10"/>
  <c r="I305" i="10" s="1"/>
  <c r="H338" i="10"/>
  <c r="H332" i="10" s="1"/>
  <c r="I511" i="10"/>
  <c r="H124" i="10"/>
  <c r="I124" i="10" s="1"/>
  <c r="H129" i="10"/>
  <c r="I129" i="10" s="1"/>
  <c r="I475" i="10"/>
  <c r="H230" i="10"/>
  <c r="H159" i="10"/>
  <c r="H158" i="10" s="1"/>
  <c r="H168" i="10"/>
  <c r="H163" i="10" s="1"/>
  <c r="I163" i="10" s="1"/>
  <c r="I1428" i="10"/>
  <c r="K752" i="12"/>
  <c r="I721" i="12"/>
  <c r="H830" i="10"/>
  <c r="I830" i="10" s="1"/>
  <c r="I130" i="10"/>
  <c r="I207" i="10"/>
  <c r="H1451" i="10"/>
  <c r="I1451" i="10" s="1"/>
  <c r="I197" i="10"/>
  <c r="H78" i="10"/>
  <c r="H77" i="10" s="1"/>
  <c r="H274" i="10"/>
  <c r="I274" i="10" s="1"/>
  <c r="I290" i="10"/>
  <c r="H289" i="10"/>
  <c r="H288" i="10" s="1"/>
  <c r="I1427" i="10"/>
  <c r="H85" i="10"/>
  <c r="H84" i="10" s="1"/>
  <c r="I84" i="10" s="1"/>
  <c r="I914" i="10"/>
  <c r="H913" i="10"/>
  <c r="I913" i="10" s="1"/>
  <c r="I890" i="10"/>
  <c r="H889" i="10"/>
  <c r="I660" i="10"/>
  <c r="H659" i="10"/>
  <c r="I843" i="10"/>
  <c r="H842" i="10"/>
  <c r="I842" i="10" s="1"/>
  <c r="I500" i="10"/>
  <c r="H499" i="10"/>
  <c r="I499" i="10" s="1"/>
  <c r="I944" i="10"/>
  <c r="H943" i="10"/>
  <c r="I943" i="10" s="1"/>
  <c r="H1379" i="10"/>
  <c r="I1380" i="10"/>
  <c r="I1278" i="10"/>
  <c r="H1277" i="10"/>
  <c r="I349" i="10"/>
  <c r="H348" i="10"/>
  <c r="I972" i="10"/>
  <c r="H971" i="10"/>
  <c r="I1411" i="10"/>
  <c r="H1410" i="10"/>
  <c r="H1409" i="10" s="1"/>
  <c r="I519" i="10"/>
  <c r="H518" i="10"/>
  <c r="I950" i="10"/>
  <c r="H949" i="10"/>
  <c r="I534" i="10"/>
  <c r="H533" i="10"/>
  <c r="I533" i="10" s="1"/>
  <c r="I362" i="10"/>
  <c r="H361" i="10"/>
  <c r="I937" i="10"/>
  <c r="H936" i="10"/>
  <c r="I1289" i="10"/>
  <c r="H1288" i="10"/>
  <c r="I1066" i="10"/>
  <c r="H1065" i="10"/>
  <c r="I221" i="10"/>
  <c r="I217" i="10"/>
  <c r="I121" i="10"/>
  <c r="H120" i="10"/>
  <c r="I120" i="10" s="1"/>
  <c r="I63" i="10"/>
  <c r="H62" i="10"/>
  <c r="I592" i="10"/>
  <c r="H591" i="10"/>
  <c r="I591" i="10" s="1"/>
  <c r="I763" i="10"/>
  <c r="H762" i="10"/>
  <c r="I627" i="10"/>
  <c r="H626" i="10"/>
  <c r="I626" i="10" s="1"/>
  <c r="H33" i="10"/>
  <c r="I33" i="10" s="1"/>
  <c r="I853" i="10"/>
  <c r="H852" i="10"/>
  <c r="I271" i="10"/>
  <c r="H270" i="10"/>
  <c r="I270" i="10" s="1"/>
  <c r="I184" i="10"/>
  <c r="I55" i="10"/>
  <c r="H54" i="10"/>
  <c r="I1028" i="10"/>
  <c r="H1027" i="10"/>
  <c r="I1027" i="10" s="1"/>
  <c r="I837" i="10"/>
  <c r="H836" i="10"/>
  <c r="I836" i="10" s="1"/>
  <c r="I984" i="10"/>
  <c r="H983" i="10"/>
  <c r="I301" i="10"/>
  <c r="H300" i="10"/>
  <c r="I175" i="10"/>
  <c r="H104" i="10"/>
  <c r="I47" i="10"/>
  <c r="H46" i="10"/>
  <c r="H1301" i="10"/>
  <c r="I1347" i="10"/>
  <c r="I1089" i="10"/>
  <c r="H1088" i="10"/>
  <c r="H1087" i="10" s="1"/>
  <c r="I925" i="10"/>
  <c r="H924" i="10"/>
  <c r="I1119" i="10"/>
  <c r="H1118" i="10"/>
  <c r="I883" i="10"/>
  <c r="H882" i="10"/>
  <c r="I1073" i="10"/>
  <c r="H1072" i="10"/>
  <c r="I1072" i="10" s="1"/>
  <c r="I1003" i="10"/>
  <c r="H1002" i="10"/>
  <c r="I863" i="10"/>
  <c r="H862" i="10"/>
  <c r="I862" i="10" s="1"/>
  <c r="I1365" i="10"/>
  <c r="H1364" i="10"/>
  <c r="I231" i="10"/>
  <c r="I1185" i="10"/>
  <c r="H1184" i="10"/>
  <c r="I1184" i="10" s="1"/>
  <c r="I1253" i="10"/>
  <c r="H1252" i="10"/>
  <c r="I1252" i="10" s="1"/>
  <c r="I100" i="10"/>
  <c r="H99" i="10"/>
  <c r="I99" i="10" s="1"/>
  <c r="I897" i="10"/>
  <c r="H896" i="10"/>
  <c r="H722" i="12"/>
  <c r="J745" i="12"/>
  <c r="I1389" i="10"/>
  <c r="H1388" i="10"/>
  <c r="H39" i="10"/>
  <c r="H24" i="10"/>
  <c r="I1229" i="10"/>
  <c r="H1228" i="10"/>
  <c r="H1141" i="10"/>
  <c r="I1142" i="10"/>
  <c r="I1474" i="10"/>
  <c r="H1473" i="10"/>
  <c r="I1473" i="10" s="1"/>
  <c r="I1018" i="10"/>
  <c r="I1011" i="10"/>
  <c r="I226" i="10"/>
  <c r="H225" i="10"/>
  <c r="H224" i="10" s="1"/>
  <c r="I224" i="10" s="1"/>
  <c r="I1159" i="10"/>
  <c r="I1158" i="10"/>
  <c r="H453" i="10"/>
  <c r="I454" i="10"/>
  <c r="I805" i="10"/>
  <c r="H804" i="10"/>
  <c r="H796" i="10" s="1"/>
  <c r="I371" i="10"/>
  <c r="H370" i="10"/>
  <c r="K284" i="12"/>
  <c r="I247" i="10"/>
  <c r="H246" i="10"/>
  <c r="J11" i="12"/>
  <c r="H17" i="10"/>
  <c r="I927" i="15"/>
  <c r="F927" i="15"/>
  <c r="Q1070" i="13"/>
  <c r="Q1069" i="13"/>
  <c r="Q1055" i="13"/>
  <c r="Q823" i="13"/>
  <c r="Q819" i="13"/>
  <c r="Q818" i="13"/>
  <c r="Q799" i="13"/>
  <c r="Q762" i="13"/>
  <c r="Q758" i="13"/>
  <c r="Q338" i="13"/>
  <c r="Q214" i="13"/>
  <c r="Q148" i="13"/>
  <c r="Q78" i="13"/>
  <c r="Q70" i="13"/>
  <c r="Q54" i="13"/>
  <c r="K823" i="13"/>
  <c r="K819" i="13"/>
  <c r="K817" i="13"/>
  <c r="K762" i="13"/>
  <c r="K759" i="13"/>
  <c r="K758" i="13"/>
  <c r="K464" i="13"/>
  <c r="K214" i="13"/>
  <c r="K62" i="13"/>
  <c r="K1032" i="13"/>
  <c r="K1030" i="13"/>
  <c r="K1071" i="13"/>
  <c r="K1076" i="13"/>
  <c r="K1082" i="13"/>
  <c r="L1208" i="13"/>
  <c r="P1208" i="13" s="1"/>
  <c r="F1208" i="13"/>
  <c r="J1208" i="13" s="1"/>
  <c r="K967" i="12"/>
  <c r="K964" i="12"/>
  <c r="K962" i="12"/>
  <c r="K952" i="12"/>
  <c r="K944" i="12"/>
  <c r="K898" i="12"/>
  <c r="K897" i="12"/>
  <c r="K385" i="12"/>
  <c r="K76" i="12"/>
  <c r="F1362" i="12"/>
  <c r="J1362" i="12" s="1"/>
  <c r="J1341" i="11"/>
  <c r="L1341" i="11" s="1"/>
  <c r="G1341" i="11"/>
  <c r="I1341" i="11" s="1"/>
  <c r="I1338" i="11"/>
  <c r="I965" i="11"/>
  <c r="H304" i="10" l="1"/>
  <c r="I304" i="10" s="1"/>
  <c r="H1417" i="10"/>
  <c r="I1417" i="10" s="1"/>
  <c r="I659" i="10"/>
  <c r="H599" i="10"/>
  <c r="I599" i="10" s="1"/>
  <c r="I338" i="10"/>
  <c r="I159" i="10"/>
  <c r="I168" i="10"/>
  <c r="I762" i="10"/>
  <c r="H761" i="10"/>
  <c r="I761" i="10" s="1"/>
  <c r="H474" i="10"/>
  <c r="I474" i="10" s="1"/>
  <c r="I257" i="10"/>
  <c r="H256" i="10"/>
  <c r="K721" i="12"/>
  <c r="I655" i="12"/>
  <c r="K463" i="13"/>
  <c r="I289" i="10"/>
  <c r="I216" i="10"/>
  <c r="H517" i="10"/>
  <c r="I517" i="10" s="1"/>
  <c r="Q147" i="13"/>
  <c r="Q761" i="13"/>
  <c r="I78" i="10"/>
  <c r="H119" i="10"/>
  <c r="I119" i="10" s="1"/>
  <c r="I85" i="10"/>
  <c r="Q146" i="13"/>
  <c r="G1208" i="13"/>
  <c r="K1208" i="13" s="1"/>
  <c r="K1029" i="13"/>
  <c r="Q69" i="13"/>
  <c r="Q1053" i="13"/>
  <c r="I889" i="10"/>
  <c r="H888" i="10"/>
  <c r="I888" i="10" s="1"/>
  <c r="I1379" i="10"/>
  <c r="H1378" i="10"/>
  <c r="I1378" i="10" s="1"/>
  <c r="I225" i="10"/>
  <c r="H1157" i="10"/>
  <c r="I1157" i="10" s="1"/>
  <c r="I1228" i="10"/>
  <c r="I24" i="10"/>
  <c r="H23" i="10"/>
  <c r="I23" i="10" s="1"/>
  <c r="I332" i="10"/>
  <c r="H331" i="10"/>
  <c r="I331" i="10" s="1"/>
  <c r="I1301" i="10"/>
  <c r="H1300" i="10"/>
  <c r="I1300" i="10" s="1"/>
  <c r="I174" i="10"/>
  <c r="H173" i="10"/>
  <c r="I983" i="10"/>
  <c r="H982" i="10"/>
  <c r="I982" i="10" s="1"/>
  <c r="H829" i="10"/>
  <c r="I62" i="10"/>
  <c r="H61" i="10"/>
  <c r="I1288" i="10"/>
  <c r="H1287" i="10"/>
  <c r="H1286" i="10" s="1"/>
  <c r="I936" i="10"/>
  <c r="H935" i="10"/>
  <c r="I77" i="10"/>
  <c r="H76" i="10"/>
  <c r="I1410" i="10"/>
  <c r="I348" i="10"/>
  <c r="H347" i="10"/>
  <c r="H1132" i="10"/>
  <c r="I1132" i="10" s="1"/>
  <c r="I1141" i="10"/>
  <c r="I28" i="10"/>
  <c r="H27" i="10"/>
  <c r="I288" i="10"/>
  <c r="H287" i="10"/>
  <c r="I1364" i="10"/>
  <c r="H1363" i="10"/>
  <c r="I924" i="10"/>
  <c r="H912" i="10"/>
  <c r="I1088" i="10"/>
  <c r="I46" i="10"/>
  <c r="H45" i="10"/>
  <c r="I558" i="10"/>
  <c r="H557" i="10"/>
  <c r="I557" i="10" s="1"/>
  <c r="H1426" i="10"/>
  <c r="I1426" i="10" s="1"/>
  <c r="I54" i="10"/>
  <c r="H53" i="10"/>
  <c r="F913" i="14"/>
  <c r="E890" i="14"/>
  <c r="H128" i="10"/>
  <c r="I128" i="10" s="1"/>
  <c r="I158" i="10"/>
  <c r="H157" i="10"/>
  <c r="I39" i="10"/>
  <c r="H38" i="10"/>
  <c r="J722" i="12"/>
  <c r="H721" i="12"/>
  <c r="H655" i="12" s="1"/>
  <c r="I300" i="10"/>
  <c r="H299" i="10"/>
  <c r="I1065" i="10"/>
  <c r="H1064" i="10"/>
  <c r="I1064" i="10" s="1"/>
  <c r="I361" i="10"/>
  <c r="H360" i="10"/>
  <c r="I949" i="10"/>
  <c r="H942" i="10"/>
  <c r="I942" i="10" s="1"/>
  <c r="I518" i="10"/>
  <c r="I971" i="10"/>
  <c r="H970" i="10"/>
  <c r="I970" i="10" s="1"/>
  <c r="I1277" i="10"/>
  <c r="H1276" i="10"/>
  <c r="I1276" i="10" s="1"/>
  <c r="I1388" i="10"/>
  <c r="H1387" i="10"/>
  <c r="I1387" i="10" s="1"/>
  <c r="I896" i="10"/>
  <c r="H895" i="10"/>
  <c r="I895" i="10" s="1"/>
  <c r="I230" i="10"/>
  <c r="H229" i="10"/>
  <c r="I229" i="10" s="1"/>
  <c r="I1002" i="10"/>
  <c r="H1001" i="10"/>
  <c r="I882" i="10"/>
  <c r="H881" i="10"/>
  <c r="I881" i="10" s="1"/>
  <c r="I1118" i="10"/>
  <c r="H1117" i="10"/>
  <c r="H103" i="10"/>
  <c r="I103" i="10" s="1"/>
  <c r="I104" i="10"/>
  <c r="I852" i="10"/>
  <c r="H851" i="10"/>
  <c r="I851" i="10" s="1"/>
  <c r="F980" i="15"/>
  <c r="I980" i="15"/>
  <c r="K1068" i="13"/>
  <c r="K1069" i="13"/>
  <c r="K1055" i="13"/>
  <c r="K1031" i="13"/>
  <c r="K55" i="13"/>
  <c r="K56" i="13"/>
  <c r="K69" i="13"/>
  <c r="K70" i="13"/>
  <c r="K148" i="13"/>
  <c r="K338" i="13"/>
  <c r="K803" i="13"/>
  <c r="Q53" i="13"/>
  <c r="Q63" i="13"/>
  <c r="Q64" i="13"/>
  <c r="Q77" i="13"/>
  <c r="Q760" i="13"/>
  <c r="Q803" i="13"/>
  <c r="Q1052" i="13"/>
  <c r="Q1082" i="13"/>
  <c r="K1070" i="13"/>
  <c r="K61" i="13"/>
  <c r="K71" i="13"/>
  <c r="K72" i="13"/>
  <c r="K213" i="13"/>
  <c r="K461" i="13"/>
  <c r="K462" i="13"/>
  <c r="K760" i="13"/>
  <c r="K761" i="13"/>
  <c r="K807" i="13"/>
  <c r="K822" i="13"/>
  <c r="Q461" i="13"/>
  <c r="Q462" i="13"/>
  <c r="Q807" i="13"/>
  <c r="Q822" i="13"/>
  <c r="K1075" i="13"/>
  <c r="K45" i="13"/>
  <c r="K77" i="13"/>
  <c r="K78" i="13"/>
  <c r="Q55" i="13"/>
  <c r="Q56" i="13"/>
  <c r="Q79" i="13"/>
  <c r="Q80" i="13"/>
  <c r="Q463" i="13"/>
  <c r="Q464" i="13"/>
  <c r="Q797" i="13"/>
  <c r="Q798" i="13"/>
  <c r="Q817" i="13"/>
  <c r="Q1029" i="13"/>
  <c r="Q1030" i="13"/>
  <c r="M1208" i="13"/>
  <c r="Q1208" i="13" s="1"/>
  <c r="Q1071" i="13"/>
  <c r="K1052" i="13"/>
  <c r="K53" i="13"/>
  <c r="K54" i="13"/>
  <c r="K63" i="13"/>
  <c r="K64" i="13"/>
  <c r="K79" i="13"/>
  <c r="K80" i="13"/>
  <c r="K799" i="13"/>
  <c r="K818" i="13"/>
  <c r="Q45" i="13"/>
  <c r="Q61" i="13"/>
  <c r="Q62" i="13"/>
  <c r="Q72" i="13"/>
  <c r="Q213" i="13"/>
  <c r="Q337" i="13"/>
  <c r="Q759" i="13"/>
  <c r="Q1031" i="13"/>
  <c r="Q1032" i="13"/>
  <c r="Q1068" i="13"/>
  <c r="Q1076" i="13"/>
  <c r="H452" i="10"/>
  <c r="I452" i="10" s="1"/>
  <c r="I453" i="10"/>
  <c r="I804" i="10"/>
  <c r="I796" i="10"/>
  <c r="I370" i="10"/>
  <c r="H369" i="10"/>
  <c r="I246" i="10"/>
  <c r="H245" i="10"/>
  <c r="I253" i="12"/>
  <c r="K253" i="12" s="1"/>
  <c r="K254" i="12"/>
  <c r="K75" i="12"/>
  <c r="K943" i="12"/>
  <c r="K52" i="12"/>
  <c r="K69" i="12"/>
  <c r="K70" i="12"/>
  <c r="K77" i="12"/>
  <c r="K78" i="12"/>
  <c r="K537" i="12"/>
  <c r="K538" i="12"/>
  <c r="K1204" i="12"/>
  <c r="K1205" i="12"/>
  <c r="K92" i="12"/>
  <c r="K535" i="12"/>
  <c r="K536" i="12"/>
  <c r="K1216" i="12"/>
  <c r="K59" i="12"/>
  <c r="K60" i="12"/>
  <c r="K61" i="12"/>
  <c r="K62" i="12"/>
  <c r="K153" i="12"/>
  <c r="K948" i="12"/>
  <c r="K968" i="12"/>
  <c r="K1180" i="12"/>
  <c r="K1181" i="12"/>
  <c r="K41" i="12"/>
  <c r="K53" i="12"/>
  <c r="K54" i="12"/>
  <c r="K68" i="12"/>
  <c r="K207" i="12"/>
  <c r="K901" i="12"/>
  <c r="K961" i="12"/>
  <c r="K963" i="12"/>
  <c r="K1202" i="12"/>
  <c r="K1203" i="12"/>
  <c r="K1182" i="12"/>
  <c r="K1183" i="12"/>
  <c r="I17" i="10"/>
  <c r="H16" i="10"/>
  <c r="G1362" i="12"/>
  <c r="K1362" i="12" s="1"/>
  <c r="H215" i="10" l="1"/>
  <c r="I360" i="10"/>
  <c r="H359" i="10"/>
  <c r="K655" i="12"/>
  <c r="I572" i="12"/>
  <c r="I76" i="10"/>
  <c r="I157" i="10"/>
  <c r="K1067" i="13"/>
  <c r="Q1054" i="13"/>
  <c r="H516" i="10"/>
  <c r="I516" i="10" s="1"/>
  <c r="H118" i="10"/>
  <c r="I299" i="10"/>
  <c r="H298" i="10"/>
  <c r="I298" i="10" s="1"/>
  <c r="I912" i="10"/>
  <c r="H911" i="10"/>
  <c r="I911" i="10" s="1"/>
  <c r="I1409" i="10"/>
  <c r="H1408" i="10"/>
  <c r="I1408" i="10" s="1"/>
  <c r="I1117" i="10"/>
  <c r="H1116" i="10"/>
  <c r="I1116" i="10" s="1"/>
  <c r="I1001" i="10"/>
  <c r="H1000" i="10"/>
  <c r="I1000" i="10" s="1"/>
  <c r="E889" i="14"/>
  <c r="E1039" i="14" s="1"/>
  <c r="F890" i="14"/>
  <c r="H172" i="10"/>
  <c r="I172" i="10" s="1"/>
  <c r="I173" i="10"/>
  <c r="I45" i="10"/>
  <c r="H44" i="10"/>
  <c r="I44" i="10" s="1"/>
  <c r="I61" i="10"/>
  <c r="H60" i="10"/>
  <c r="I60" i="10" s="1"/>
  <c r="J721" i="12"/>
  <c r="I1087" i="10"/>
  <c r="H1086" i="10"/>
  <c r="I1086" i="10" s="1"/>
  <c r="I1363" i="10"/>
  <c r="H1362" i="10"/>
  <c r="I1362" i="10" s="1"/>
  <c r="H22" i="10"/>
  <c r="I27" i="10"/>
  <c r="I347" i="10"/>
  <c r="H346" i="10"/>
  <c r="I346" i="10" s="1"/>
  <c r="I1287" i="10"/>
  <c r="I1286" i="10"/>
  <c r="I829" i="10"/>
  <c r="H828" i="10"/>
  <c r="I38" i="10"/>
  <c r="H37" i="10"/>
  <c r="I287" i="10"/>
  <c r="I935" i="10"/>
  <c r="H934" i="10"/>
  <c r="I934" i="10" s="1"/>
  <c r="I256" i="10"/>
  <c r="H255" i="10"/>
  <c r="I53" i="10"/>
  <c r="H52" i="10"/>
  <c r="I52" i="10" s="1"/>
  <c r="K76" i="13"/>
  <c r="K68" i="13"/>
  <c r="Q76" i="13"/>
  <c r="Q1075" i="13"/>
  <c r="Q757" i="13"/>
  <c r="Q336" i="13"/>
  <c r="Q71" i="13"/>
  <c r="Q44" i="13"/>
  <c r="K1081" i="13"/>
  <c r="K836" i="13"/>
  <c r="K820" i="13"/>
  <c r="K821" i="13"/>
  <c r="K337" i="13"/>
  <c r="K798" i="13"/>
  <c r="K757" i="13"/>
  <c r="K44" i="13"/>
  <c r="Q820" i="13"/>
  <c r="Q821" i="13"/>
  <c r="Q1051" i="13"/>
  <c r="Q802" i="13"/>
  <c r="K1053" i="13"/>
  <c r="K1054" i="13"/>
  <c r="Q60" i="13"/>
  <c r="Q52" i="13"/>
  <c r="Q1028" i="13"/>
  <c r="Q1067" i="13"/>
  <c r="Q145" i="13"/>
  <c r="Q816" i="13"/>
  <c r="K806" i="13"/>
  <c r="K147" i="13"/>
  <c r="K1028" i="13"/>
  <c r="Q460" i="13"/>
  <c r="K52" i="13"/>
  <c r="K460" i="13"/>
  <c r="K60" i="13"/>
  <c r="K816" i="13"/>
  <c r="K1051" i="13"/>
  <c r="K1073" i="13"/>
  <c r="K1074" i="13"/>
  <c r="Q836" i="13"/>
  <c r="Q806" i="13"/>
  <c r="Q1081" i="13"/>
  <c r="K801" i="13"/>
  <c r="K802" i="13"/>
  <c r="I369" i="10"/>
  <c r="I245" i="10"/>
  <c r="K384" i="12"/>
  <c r="K951" i="12"/>
  <c r="K74" i="12"/>
  <c r="K534" i="12"/>
  <c r="K1201" i="12"/>
  <c r="K40" i="12"/>
  <c r="K152" i="12"/>
  <c r="K51" i="12"/>
  <c r="K942" i="12"/>
  <c r="K67" i="12"/>
  <c r="K899" i="12"/>
  <c r="K900" i="12"/>
  <c r="K206" i="12"/>
  <c r="K946" i="12"/>
  <c r="K947" i="12"/>
  <c r="K383" i="12"/>
  <c r="K73" i="12"/>
  <c r="K965" i="12"/>
  <c r="K966" i="12"/>
  <c r="K896" i="12"/>
  <c r="K1215" i="12"/>
  <c r="K91" i="12"/>
  <c r="K949" i="12"/>
  <c r="K950" i="12"/>
  <c r="I16" i="10"/>
  <c r="H15" i="10"/>
  <c r="I118" i="10" l="1"/>
  <c r="H111" i="10"/>
  <c r="I111" i="10" s="1"/>
  <c r="K533" i="12"/>
  <c r="H286" i="10"/>
  <c r="I286" i="10" s="1"/>
  <c r="I828" i="10"/>
  <c r="K1179" i="12"/>
  <c r="I255" i="10"/>
  <c r="H254" i="10"/>
  <c r="I254" i="10" s="1"/>
  <c r="J655" i="12"/>
  <c r="H572" i="12"/>
  <c r="H1359" i="12" s="1"/>
  <c r="F889" i="14"/>
  <c r="I37" i="10"/>
  <c r="H36" i="10"/>
  <c r="I36" i="10" s="1"/>
  <c r="I22" i="10"/>
  <c r="H21" i="10"/>
  <c r="Q1080" i="13"/>
  <c r="K1050" i="13"/>
  <c r="K459" i="13"/>
  <c r="Q459" i="13"/>
  <c r="K146" i="13"/>
  <c r="K804" i="13"/>
  <c r="K805" i="13"/>
  <c r="Q815" i="13"/>
  <c r="Q808" i="13"/>
  <c r="Q1066" i="13"/>
  <c r="Q51" i="13"/>
  <c r="Q1050" i="13"/>
  <c r="K43" i="13"/>
  <c r="K788" i="13"/>
  <c r="K797" i="13"/>
  <c r="K336" i="13"/>
  <c r="Q43" i="13"/>
  <c r="Q335" i="13"/>
  <c r="Q1073" i="13"/>
  <c r="Q1074" i="13"/>
  <c r="Q75" i="13"/>
  <c r="K1066" i="13"/>
  <c r="Q804" i="13"/>
  <c r="Q805" i="13"/>
  <c r="K808" i="13"/>
  <c r="K815" i="13"/>
  <c r="K59" i="13"/>
  <c r="K51" i="13"/>
  <c r="K1027" i="13"/>
  <c r="Q144" i="13"/>
  <c r="Q830" i="13"/>
  <c r="Q829" i="13"/>
  <c r="Q1027" i="13"/>
  <c r="Q59" i="13"/>
  <c r="Q801" i="13"/>
  <c r="K756" i="13"/>
  <c r="K830" i="13"/>
  <c r="K829" i="13"/>
  <c r="K1080" i="13"/>
  <c r="Q68" i="13"/>
  <c r="Q756" i="13"/>
  <c r="K67" i="13"/>
  <c r="K75" i="13"/>
  <c r="I359" i="10"/>
  <c r="I215" i="10"/>
  <c r="H214" i="10"/>
  <c r="K71" i="12"/>
  <c r="K1200" i="12"/>
  <c r="K931" i="12"/>
  <c r="K1214" i="12"/>
  <c r="K50" i="12"/>
  <c r="K90" i="12"/>
  <c r="K895" i="12"/>
  <c r="K66" i="12"/>
  <c r="K960" i="12"/>
  <c r="K151" i="12"/>
  <c r="K39" i="12"/>
  <c r="K58" i="12"/>
  <c r="K1178" i="12"/>
  <c r="K382" i="12"/>
  <c r="K205" i="12"/>
  <c r="I15" i="10"/>
  <c r="H14" i="10"/>
  <c r="G1483" i="10"/>
  <c r="I1483" i="10" s="1"/>
  <c r="H20" i="10" l="1"/>
  <c r="I20" i="10" s="1"/>
  <c r="H285" i="10"/>
  <c r="I285" i="10" s="1"/>
  <c r="J572" i="12"/>
  <c r="J1359" i="12"/>
  <c r="I21" i="10"/>
  <c r="E1101" i="14"/>
  <c r="F1101" i="14" s="1"/>
  <c r="F1039" i="14"/>
  <c r="Q751" i="13"/>
  <c r="K1048" i="13"/>
  <c r="K1049" i="13"/>
  <c r="K751" i="13"/>
  <c r="Q57" i="13"/>
  <c r="Q58" i="13"/>
  <c r="K49" i="13"/>
  <c r="K50" i="13"/>
  <c r="K1065" i="13"/>
  <c r="Q42" i="13"/>
  <c r="K787" i="13"/>
  <c r="Q1049" i="13"/>
  <c r="Q1065" i="13"/>
  <c r="K145" i="13"/>
  <c r="K458" i="13"/>
  <c r="K65" i="13"/>
  <c r="K66" i="13"/>
  <c r="Q788" i="13"/>
  <c r="K1079" i="13"/>
  <c r="K73" i="13"/>
  <c r="K74" i="13"/>
  <c r="Q67" i="13"/>
  <c r="Q1026" i="13"/>
  <c r="Q142" i="13"/>
  <c r="Q143" i="13"/>
  <c r="K1026" i="13"/>
  <c r="K58" i="13"/>
  <c r="Q73" i="13"/>
  <c r="Q74" i="13"/>
  <c r="Q334" i="13"/>
  <c r="K335" i="13"/>
  <c r="K42" i="13"/>
  <c r="Q50" i="13"/>
  <c r="Q458" i="13"/>
  <c r="Q1079" i="13"/>
  <c r="I214" i="10"/>
  <c r="H213" i="10"/>
  <c r="I213" i="10" s="1"/>
  <c r="K72" i="12"/>
  <c r="K65" i="12"/>
  <c r="K49" i="12"/>
  <c r="K204" i="12"/>
  <c r="K150" i="12"/>
  <c r="K888" i="12"/>
  <c r="K1177" i="12"/>
  <c r="K381" i="12"/>
  <c r="K57" i="12"/>
  <c r="K38" i="12"/>
  <c r="K953" i="12"/>
  <c r="K89" i="12"/>
  <c r="K1213" i="12"/>
  <c r="I14" i="10"/>
  <c r="H13" i="10"/>
  <c r="K24" i="9"/>
  <c r="L24" i="9" s="1"/>
  <c r="N23" i="9"/>
  <c r="K20" i="9"/>
  <c r="L20" i="9" s="1"/>
  <c r="K19" i="9"/>
  <c r="K18" i="9" s="1"/>
  <c r="K15" i="9"/>
  <c r="K14" i="9" s="1"/>
  <c r="L14" i="9" s="1"/>
  <c r="K13" i="9"/>
  <c r="K12" i="9" s="1"/>
  <c r="K24" i="8"/>
  <c r="K23" i="8" s="1"/>
  <c r="K20" i="8"/>
  <c r="K19" i="8" s="1"/>
  <c r="K15" i="8"/>
  <c r="L15" i="8" s="1"/>
  <c r="K14" i="8"/>
  <c r="K13" i="8"/>
  <c r="K12" i="8" s="1"/>
  <c r="K8" i="8"/>
  <c r="K9" i="8" s="1"/>
  <c r="L9" i="8" s="1"/>
  <c r="Q23" i="9" l="1"/>
  <c r="Q19" i="9"/>
  <c r="N19" i="9"/>
  <c r="N23" i="8"/>
  <c r="N19" i="8"/>
  <c r="K532" i="12"/>
  <c r="Q1072" i="13"/>
  <c r="Q1078" i="13"/>
  <c r="Q457" i="13"/>
  <c r="Q49" i="13"/>
  <c r="K334" i="13"/>
  <c r="K1025" i="13"/>
  <c r="Q1025" i="13"/>
  <c r="K1078" i="13"/>
  <c r="K1072" i="13"/>
  <c r="K144" i="13"/>
  <c r="Q1037" i="13"/>
  <c r="Q1048" i="13"/>
  <c r="Q36" i="13"/>
  <c r="Q37" i="13"/>
  <c r="Q787" i="13"/>
  <c r="K36" i="13"/>
  <c r="K37" i="13"/>
  <c r="Q319" i="13"/>
  <c r="K57" i="13"/>
  <c r="Q65" i="13"/>
  <c r="Q66" i="13"/>
  <c r="K457" i="13"/>
  <c r="Q1064" i="13"/>
  <c r="Q1063" i="13"/>
  <c r="K786" i="13"/>
  <c r="K1063" i="13"/>
  <c r="K1064" i="13"/>
  <c r="K750" i="13"/>
  <c r="Q750" i="13"/>
  <c r="K1199" i="12"/>
  <c r="K47" i="12"/>
  <c r="K48" i="12"/>
  <c r="K1206" i="12"/>
  <c r="K1212" i="12"/>
  <c r="K87" i="12"/>
  <c r="K88" i="12"/>
  <c r="K930" i="12"/>
  <c r="K55" i="12"/>
  <c r="K56" i="12"/>
  <c r="K1176" i="12"/>
  <c r="K887" i="12"/>
  <c r="K1197" i="12"/>
  <c r="K1198" i="12"/>
  <c r="K375" i="12"/>
  <c r="K531" i="12"/>
  <c r="K33" i="12"/>
  <c r="K149" i="12"/>
  <c r="K193" i="12"/>
  <c r="K199" i="12"/>
  <c r="K63" i="12"/>
  <c r="K64" i="12"/>
  <c r="I13" i="10"/>
  <c r="H12" i="10"/>
  <c r="L24" i="8"/>
  <c r="K9" i="9"/>
  <c r="L9" i="9" s="1"/>
  <c r="L23" i="8"/>
  <c r="L14" i="8"/>
  <c r="K17" i="9"/>
  <c r="L18" i="9"/>
  <c r="K11" i="9"/>
  <c r="L12" i="9"/>
  <c r="L19" i="9"/>
  <c r="L13" i="9"/>
  <c r="L15" i="9"/>
  <c r="K23" i="9"/>
  <c r="L12" i="8"/>
  <c r="K11" i="8"/>
  <c r="L19" i="8"/>
  <c r="K18" i="8"/>
  <c r="L8" i="8"/>
  <c r="L20" i="8"/>
  <c r="L13" i="8"/>
  <c r="K22" i="8"/>
  <c r="M20" i="4"/>
  <c r="K20" i="4"/>
  <c r="M14" i="4"/>
  <c r="K14" i="4"/>
  <c r="K14" i="3"/>
  <c r="K21" i="3"/>
  <c r="H11" i="10" l="1"/>
  <c r="H1480" i="10" s="1"/>
  <c r="Q21" i="9"/>
  <c r="Q22" i="9"/>
  <c r="Q18" i="9"/>
  <c r="N21" i="9"/>
  <c r="N22" i="9"/>
  <c r="N18" i="9"/>
  <c r="N21" i="8"/>
  <c r="N22" i="8"/>
  <c r="N18" i="8"/>
  <c r="Q748" i="13"/>
  <c r="Q749" i="13"/>
  <c r="K785" i="13"/>
  <c r="K748" i="13"/>
  <c r="K749" i="13"/>
  <c r="K456" i="13"/>
  <c r="K35" i="13"/>
  <c r="K498" i="13"/>
  <c r="K685" i="13"/>
  <c r="Q786" i="13"/>
  <c r="K318" i="13"/>
  <c r="K319" i="13"/>
  <c r="Q456" i="13"/>
  <c r="Q318" i="13"/>
  <c r="K142" i="13"/>
  <c r="K143" i="13"/>
  <c r="Q498" i="13"/>
  <c r="Q685" i="13"/>
  <c r="K1018" i="13"/>
  <c r="K1010" i="13"/>
  <c r="K147" i="12"/>
  <c r="K148" i="12"/>
  <c r="K32" i="12"/>
  <c r="K572" i="12"/>
  <c r="K817" i="12"/>
  <c r="K1169" i="12"/>
  <c r="K1161" i="12"/>
  <c r="K928" i="12"/>
  <c r="K929" i="12"/>
  <c r="K374" i="12"/>
  <c r="K530" i="12"/>
  <c r="K886" i="12"/>
  <c r="I12" i="10"/>
  <c r="L11" i="9"/>
  <c r="L17" i="9"/>
  <c r="L23" i="9"/>
  <c r="K22" i="9"/>
  <c r="L11" i="8"/>
  <c r="L22" i="8"/>
  <c r="K21" i="8"/>
  <c r="L21" i="8" s="1"/>
  <c r="L18" i="8"/>
  <c r="K17" i="8"/>
  <c r="Q17" i="9" l="1"/>
  <c r="N17" i="9"/>
  <c r="N17" i="8"/>
  <c r="K287" i="13"/>
  <c r="Q287" i="13"/>
  <c r="Q1010" i="13"/>
  <c r="Q1018" i="13"/>
  <c r="K747" i="13"/>
  <c r="Q12" i="13"/>
  <c r="Q35" i="13"/>
  <c r="Q747" i="13"/>
  <c r="Q785" i="13"/>
  <c r="K12" i="13"/>
  <c r="K324" i="12"/>
  <c r="K11" i="12"/>
  <c r="K31" i="12"/>
  <c r="K884" i="12"/>
  <c r="K885" i="12"/>
  <c r="I1480" i="10"/>
  <c r="I11" i="10"/>
  <c r="L22" i="9"/>
  <c r="K21" i="9"/>
  <c r="L17" i="8"/>
  <c r="K16" i="8"/>
  <c r="G36" i="2"/>
  <c r="Q10" i="9" l="1"/>
  <c r="Q16" i="9"/>
  <c r="Q25" i="9"/>
  <c r="N25" i="9"/>
  <c r="N16" i="9"/>
  <c r="N10" i="9"/>
  <c r="N25" i="8"/>
  <c r="N16" i="8"/>
  <c r="N10" i="8"/>
  <c r="L21" i="9"/>
  <c r="K16" i="9"/>
  <c r="K25" i="8"/>
  <c r="L25" i="8" s="1"/>
  <c r="L16" i="8"/>
  <c r="K10" i="8"/>
  <c r="L10" i="8" s="1"/>
  <c r="G12" i="2"/>
  <c r="D12" i="2"/>
  <c r="P67" i="1" l="1"/>
  <c r="P11" i="1"/>
  <c r="L16" i="9"/>
  <c r="K25" i="9"/>
  <c r="L25" i="9" s="1"/>
  <c r="K10" i="9"/>
  <c r="L10" i="9" s="1"/>
  <c r="D36" i="2"/>
  <c r="D60" i="2"/>
  <c r="G62" i="2" l="1"/>
  <c r="G60" i="2"/>
  <c r="D62" i="2"/>
  <c r="D25" i="1" l="1"/>
  <c r="D30" i="1"/>
  <c r="C24" i="1"/>
  <c r="D24" i="1" s="1"/>
  <c r="C22" i="1"/>
  <c r="D22" i="1" s="1"/>
  <c r="C21" i="1"/>
  <c r="D21" i="1" s="1"/>
  <c r="C20" i="1"/>
  <c r="D20" i="1" s="1"/>
  <c r="C19" i="1"/>
  <c r="D19" i="1" s="1"/>
  <c r="D18" i="1"/>
  <c r="D17" i="1"/>
  <c r="C16" i="1"/>
  <c r="D16" i="1" s="1"/>
  <c r="D23" i="1"/>
  <c r="D15" i="1"/>
  <c r="D14" i="1"/>
  <c r="C13" i="1"/>
  <c r="D13" i="1" s="1"/>
  <c r="D12" i="1"/>
  <c r="C11" i="1" l="1"/>
  <c r="C67" i="1" l="1"/>
  <c r="D67" i="1" s="1"/>
  <c r="D11" i="1"/>
  <c r="K300" i="12"/>
  <c r="I295" i="12"/>
  <c r="K295" i="12" l="1"/>
  <c r="I294" i="12"/>
  <c r="K294" i="12" s="1"/>
  <c r="K296" i="12"/>
  <c r="I293" i="12" l="1"/>
  <c r="K293" i="12" s="1"/>
  <c r="I252" i="12" l="1"/>
  <c r="K252" i="12" l="1"/>
  <c r="I1359" i="12"/>
  <c r="K1359" i="12" s="1"/>
</calcChain>
</file>

<file path=xl/sharedStrings.xml><?xml version="1.0" encoding="utf-8"?>
<sst xmlns="http://schemas.openxmlformats.org/spreadsheetml/2006/main" count="30005" uniqueCount="1742">
  <si>
    <t>Приложение № 5</t>
  </si>
  <si>
    <t>к Решению Совета депутатов</t>
  </si>
  <si>
    <t>(тыс.руб.)</t>
  </si>
  <si>
    <t>Наименование</t>
  </si>
  <si>
    <t>План</t>
  </si>
  <si>
    <t>Уточненный план</t>
  </si>
  <si>
    <t>Отклонение</t>
  </si>
  <si>
    <t>Субвенции всего, в том числе:</t>
  </si>
  <si>
    <t xml:space="preserve"> -на 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</si>
  <si>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-на реализацию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</t>
  </si>
  <si>
    <t xml:space="preserve"> -на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</si>
  <si>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 xml:space="preserve"> -на 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</si>
  <si>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</si>
  <si>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- на предоставление гражданам субсидий на оплату жилого помещения и коммунальных услуг</t>
  </si>
  <si>
    <t>- на обеспечение предоставления гражданам субсидий на оплату жилого помещения и коммунальных услуг</t>
  </si>
  <si>
    <t xml:space="preserve"> -на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</si>
  <si>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 -на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</si>
  <si>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 -на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</si>
  <si>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-на обеспечение переданных муниципальным районам и городским округам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</si>
  <si>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 -на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</si>
  <si>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-на осуществление государственных полномочий в области земельных отношений</t>
  </si>
  <si>
    <t xml:space="preserve"> -на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</si>
  <si>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Субсидии всего, в том числе:</t>
  </si>
  <si>
    <t xml:space="preserve"> - на мероприятия по организации отдыха детей в каникулярное время</t>
  </si>
  <si>
    <t xml:space="preserve"> - на организацию транспортного обслуживания населения по муниципальным маршрутам регулярных перевозок по регулируемым тарифам </t>
  </si>
  <si>
    <t xml:space="preserve"> - на ремонт подъездов в многоквартирных домах </t>
  </si>
  <si>
    <t>ВСЕГО</t>
  </si>
  <si>
    <t>Приложение № 6</t>
  </si>
  <si>
    <t>2021 год</t>
  </si>
  <si>
    <t>Иные межбюджетные трансферты всего, в том числе:</t>
  </si>
  <si>
    <t xml:space="preserve"> - на создание центров образования цифрового и гуманитарного профилей</t>
  </si>
  <si>
    <t xml:space="preserve"> -на поддержку тврческой деятельности и укрепление материально-технической базы муниципальных театров в населенных пунктах с численностью населения до 300 тыс.человек 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</si>
  <si>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2021 и 2022 годов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</si>
  <si>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</si>
  <si>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 xml:space="preserve"> -  на мероприятия по проведению капитального ремонта в муниципальных общеобразовательных организациях
</t>
  </si>
  <si>
    <t xml:space="preserve"> - на мероприятия по приобретению музыкальных инструментов для муниципальных организаций дополнительного образования сферы культуры </t>
  </si>
  <si>
    <t xml:space="preserve"> -на капитальные вложения в объекты общего образования </t>
  </si>
  <si>
    <t xml:space="preserve"> -на проектирование и строительство дошкольных образовательных организаций</t>
  </si>
  <si>
    <t xml:space="preserve"> -на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</si>
  <si>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-на приобретение коммунальной техники </t>
  </si>
  <si>
    <t xml:space="preserve"> -на мероприятия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</si>
  <si>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 xml:space="preserve"> -на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</si>
  <si>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 -на компенсацию оплаты основного долга по ипотечному жилищному кредиту</t>
  </si>
  <si>
    <t xml:space="preserve"> -на софинансирование работ по капитальному ремонту и ремонту автомобильных дорог общего пользования местного значения</t>
  </si>
  <si>
    <t xml:space="preserve"> -на предоставление доступа к электронным сервисам цифровой инфраструктуры в сфере жилищно-коммунального хозяйства </t>
  </si>
  <si>
    <t xml:space="preserve"> -на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</si>
  <si>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</si>
  <si>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-на оснащение планшетными компьютерами общеобразовательных организаций</t>
  </si>
  <si>
    <t xml:space="preserve"> -на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</si>
  <si>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-на реализацию программ формирования современной городской среды в части благоустройства общественных территорий </t>
  </si>
  <si>
    <t xml:space="preserve"> -на оснащение мультимедийными проекторами и экранами для мультимедийных проекторов общеобразовательных организаций </t>
  </si>
  <si>
    <t xml:space="preserve"> -на реализацию мероприятий по улучшению жилищных условий многодетных семей</t>
  </si>
  <si>
    <t xml:space="preserve"> -на создание новых и (или) благоустройство существующих парков культуры и отдыха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</si>
  <si>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</si>
  <si>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 xml:space="preserve"> -на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</si>
  <si>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-на осуществление полномочий по обеспечению жильём отдельных категорий граждан, установленных Федеральным законом от 12 января 1995 года № 5-ФЗ «О ветеранах»</t>
  </si>
  <si>
    <t>осуществление полномочий по обеспечению жильём отдельных категорий граждан,установленных Федеральным законом от 24 ноября 1995 года № 181-ФЗ «О социальной защите инвалидов в Российской Федерации»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</si>
  <si>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</si>
  <si>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</si>
  <si>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</si>
  <si>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</si>
  <si>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 xml:space="preserve"> - на проведение Всероссийской переписи населения 2020 года</t>
  </si>
  <si>
    <t>2022 год</t>
  </si>
  <si>
    <t xml:space="preserve"> -на капитальные вложения в общеобразовательные организации в целях обеспечения односменного режима обучения</t>
  </si>
  <si>
    <t xml:space="preserve"> -на мероприятия по организации отдыха детей в каникулярное время</t>
  </si>
  <si>
    <t>ИТОГО:</t>
  </si>
  <si>
    <t>Итого</t>
  </si>
  <si>
    <t>Кредитные договоры и соглашения, заключенные от имени городского округа Мытищи</t>
  </si>
  <si>
    <t>Кредитные договоры и соглашения, заключенные от имени Московской области</t>
  </si>
  <si>
    <t>Виды заимствований</t>
  </si>
  <si>
    <t>№ п/п</t>
  </si>
  <si>
    <t>II. Погашение заимствований</t>
  </si>
  <si>
    <t>1.</t>
  </si>
  <si>
    <t>Срок действия</t>
  </si>
  <si>
    <t>1. Кредитные договоры и соглашения, заключенные Администрацией городского округа Мытищи от имени городского округа Мытищи</t>
  </si>
  <si>
    <t>I. Привлечение долговых обязательств</t>
  </si>
  <si>
    <t>Программа муниципальных внутренних заимствований</t>
  </si>
  <si>
    <t>Приложение № 14</t>
  </si>
  <si>
    <t>№______ от " _____"_________________ 2019 г.</t>
  </si>
  <si>
    <t>городского округа Мытищи на 2020 год</t>
  </si>
  <si>
    <t>Объем привлечения средств в 2020 году (тыс. рублей)</t>
  </si>
  <si>
    <t>2020-2022гг.</t>
  </si>
  <si>
    <t>Итого: общий объем привлеченных средств в 2020 году</t>
  </si>
  <si>
    <t>Объем погашения в 2020 году (тыс. рублей)</t>
  </si>
  <si>
    <t>Приложение № 15</t>
  </si>
  <si>
    <t>Объем привлечения средств в 2021 году (тыс. рублей)</t>
  </si>
  <si>
    <t>2021-2023гг.</t>
  </si>
  <si>
    <t xml:space="preserve">Итого: общий объем привлеченных средств </t>
  </si>
  <si>
    <t>Объем погашения в 2021 году (тыс. рублей)</t>
  </si>
  <si>
    <t xml:space="preserve">городского округа Мытищи на плановый период 2021 и 2022 годов </t>
  </si>
  <si>
    <t>Объем привлечения средств в 2022 году (тыс. рублей)</t>
  </si>
  <si>
    <t>2022-2024гг.</t>
  </si>
  <si>
    <t>Объем погашения в 2022 году (тыс. рублей)</t>
  </si>
  <si>
    <t>Приложение № 1</t>
  </si>
  <si>
    <t>Код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</si>
  <si>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</si>
  <si>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</si>
  <si>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</si>
  <si>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</si>
  <si>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</si>
  <si>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</si>
  <si>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</si>
  <si>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</si>
  <si>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</si>
  <si>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</si>
  <si>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</si>
  <si>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</si>
  <si>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</si>
  <si>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</si>
  <si>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</si>
  <si>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</si>
  <si>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</si>
  <si>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</si>
  <si>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</si>
  <si>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</si>
  <si>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</si>
  <si>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</si>
  <si>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</si>
  <si>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</si>
  <si>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</si>
  <si>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</si>
  <si>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</si>
  <si>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</si>
  <si>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</si>
  <si>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</si>
  <si>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</si>
  <si>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</si>
  <si>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</si>
  <si>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</si>
  <si>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</si>
  <si>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000 1 09 00000 00 0000 000</t>
  </si>
  <si>
    <t>Задолженность и перерасчеты по отмененным налогам, 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</si>
  <si>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</si>
  <si>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</si>
  <si>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</si>
  <si>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</si>
  <si>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</si>
  <si>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</si>
  <si>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</si>
  <si>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</si>
  <si>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</si>
  <si>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</si>
  <si>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</si>
  <si>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</si>
  <si>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</si>
  <si>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</si>
  <si>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</si>
  <si>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</si>
  <si>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</si>
  <si>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</si>
  <si>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000 1 11 09044 04 0001 120</t>
  </si>
  <si>
    <t>Поступления за социальный найм жилья</t>
  </si>
  <si>
    <t>000 1 11 09044 04 0002 120</t>
  </si>
  <si>
    <t>Плата за право на установку и эксплуатацию рекламных конструкций</t>
  </si>
  <si>
    <t>000 1 11 09044 04 0003 120</t>
  </si>
  <si>
    <t>Прочие поступления от использования имущества</t>
  </si>
  <si>
    <t>000 1 12 00000 00 0000 000</t>
  </si>
  <si>
    <t>Платежи при пользовании природными ресурсами</t>
  </si>
  <si>
    <t>000 1 12 01000 01 0000 120</t>
  </si>
  <si>
    <t xml:space="preserve">Плата за негативное воздействие на окружающую среду </t>
  </si>
  <si>
    <t>000 1 13 00000 00 0000 000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</si>
  <si>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</si>
  <si>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</si>
  <si>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</si>
  <si>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</si>
  <si>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000 1 13 01994 04 0001 130</t>
  </si>
  <si>
    <t>Прочие доходы от оказания платных услуг МКУ "Водосток"</t>
  </si>
  <si>
    <t>000 1 13 01994 04 0002 130</t>
  </si>
  <si>
    <t>Прочие доходы от оказания платных услуг МКУ "Леспаркхоз"</t>
  </si>
  <si>
    <t>000 1 13 01994 04 0003 130</t>
  </si>
  <si>
    <t xml:space="preserve">Прочие доходы от оказания платных услуг 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</si>
  <si>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</si>
  <si>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</si>
  <si>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</si>
  <si>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</si>
  <si>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</si>
  <si>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</si>
  <si>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</si>
  <si>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</si>
  <si>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</si>
  <si>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</si>
  <si>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</si>
  <si>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</si>
  <si>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</si>
  <si>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</si>
  <si>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</si>
  <si>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</si>
  <si>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</si>
  <si>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</si>
  <si>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</si>
  <si>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</si>
  <si>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</si>
  <si>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>Прочие неналоговые доходы бюджетов городских округов</t>
  </si>
  <si>
    <t>000 1 17 05040 04 0001 180</t>
  </si>
  <si>
    <t>Поступления по инвестиционным контрактам</t>
  </si>
  <si>
    <t>000 1 17 05040 04 0009 180</t>
  </si>
  <si>
    <t>000 1 17 05040 04 0012 180</t>
  </si>
  <si>
    <t>000 1 17 05040 04 0020 180</t>
  </si>
  <si>
    <t>Плата за размещение нестационарных торговых объектов</t>
  </si>
  <si>
    <t>000 1 17 05040 04 0021 180</t>
  </si>
  <si>
    <t>Прочие неналоговые поступления, зачисляемые в бюджет городского округа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</si>
  <si>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</si>
  <si>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</si>
  <si>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</si>
  <si>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</si>
  <si>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</si>
  <si>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</si>
  <si>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</si>
  <si>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</si>
  <si>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</si>
  <si>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</si>
  <si>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000 2 19 00000 04 0000 150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</si>
  <si>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</si>
  <si>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ВСЕГО ДОХОДОВ</t>
  </si>
  <si>
    <t>Приложение № 2</t>
  </si>
  <si>
    <t xml:space="preserve">Перечень главных администраторов доходов бюджета
городского округа Мытищи </t>
  </si>
  <si>
    <t>Код главного администратора</t>
  </si>
  <si>
    <t xml:space="preserve">Код классификации доходов </t>
  </si>
  <si>
    <t>Наименование видов отдельных доходных источников</t>
  </si>
  <si>
    <t>Главные администраторы доходов бюджета городского округа Мытищи - органы местного самоуправления городского округа Мытищи</t>
  </si>
  <si>
    <t>Администрация городского округа Мытищи</t>
  </si>
  <si>
    <t>1 08 07150 01 1000 110</t>
  </si>
  <si>
    <t>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</si>
  <si>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</si>
  <si>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1 11 01040 04 0000 120</t>
  </si>
  <si>
    <t>1 11 02032 04 0000 120</t>
  </si>
  <si>
    <t>Доходы от размещения временно свободных средств бюджетов городских округов</t>
  </si>
  <si>
    <t>1 11 05012 04 0000 120</t>
  </si>
  <si>
    <t>1 11 05024 04 0000 120</t>
  </si>
  <si>
    <t>1 11 05027 04 0000 120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</si>
  <si>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</si>
  <si>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</si>
  <si>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</si>
  <si>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1 11 05074 04 0000 120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</si>
  <si>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</si>
  <si>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</si>
  <si>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1 11 05312 04 0000 120</t>
  </si>
  <si>
    <t>1 11 05324 04 0000 120</t>
  </si>
  <si>
    <t>1 11 07014 04 0000 120</t>
  </si>
  <si>
    <t>1 11 09034 04 0000 120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</si>
  <si>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</si>
  <si>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1 11 09044 04 0000 120</t>
  </si>
  <si>
    <t>1 11 09044 04 0001 120</t>
  </si>
  <si>
    <t>1 11 09044 04 0002 120</t>
  </si>
  <si>
    <t>1 11 09044 04 0003 120</t>
  </si>
  <si>
    <t>1 13 01530 04 0000 130</t>
  </si>
  <si>
    <t>1 13 01994 04 0000 130</t>
  </si>
  <si>
    <t>1 13 01994 04 0001 130</t>
  </si>
  <si>
    <t>1 13 01994 04 0002 130</t>
  </si>
  <si>
    <t>1 13 01994 04 0003 130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</si>
  <si>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</si>
  <si>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</si>
  <si>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1 13 02994 04 0000 130</t>
  </si>
  <si>
    <t>1 14 01040 04 0000 410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</si>
  <si>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</si>
  <si>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</si>
  <si>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1 14 02043 04 0000 410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</si>
  <si>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</si>
  <si>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</si>
  <si>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</si>
  <si>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</si>
  <si>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</si>
  <si>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</si>
  <si>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1 14 03040 04 0000 410</t>
  </si>
  <si>
    <t>1 14 03040 04 0000 440</t>
  </si>
  <si>
    <t>1 14 04040 04 0000 420</t>
  </si>
  <si>
    <t>Доходы от продажи нематериальных активов, находящихся в собственности городских округов</t>
  </si>
  <si>
    <t>1 14 06012 04 0000 430</t>
  </si>
  <si>
    <t>1 14 06024 04 0000 430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</si>
  <si>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</si>
  <si>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</si>
  <si>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1 14 06312 04 0000 430</t>
  </si>
  <si>
    <t>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</si>
  <si>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</si>
  <si>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</si>
  <si>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</si>
  <si>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</si>
  <si>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</si>
  <si>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</si>
  <si>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</si>
  <si>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</si>
  <si>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</si>
  <si>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</si>
  <si>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</si>
  <si>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</si>
  <si>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</si>
  <si>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</si>
  <si>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</si>
  <si>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</si>
  <si>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</si>
  <si>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</si>
  <si>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</si>
  <si>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1 17 01040 04 0000 180</t>
  </si>
  <si>
    <t>1 17 05040 04 0000 180</t>
  </si>
  <si>
    <t>1 17 05040 04 0001 180</t>
  </si>
  <si>
    <t>1 17 05040 04 0009 180</t>
  </si>
  <si>
    <t>Прочие поступления за ущерб от вырубки зеленых насаждений</t>
  </si>
  <si>
    <t>1 17 05040 04 0012 180</t>
  </si>
  <si>
    <t>Прочие поступления от организаций</t>
  </si>
  <si>
    <t>1 17 05040 04 0020 180</t>
  </si>
  <si>
    <t>1 17 05040 04 0021 180</t>
  </si>
  <si>
    <t>1 18 02400 04 0000 150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</si>
  <si>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 по распределенным доходам</t>
  </si>
  <si>
    <t>2 02 15001 04 0000 150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</si>
  <si>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</si>
  <si>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</si>
  <si>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2 02 19999 04 0000 150</t>
  </si>
  <si>
    <t>Прочие дотации бюджетам городских округов</t>
  </si>
  <si>
    <t>2 02 20041 04 0000 150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</si>
  <si>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</si>
  <si>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</si>
  <si>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</si>
  <si>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2 02 20079 04 0000 150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</si>
  <si>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</si>
  <si>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</si>
  <si>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</si>
  <si>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2 02 25187 04 0000 150</t>
  </si>
  <si>
    <t>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</si>
  <si>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</si>
  <si>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2 02 25219 04 0000 150</t>
  </si>
  <si>
    <t>Субсидии бюджетам городских округов на создание центров цифрового образования детей</t>
  </si>
  <si>
    <t>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</si>
  <si>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</si>
  <si>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2 02 25466 04 0000 150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</si>
  <si>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</si>
  <si>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2 02 25467 04 0000 150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</si>
  <si>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</si>
  <si>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</si>
  <si>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</si>
  <si>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</si>
  <si>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</si>
  <si>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2 02 25519 04 0000 150</t>
  </si>
  <si>
    <t>2 02 25527 04 0000 150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</si>
  <si>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</si>
  <si>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2 02 27227 04 0000 150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</si>
  <si>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</si>
  <si>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2 02 27233 04 0000 150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</si>
  <si>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создания центров культурного развития в городах с числом жителей до 300 тысяч человек</t>
  </si>
  <si>
    <t>2 02 29999 04 0000 150</t>
  </si>
  <si>
    <t>Прочие субсидии бюджетам городских округов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</si>
  <si>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</si>
  <si>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</si>
  <si>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</si>
  <si>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</si>
  <si>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</si>
  <si>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</si>
  <si>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</si>
  <si>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</si>
  <si>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</si>
  <si>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</si>
  <si>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</si>
  <si>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</si>
  <si>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</si>
  <si>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</si>
  <si>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</si>
  <si>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</si>
  <si>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2 02 35469 04 0000 150</t>
  </si>
  <si>
    <t>Субвенции бюджетам городских округов на проведение Всероссийской переписи населения 2020 года</t>
  </si>
  <si>
    <t>2 02 39998 04 0000 150</t>
  </si>
  <si>
    <t>Единая субвенция бюджетам городских округов</t>
  </si>
  <si>
    <t>2 02 39999 04 0000 150</t>
  </si>
  <si>
    <t>Прочие субвенции бюджетам городских округов</t>
  </si>
  <si>
    <t>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</si>
  <si>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</si>
  <si>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2 02 45455 04 0000 150</t>
  </si>
  <si>
    <t>Межбюджетные трансферты, передаваемые бюджетам городских округов на реновацию учреждений отрасли культуры</t>
  </si>
  <si>
    <t>2 02 49999 04 0000 150</t>
  </si>
  <si>
    <t>Прочие межбюджетные трансферты, передаваемые бюджетам городских округов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</si>
  <si>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</si>
  <si>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</si>
  <si>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</si>
  <si>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</si>
  <si>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2 18 04020 04 0000 150</t>
  </si>
  <si>
    <t>Доходы бюджетов городских округов от возврата автономными учреждениями остатков субсидий прошлых лет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</si>
  <si>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</si>
  <si>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</si>
  <si>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2 18 60010 04 0000 150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</si>
  <si>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иных бюджетов бюджетной системы Российской Федерации</t>
  </si>
  <si>
    <t>2 19 25020 04 0000 150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</si>
  <si>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</si>
  <si>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2 19 25064 04 0000 150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</si>
  <si>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</si>
  <si>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2 19 25112 04 0000 150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</si>
  <si>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</si>
  <si>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2 19 25466 04 0000 150</t>
  </si>
  <si>
    <t>Возврат остатков субсидий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из бюджетов городских округов</t>
  </si>
  <si>
    <t>2 19 25467 04 0000 150</t>
  </si>
  <si>
    <t>Возврат остатков субсидий на обеспечение развития и укрепления материально-технической базы домов культуры в населенных пунктах с числом жителей до 50 тысяч человек из бюджетов городских округов</t>
  </si>
  <si>
    <t>2 19 25497 04 0000 150</t>
  </si>
  <si>
    <t>Возврат остатков субсидий на реализацию мероприятий по обеспечению жильем молодых семей из бюджетов городских округов</t>
  </si>
  <si>
    <t>2 19 25517 04 0000 150</t>
  </si>
  <si>
    <t>Возврат остатков субсидий на поддержку творческой деятельности и техническое оснащение детских и кукольных театров из бюджетов городских округов</t>
  </si>
  <si>
    <t>2 19 25519 04 0000 150</t>
  </si>
  <si>
    <t>Возврат остатков субсидий на поддержку отрасли культуры из бюджетов городских округов</t>
  </si>
  <si>
    <t>2 19 25527 04 0000 150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</si>
  <si>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городских округов</t>
  </si>
  <si>
    <t>2 19 25558 04 0000 150</t>
  </si>
  <si>
    <t>Возврат остатков субсидий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 из бюджетов городских округов</t>
  </si>
  <si>
    <t>2 19 35120 04 0000 150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</si>
  <si>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</si>
  <si>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2 19 35135 04 0000 150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</si>
  <si>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Федерации", из бюджетов городских округов</t>
  </si>
  <si>
    <t>2 19 35176 04 0000 150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</si>
  <si>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 из бюджетов городских округов</t>
  </si>
  <si>
    <t>2 19 35485 04 0000 150</t>
  </si>
  <si>
    <t>Возврат остатков субвенций на обеспечение жильем граждан, уволенных с военной службы (службы), и приравненных к ним лиц из бюджетов городских округов</t>
  </si>
  <si>
    <t>2 19 45160 04 0000 150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</si>
  <si>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городских округов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</si>
  <si>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</si>
  <si>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</si>
  <si>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Контрольно-счетная палата городского округа Мытищи</t>
  </si>
  <si>
    <t>1 16 01054 01 0000 140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</si>
  <si>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</si>
  <si>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</si>
  <si>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</si>
  <si>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</si>
  <si>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</si>
  <si>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</si>
  <si>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</si>
  <si>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Главные администраторы доходов бюджета городского округа Мытищи - органы государственной власти Московской области, государственные органы Московской области</t>
  </si>
  <si>
    <t>834</t>
  </si>
  <si>
    <t>Комитет по архитектуре и градостроительству Московской области</t>
  </si>
  <si>
    <t>Главные администраторы доходов бюджета городского округа Мытищи - органы государственной власти Российской Федерации</t>
  </si>
  <si>
    <t>048</t>
  </si>
  <si>
    <t>Федеральная служба по надзору в сфере природопользования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</si>
  <si>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</si>
  <si>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</si>
  <si>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</si>
  <si>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</si>
  <si>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1 12 01041 01 0000 120</t>
  </si>
  <si>
    <t>Плата за размещение отходов производства</t>
  </si>
  <si>
    <t>1 12 01042 01 0000 120</t>
  </si>
  <si>
    <t>Плата за размещение твердых коммунальных отходов</t>
  </si>
  <si>
    <t>Федеральное казначейство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</si>
  <si>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</si>
  <si>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</si>
  <si>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</si>
  <si>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</si>
  <si>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</si>
  <si>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</si>
  <si>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</si>
  <si>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</si>
  <si>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Федеральная налоговая служба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</si>
  <si>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</si>
  <si>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</si>
  <si>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</si>
  <si>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</si>
  <si>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</si>
  <si>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</si>
  <si>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</si>
  <si>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</si>
  <si>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</si>
  <si>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</si>
  <si>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</si>
  <si>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</si>
  <si>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</si>
  <si>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</si>
  <si>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</si>
  <si>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</si>
  <si>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</si>
  <si>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</si>
  <si>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</si>
  <si>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</si>
  <si>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</si>
  <si>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1 05 03010 01 0000 110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</si>
  <si>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</si>
  <si>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</si>
  <si>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</si>
  <si>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</si>
  <si>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1 06 06032 04 0000 110</t>
  </si>
  <si>
    <t>Земельный налог с организаций, обладающих земельным участком, расположенным в границах городских округов</t>
  </si>
  <si>
    <t>1 06 06042 04 0000 110</t>
  </si>
  <si>
    <t>Земельный налог с физических лиц, обладающих земельным участком, расположенным в границах городских округов</t>
  </si>
  <si>
    <t>1 08 03010 01 0000 110</t>
  </si>
  <si>
    <t xml:space="preserve">№ ____ от "___"________2019 г. </t>
  </si>
  <si>
    <t>Перечень главных администраторов  источников финансирования дефицита бюджета городского округа Мытищи</t>
  </si>
  <si>
    <t>Код классификации доходов</t>
  </si>
  <si>
    <t>Наименование видов отдельных источников финансирования дефицита бюджета</t>
  </si>
  <si>
    <t>01 02 00 00 04 0000 710</t>
  </si>
  <si>
    <t>Получение кредитов от кредитных организаций бюджетами городских округов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</si>
  <si>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</si>
  <si>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</si>
  <si>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</si>
  <si>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</si>
  <si>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</si>
  <si>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</si>
  <si>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</si>
  <si>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</si>
  <si>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</si>
  <si>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</si>
  <si>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01 06 01 00 04 0000 630</t>
  </si>
  <si>
    <t>Средства от продажи акций и иных форм участия в капитале, находящихся в собственности городских округов</t>
  </si>
  <si>
    <t xml:space="preserve">Приложение №  9  </t>
  </si>
  <si>
    <t>Приложение № 7</t>
  </si>
  <si>
    <t>(тыс. руб.)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</si>
  <si>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</si>
  <si>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</si>
  <si>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</si>
  <si>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</si>
  <si>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</si>
  <si>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</si>
  <si>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</si>
  <si>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</si>
  <si>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</si>
  <si>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</si>
  <si>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Получение кредитов от кредитных организаций в валюте Российской Федерации</t>
  </si>
  <si>
    <t>901</t>
  </si>
  <si>
    <t>04</t>
  </si>
  <si>
    <t>710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</si>
  <si>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</si>
  <si>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</si>
  <si>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</si>
  <si>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</si>
  <si>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</si>
  <si>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</si>
  <si>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</si>
  <si>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</si>
  <si>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</si>
  <si>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</si>
  <si>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</si>
  <si>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</si>
  <si>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</si>
  <si>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</si>
  <si>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</si>
  <si>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</si>
  <si>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</si>
  <si>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Источники внутреннего финансирования дефицита бюджета городского округа Мытищи на 2020 год</t>
  </si>
  <si>
    <t xml:space="preserve">Источники внутреннего финансирования дефицита бюджета городского округа Мытищи на плановый период  2021 и 2022 годов  </t>
  </si>
  <si>
    <t>Итого:</t>
  </si>
  <si>
    <t>240</t>
  </si>
  <si>
    <t>05 3 P5 S1700</t>
  </si>
  <si>
    <t>03</t>
  </si>
  <si>
    <t>11</t>
  </si>
  <si>
    <t>945</t>
  </si>
  <si>
    <t>Иные закупки товаров, работ и услуг для обеспечения государственных (муниципальных) нужд</t>
  </si>
  <si>
    <t>200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</si>
  <si>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</si>
  <si>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>05 3 P5 00000</t>
  </si>
  <si>
    <t>Федеральный проект "Спорт - норма жизни"</t>
  </si>
  <si>
    <t>05 3 00 00000</t>
  </si>
  <si>
    <t>Подпрограмма "Подготовка спортивного резерва"</t>
  </si>
  <si>
    <t>05 0 00 00000</t>
  </si>
  <si>
    <t>Муниципальная программа "Спорт"</t>
  </si>
  <si>
    <t>Спорт высших достижений</t>
  </si>
  <si>
    <t>620</t>
  </si>
  <si>
    <t>05 1 01 06140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</si>
  <si>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</si>
  <si>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</si>
  <si>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</si>
  <si>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</si>
  <si>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05 1 01 00570</t>
  </si>
  <si>
    <t>Стипендии</t>
  </si>
  <si>
    <t>300</t>
  </si>
  <si>
    <t>Социальное обеспечение и иные выплаты населению</t>
  </si>
  <si>
    <t>110</t>
  </si>
  <si>
    <t>Расходы на выплаты персоналу казенных учреждений</t>
  </si>
  <si>
    <t>100</t>
  </si>
  <si>
    <t>05 1 01 00000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</si>
  <si>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</si>
  <si>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05 1 00 00000</t>
  </si>
  <si>
    <t>Подпрограмма "Развитие физической культуры и спорта"</t>
  </si>
  <si>
    <t>04 2 03 00910</t>
  </si>
  <si>
    <t>Оказание содействия развитию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</si>
  <si>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04 2 03 00000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</si>
  <si>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</si>
  <si>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04 2 00 00000</t>
  </si>
  <si>
    <t>Подпрограмма "Доступная среда"</t>
  </si>
  <si>
    <t>04 0 00 00000</t>
  </si>
  <si>
    <t>Муниципальная программа "Социальная защита населения"</t>
  </si>
  <si>
    <t>Массовый спорт</t>
  </si>
  <si>
    <t>05 3 01 06150</t>
  </si>
  <si>
    <t>Субсидии бюджетным учреждениям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</si>
  <si>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</si>
  <si>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05 3 01 00000</t>
  </si>
  <si>
    <t>Основное мероприятие "Подготовка спортивных сборных команд"</t>
  </si>
  <si>
    <t>05 1 01 00550</t>
  </si>
  <si>
    <t>Проведение капитального ремонта, технического переоснащения и благоустройства территорий учреждений физкультуры и спорта</t>
  </si>
  <si>
    <t>04 2 02 71560</t>
  </si>
  <si>
    <t>04 2 02 00000</t>
  </si>
  <si>
    <t>Физическая культура</t>
  </si>
  <si>
    <t>ФИЗИЧЕСКАЯ КУЛЬТУРА И СПОРТ</t>
  </si>
  <si>
    <t>13 4 01 00770</t>
  </si>
  <si>
    <t>Организация и осуществление мероприятий по работе с детьми и молодежью в городском округе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</si>
  <si>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</si>
  <si>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</si>
  <si>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13 4 00 00000</t>
  </si>
  <si>
    <t>Подпрограмма "Молодежь Подмосковья"</t>
  </si>
  <si>
    <t>13 0 00 00000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</si>
  <si>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</si>
  <si>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Общеэкономические вопросы</t>
  </si>
  <si>
    <t>НАЦИОНАЛЬНАЯ ЭКОНОМИКА</t>
  </si>
  <si>
    <t>99 0 00 0440D</t>
  </si>
  <si>
    <t>13</t>
  </si>
  <si>
    <t>Дополнительные мероприятия по развитию жилищно-коммунального хозяйства и социально-культурной сферы</t>
  </si>
  <si>
    <t>99 0 00 00000</t>
  </si>
  <si>
    <t>Непрограммные расходы</t>
  </si>
  <si>
    <t>Другие общегосударственные вопросы</t>
  </si>
  <si>
    <t>12 5 01 00120</t>
  </si>
  <si>
    <t>Обеспечение деятельности администрации</t>
  </si>
  <si>
    <t>12 5 01 00000</t>
  </si>
  <si>
    <t>Основное мероприятие "Создание условий для реализации полномочий органов местного самоуправления"</t>
  </si>
  <si>
    <t>12 5 00 00000</t>
  </si>
  <si>
    <t>Обеспечивающая подпрограмма</t>
  </si>
  <si>
    <t>12 0 00 00000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</si>
  <si>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</si>
  <si>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</si>
  <si>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</si>
  <si>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Управление по физической культуре и спорту Администрации городского округа Мытищи</t>
  </si>
  <si>
    <t>13 4 01 06020</t>
  </si>
  <si>
    <t>07</t>
  </si>
  <si>
    <t>944</t>
  </si>
  <si>
    <t>Расходы на обеспечение деятельности (оказание услуг) муниципальных учреждений в сфере молодежной политики</t>
  </si>
  <si>
    <t>ОБРАЗОВАНИЕ</t>
  </si>
  <si>
    <t>850</t>
  </si>
  <si>
    <t>Уплата налогов, сборов и иных платежей</t>
  </si>
  <si>
    <t>Иные бюджетные ассигнования</t>
  </si>
  <si>
    <t>Управление по работе с молодежью администрации городского округа Мытищи</t>
  </si>
  <si>
    <t>08</t>
  </si>
  <si>
    <t>921</t>
  </si>
  <si>
    <t>350</t>
  </si>
  <si>
    <t>02 8 01 00500</t>
  </si>
  <si>
    <t>Премии и гранты</t>
  </si>
  <si>
    <t>Мероприятия в сфере культуры</t>
  </si>
  <si>
    <t>02 8 01 00000</t>
  </si>
  <si>
    <t>02 8 00 00000</t>
  </si>
  <si>
    <t>Расходы на обеспечение деятельности (оказание услуг) муниципальных учреждений - культурно-досуговые учреждения</t>
  </si>
  <si>
    <t>Федеральный проект "Культурная среда"</t>
  </si>
  <si>
    <t>02 4 03 01110</t>
  </si>
  <si>
    <t>Стипендии в области образования, культуры и искусства</t>
  </si>
  <si>
    <t>02 4 03 00000</t>
  </si>
  <si>
    <t>Основное мероприятие "Реализация отдельных функций органа местного самоуправления в сфере культуры"</t>
  </si>
  <si>
    <t>02 4 01 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</si>
  <si>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</si>
  <si>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02 4 01 06120</t>
  </si>
  <si>
    <t>Расходы на обеспечение деятельности (оказание услуг) муниципальных учреждений - театрально-концертные организации</t>
  </si>
  <si>
    <t>02 4 01 00500</t>
  </si>
  <si>
    <t>02 4 01 00000</t>
  </si>
  <si>
    <t>Основное мероприятие "Обеспечение функций театрально-концертных учреждений"</t>
  </si>
  <si>
    <t>02 4 00 00000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</si>
  <si>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</si>
  <si>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02 3 01 06100</t>
  </si>
  <si>
    <t>Расходы на обеспечение деятельности (оказание услуг) муниципальных учреждений - библиотеки</t>
  </si>
  <si>
    <t>02 3 01 00000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</si>
  <si>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</si>
  <si>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02 3 00 00000</t>
  </si>
  <si>
    <t>Подпрограмма "Развитие библиотечного дела"</t>
  </si>
  <si>
    <t>02 2 01 06130</t>
  </si>
  <si>
    <t>Расходы на обеспечение деятельности (оказание услуг) муниципальных учреждений - музеи, галереи</t>
  </si>
  <si>
    <t>02 2 01 00000</t>
  </si>
  <si>
    <t>Основное мероприятие "Обеспечение выполнения функций муниципальных музеев"</t>
  </si>
  <si>
    <t>02 2 00 00000</t>
  </si>
  <si>
    <t>Подпрограмма "Развитие музейного дела и народных художественных промыслов"</t>
  </si>
  <si>
    <t>02 0 00 00000</t>
  </si>
  <si>
    <t>Муниципальная программа "Культура"</t>
  </si>
  <si>
    <t>Культура</t>
  </si>
  <si>
    <t>310</t>
  </si>
  <si>
    <t>03 1 02 62140</t>
  </si>
  <si>
    <t>10</t>
  </si>
  <si>
    <t>919</t>
  </si>
  <si>
    <t>Публичный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</si>
  <si>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</si>
  <si>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03 1 02 00000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</si>
  <si>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</si>
  <si>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03 1 00 00000</t>
  </si>
  <si>
    <t>Подпрограмма "Дошкольное образование"</t>
  </si>
  <si>
    <t>03 0 00 00000</t>
  </si>
  <si>
    <t>Муниципальная программа "Образование"</t>
  </si>
  <si>
    <t>Охрана семьи и детства</t>
  </si>
  <si>
    <t>СОЦИАЛЬНАЯ ПОЛИТИКА</t>
  </si>
  <si>
    <t>04 3 05 S2190</t>
  </si>
  <si>
    <t>09</t>
  </si>
  <si>
    <t>Мероприятия по организации отдыха детей в каникулярное время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</si>
  <si>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</si>
  <si>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</si>
  <si>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04 3 00 00000</t>
  </si>
  <si>
    <t>Подпрограмма "Развитие системы отдыха и оздоровления детей"</t>
  </si>
  <si>
    <t>03 5 01 06080</t>
  </si>
  <si>
    <t>Обеспечение деятельности прочих учреждений образования</t>
  </si>
  <si>
    <t>03 5 01 00950</t>
  </si>
  <si>
    <t>Мероприятия в сфере образования</t>
  </si>
  <si>
    <t>03 5 01 00000</t>
  </si>
  <si>
    <t>03 5 00 00000</t>
  </si>
  <si>
    <t>Подпрограмма "Обеспечивающая подпрограмма"</t>
  </si>
  <si>
    <t>03 2 01 06050</t>
  </si>
  <si>
    <t>Расходы на обеспечение деятельности (оказание услуг) муниципальных учреждений - общеобразовательные организации</t>
  </si>
  <si>
    <t>03 2 01 00000</t>
  </si>
  <si>
    <t>Основное мероприятие "Финансовое обеспечение деятельности образовательных организаций"</t>
  </si>
  <si>
    <t>03 2 00 00000</t>
  </si>
  <si>
    <t>Подпрограмма "Общее образование"</t>
  </si>
  <si>
    <t>Другие вопросы в области образования</t>
  </si>
  <si>
    <t>03 3 05 00940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</si>
  <si>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</si>
  <si>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03 3 05 00000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</si>
  <si>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</si>
  <si>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03 3 03 06060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</si>
  <si>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</si>
  <si>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03 3 03 00000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</si>
  <si>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</si>
  <si>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03 3 00 00000</t>
  </si>
  <si>
    <t>Подпрограмма "Дополнительное образование, воспитание и психолого-социальное сопровождение детей"</t>
  </si>
  <si>
    <t>Дополнительное образование детей</t>
  </si>
  <si>
    <t>03 2 03 62230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</si>
  <si>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</si>
  <si>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630</t>
  </si>
  <si>
    <t>03 2 03 62220</t>
  </si>
  <si>
    <t>Субсидии некоммерческим организациям (за исключением государственных (муниципальных) учреждений)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</si>
  <si>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</si>
  <si>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03 2 03 00000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</si>
  <si>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</si>
  <si>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03 2 02 62240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</si>
  <si>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</si>
  <si>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03 2 02 00000</t>
  </si>
  <si>
    <t>Основное мероприятие "Финансовое обеспечение деятельности образовательных организаций для детей-сирот и детей, оставшихся без попечения родителей"</t>
  </si>
  <si>
    <t>03 2 01 62210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</si>
  <si>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</si>
  <si>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</si>
  <si>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</si>
  <si>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Общее образование</t>
  </si>
  <si>
    <t>04 2 02 S2640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</si>
  <si>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</si>
  <si>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03 1 02 72110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</si>
  <si>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за счет средств местного бюджета</t>
  </si>
  <si>
    <t>03 1 02 62120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</si>
  <si>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</si>
  <si>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03 1 02 62110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</si>
  <si>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</si>
  <si>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03 1 02 06040</t>
  </si>
  <si>
    <t>Расходы на обеспечение деятельности (оказание услуг) муниципальных учреждений - дошкольные образовательные организации</t>
  </si>
  <si>
    <t>Дошкольное образование</t>
  </si>
  <si>
    <t>15 2 E4 S2780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</si>
  <si>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</si>
  <si>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 2 E4 S2770</t>
  </si>
  <si>
    <t>Оснащение планшетными компьютерами общеобразовательных организаций в Московской области</t>
  </si>
  <si>
    <t>15 2 E4 S1690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</si>
  <si>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</si>
  <si>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E4 52100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</si>
  <si>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</si>
  <si>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E4 00000</t>
  </si>
  <si>
    <t>Федеральный проект "Цифровая образовательная среда"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</si>
  <si>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</si>
  <si>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</si>
  <si>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15 0 00 00000</t>
  </si>
  <si>
    <t>Муниципальная программа "Цифровое муниципальное образование"</t>
  </si>
  <si>
    <t>Связь и информатика</t>
  </si>
  <si>
    <t>Управление образования администрации городского округа Мытищи</t>
  </si>
  <si>
    <t>120</t>
  </si>
  <si>
    <t>95 0 00 0015Щ</t>
  </si>
  <si>
    <t>06</t>
  </si>
  <si>
    <t>904</t>
  </si>
  <si>
    <t>Расходы на выплаты персоналу  государственных (муниципальных) органов</t>
  </si>
  <si>
    <t>880</t>
  </si>
  <si>
    <t>95 0 00 00150</t>
  </si>
  <si>
    <t>Специальные расходы</t>
  </si>
  <si>
    <t>Обеспечение деятельности контрольно-счетной палаты</t>
  </si>
  <si>
    <t>95 0 00 00140</t>
  </si>
  <si>
    <t>Председатель Контрольно-счетной палаты</t>
  </si>
  <si>
    <t>95 0 00 00000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</si>
  <si>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</si>
  <si>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</si>
  <si>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 5 01 0607Б</t>
  </si>
  <si>
    <t>903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</si>
  <si>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образования. Расходы на МКУ "ЦБ "ГОМ"</t>
  </si>
  <si>
    <t>12 5 01 00160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</si>
  <si>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</si>
  <si>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</si>
  <si>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95 0 00 00030</t>
  </si>
  <si>
    <t>902</t>
  </si>
  <si>
    <t>Расходы на содержание представительного органа муниципального образования</t>
  </si>
  <si>
    <t>95 0 00 0001Ч</t>
  </si>
  <si>
    <t>95 0 00 00010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</si>
  <si>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</si>
  <si>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</si>
  <si>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730</t>
  </si>
  <si>
    <t>12 4 06 00800</t>
  </si>
  <si>
    <t>Обслуживание муниципального долга</t>
  </si>
  <si>
    <t>Обслуживание государственного (муниципального) долга</t>
  </si>
  <si>
    <t>12 4 06 00000</t>
  </si>
  <si>
    <t>Основное мероприятие "Управление муниципальным долгом"</t>
  </si>
  <si>
    <t>12 4 00 00000</t>
  </si>
  <si>
    <t>Подпрограмма "Управление муниципальными финансами"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</si>
  <si>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</si>
  <si>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</si>
  <si>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15 2 01 0115Т</t>
  </si>
  <si>
    <t>12</t>
  </si>
  <si>
    <t>Развитие информационной инфраструктуры. Расходы на МАУ ТВ МЫТИЩИ</t>
  </si>
  <si>
    <t>15 2 01 00000</t>
  </si>
  <si>
    <t>Основное мероприятие "Информационная инфраструктура"</t>
  </si>
  <si>
    <t>13 1 07 0066Ф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</si>
  <si>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МКУ "ТУ "Федоскино"</t>
  </si>
  <si>
    <t>13 1 07 0066Т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</si>
  <si>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МАУ "ТВ "Мытищи"</t>
  </si>
  <si>
    <t>13 1 07 0066М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</si>
  <si>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МКУ "ТУ "Мытищинское"</t>
  </si>
  <si>
    <t>13 1 07 0066W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</si>
  <si>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МКУ "ТУ "Пироговский"</t>
  </si>
  <si>
    <t>13 1 07 0066L</t>
  </si>
  <si>
    <t>13 1 07 00660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</si>
  <si>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</si>
  <si>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13 1 07 00000</t>
  </si>
  <si>
    <t>Основное мероприятие "Организация создания и эксплуатации сети объектов наружной рекламы"</t>
  </si>
  <si>
    <t>13 1 01 0082Т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</si>
  <si>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 Расходы на МАУ "ТВ "Мытищи"</t>
  </si>
  <si>
    <t>13 1 01 00820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</si>
  <si>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</si>
  <si>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</si>
  <si>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</si>
  <si>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13 1 00 00000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</si>
  <si>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</si>
  <si>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Другие вопросы в области средств массовой информации</t>
  </si>
  <si>
    <t>13 1 01 0082Ш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</si>
  <si>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 Расходы на МАУ "МИР"</t>
  </si>
  <si>
    <t>Периодическая печать и издательства</t>
  </si>
  <si>
    <t>Телевидение и радиовещание</t>
  </si>
  <si>
    <t>СРЕДСТВА МАССОВОЙ ИНФОРМАЦИИ</t>
  </si>
  <si>
    <t>04 9 01 00880</t>
  </si>
  <si>
    <t>Оказание финансовой поддержки общественным объединениям инвалидов, а также созданным общероссийскими общественными объединениями инвалидов</t>
  </si>
  <si>
    <t>04 9 01 00000</t>
  </si>
  <si>
    <t>Основное мероприятие "Осуществление финансовой поддержки СО НКО"</t>
  </si>
  <si>
    <t>04 9 00 00000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</si>
  <si>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</si>
  <si>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</si>
  <si>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410</t>
  </si>
  <si>
    <t>09 3 01 60820</t>
  </si>
  <si>
    <t>Бюджетные инвестиции</t>
  </si>
  <si>
    <t>400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</si>
  <si>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</si>
  <si>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</si>
  <si>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</si>
  <si>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</si>
  <si>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</si>
  <si>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</si>
  <si>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 2 01 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</si>
  <si>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</si>
  <si>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</si>
  <si>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09 2 01 00000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</si>
  <si>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</si>
  <si>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09 2 00 00000</t>
  </si>
  <si>
    <t>Подпрограмма "Обеспечение жильем молодых семей"</t>
  </si>
  <si>
    <t>09 0 00 00000</t>
  </si>
  <si>
    <t>Муниципальная программа "Жилище"</t>
  </si>
  <si>
    <t>360</t>
  </si>
  <si>
    <t>Иные выплаты населению</t>
  </si>
  <si>
    <t>99 0 00 01120</t>
  </si>
  <si>
    <t>Ежемесячные денежные выплаты Почетным гражданам</t>
  </si>
  <si>
    <t>09 4 01 S0220</t>
  </si>
  <si>
    <t>Компенсация оплаты основного долга по ипотечному жилищному кредиту</t>
  </si>
  <si>
    <t>09 4 01 00000</t>
  </si>
  <si>
    <t>Основное мероприятие "I этап реализации подпрограммы 4. Компенсация оплаты основного долга по ипотечному жилищному кредиту"</t>
  </si>
  <si>
    <t>09 4 00 00000</t>
  </si>
  <si>
    <t>Подпрограмма "Социальная ипотека"</t>
  </si>
  <si>
    <t>04 1 03 61410</t>
  </si>
  <si>
    <t>Предоставление гражданам субсидий на оплату жилого помещения и коммунальных услуг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</si>
  <si>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</si>
  <si>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</si>
  <si>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04 1 00 00000</t>
  </si>
  <si>
    <t>Подпрограмма "Социальная поддержка граждан"</t>
  </si>
  <si>
    <t>01 5 03 00420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</si>
  <si>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</si>
  <si>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01 5 03 00000</t>
  </si>
  <si>
    <t>Основное мероприятие "Развитие мер социальной поддержки медицинских работников"</t>
  </si>
  <si>
    <t>01 5 00 00000</t>
  </si>
  <si>
    <t>Подпрограмма "Финансовое обеспечение системы организации медицинской помощи"</t>
  </si>
  <si>
    <t>01 0 00 00000</t>
  </si>
  <si>
    <t>Муниципальная программа "Здравоохранение"</t>
  </si>
  <si>
    <t>Социальное обеспечение населения</t>
  </si>
  <si>
    <t>04 1 18 00840</t>
  </si>
  <si>
    <t>Предоставление доплаты за выслугу лет к трудовой пенсии муниципальным служащим за счет средств местного бюджета</t>
  </si>
  <si>
    <t>04 1 18 00000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</si>
  <si>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</si>
  <si>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</si>
  <si>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99 0 00 00100</t>
  </si>
  <si>
    <t>Реализация государственных функций, связанных с общегосударственным управлением</t>
  </si>
  <si>
    <t>11 4 01 01230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</si>
  <si>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</si>
  <si>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11 4 01 00000</t>
  </si>
  <si>
    <t>Основное мероприятие "Развитие потребительского рынка и услуг"</t>
  </si>
  <si>
    <t>11 4 00 00000</t>
  </si>
  <si>
    <t>Подпрограмма "Развитие потребительского рынка и услуг"</t>
  </si>
  <si>
    <t>11 0 00 00000</t>
  </si>
  <si>
    <t>Муниципальная программа "Предпринимательство"</t>
  </si>
  <si>
    <t>02 3 01 00450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</si>
  <si>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</si>
  <si>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12 5 01 0609У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</si>
  <si>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самоуправления.Расходы на МБУ "ЦКТ"</t>
  </si>
  <si>
    <t>12 5 01 0609И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</si>
  <si>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 Расходы на МБУ "ИЦСО"</t>
  </si>
  <si>
    <t>13 4 01 00970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</si>
  <si>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</si>
  <si>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12 3 01 00830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</si>
  <si>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</si>
  <si>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</si>
  <si>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</si>
  <si>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12 3 00 00000</t>
  </si>
  <si>
    <t>Подпрограмма "Совершенствование муниципальной службы Московской области"</t>
  </si>
  <si>
    <t>Профессиональная подготовка, переподготовка и повышение квалификации</t>
  </si>
  <si>
    <t>18 3 E1 S4480</t>
  </si>
  <si>
    <t>Капитальные вложения в общеобразовательные организации в целях обеспечения односменного режима обучения</t>
  </si>
  <si>
    <t>18 3 E1 S4260</t>
  </si>
  <si>
    <t>Капитальные вложения в объекты общего образования</t>
  </si>
  <si>
    <t>18 3 E1 00000</t>
  </si>
  <si>
    <t>Федеральный проект "Современная школа"</t>
  </si>
  <si>
    <t>18 3 02 00400</t>
  </si>
  <si>
    <t>Создание и развитие объектов общего образования (включая реконструкцию со строительством пристроек)</t>
  </si>
  <si>
    <t>18 3 02 00000</t>
  </si>
  <si>
    <t>Основное мероприятие "Организация строительства (реконструкции) объектов общего образования"</t>
  </si>
  <si>
    <t>18 3 00 00000</t>
  </si>
  <si>
    <t>Подпрограмма "Строительство (реконструкция) объектов образования"</t>
  </si>
  <si>
    <t>18 0 00 00000</t>
  </si>
  <si>
    <t>Муниципальная программа "Строительство объектов социальной инфраструктуры"</t>
  </si>
  <si>
    <t>18 3 01 S4440</t>
  </si>
  <si>
    <t>Проектирование и строительство дошкольных образовательных организаций</t>
  </si>
  <si>
    <t>18 3 01 00000</t>
  </si>
  <si>
    <t>Основное мероприятие "Организация строительства (реконструкции) объектов дошкольного образования"</t>
  </si>
  <si>
    <t>04 2 02 00960</t>
  </si>
  <si>
    <t>Повышение доступности объектов культуры, спорта, образования для инвалидов и маломобильных групп населения</t>
  </si>
  <si>
    <t xml:space="preserve">Организация мероприятий по охране окружающей среды в границах городского округа. Расходы на МКУ "Водосток" </t>
  </si>
  <si>
    <t>07 1 03 00370</t>
  </si>
  <si>
    <t>Организация мероприятий по охране окружающей среды в границах городского округа</t>
  </si>
  <si>
    <t>07 1 03 00000</t>
  </si>
  <si>
    <t>Основное мероприятие "Вовлечение населения в экологические мероприятия"</t>
  </si>
  <si>
    <t>07 1 00 00000</t>
  </si>
  <si>
    <t>Подпрограмма "Охрана окружающей среды"</t>
  </si>
  <si>
    <t>07 0 00 00000</t>
  </si>
  <si>
    <t>Муниципальная программа "Экология и окружающая среда"</t>
  </si>
  <si>
    <t>Охрана объектов растительного и животного мира и среды их обитания</t>
  </si>
  <si>
    <t>ОХРАНА ОКРУЖАЮЩЕЙ СРЕДЫ</t>
  </si>
  <si>
    <t>12 5 01 0609Ф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</si>
  <si>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МКУ "ТУ "Федоскино"</t>
  </si>
  <si>
    <t>12 5 01 0609П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</si>
  <si>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самоуправления.Расходы на МКУ "ТУ "Пироговский"</t>
  </si>
  <si>
    <t>12 5 01 0609М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</si>
  <si>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самоуправления.Расходы на МКУ "ТУ "Мытищинское"</t>
  </si>
  <si>
    <t>12 5 01 0609К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</si>
  <si>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МКУ "УКС ЖКХ"</t>
  </si>
  <si>
    <t>330</t>
  </si>
  <si>
    <t>12 5 01 01100</t>
  </si>
  <si>
    <t>Публичные нормативные выплаты гражданам несоциального характера</t>
  </si>
  <si>
    <t>Материально-техническое и организационное обеспечение деятельности старосты сельского населенного пункта</t>
  </si>
  <si>
    <t>10 8 01 62670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</si>
  <si>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</si>
  <si>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10 8 01 00000</t>
  </si>
  <si>
    <t>10 8 00 00000</t>
  </si>
  <si>
    <t>10 0 00 00000</t>
  </si>
  <si>
    <t>Муниципальная программа "Развитие инженерной инфраструктуры и энергоэффективности"</t>
  </si>
  <si>
    <t>Другие вопросы в области жилищно-коммунального хозяйства</t>
  </si>
  <si>
    <t>17 2 01 0624Ф</t>
  </si>
  <si>
    <t>Расходы на обеспечение деятельности (оказание услуг) муниципальных учреждений в сфере благоустройства. Расходы на МКУ "ТУ "Федоскино"</t>
  </si>
  <si>
    <t>17 2 01 0624П</t>
  </si>
  <si>
    <t>Расходы на обеспечение деятельности (оказание услуг) муниципальных учреждений в сфере благоустройства. Расходы на МКУ "ТУ "Пироговский"</t>
  </si>
  <si>
    <t>17 2 01 0624Л</t>
  </si>
  <si>
    <t>17 2 01 0624Ж</t>
  </si>
  <si>
    <t>Расходы на обеспечение деятельности (оказание услуг) муниципальных учреждений в сфере благоустройства. Расходы на МБУ "ЖЭУ"</t>
  </si>
  <si>
    <t>17 2 01 0624Г</t>
  </si>
  <si>
    <t>Расходы на обеспечение деятельности (оказание услуг) муниципальных учреждений в сфере благоустройства. Расходы на МБУ "Гаражавтострой"</t>
  </si>
  <si>
    <t>17 2 01 0624Z</t>
  </si>
  <si>
    <t>17 2 01 0624W</t>
  </si>
  <si>
    <t>17 2 01 0624L</t>
  </si>
  <si>
    <t>17 2 01 0063К</t>
  </si>
  <si>
    <t>Организация благоустройства территории городского округа в части ремонта асфальтового покрытия дворовых территорий. Расходы на МКУ "УКС "ЖКХ"</t>
  </si>
  <si>
    <t>17 2 01 0062М</t>
  </si>
  <si>
    <t>Организация благоустройства территории городского округа. Расходы на МКУ "ТУ "Мытищинское"</t>
  </si>
  <si>
    <t>17 2 01 0062К</t>
  </si>
  <si>
    <t>Организация благоустройства территории городского округа. Расходы на МКУ "УКС "ЖКХ"</t>
  </si>
  <si>
    <t>17 2 01 0062Г</t>
  </si>
  <si>
    <t>Организация благоустройства территории городского округа. Расходы на МБУ "Гаражавтострой"</t>
  </si>
  <si>
    <t>17 2 01 0062Z</t>
  </si>
  <si>
    <t>Организация благоустройства территории городского округа. Расходы на МКУ "ТУ "Федоскино"</t>
  </si>
  <si>
    <t>17 2 01 0062W</t>
  </si>
  <si>
    <t>Организация благоустройства территории городского округа. Расходы на МКУ "ТУ "Пироговский"</t>
  </si>
  <si>
    <t>17 2 01 0062L</t>
  </si>
  <si>
    <t>17 2 01 00000</t>
  </si>
  <si>
    <t>Основное мероприятие "Обеспечение комфортной среды проживания на территории муниципального образования"</t>
  </si>
  <si>
    <t>17 2 00 00000</t>
  </si>
  <si>
    <t>Подпрограмма "Благоустройство территорий"</t>
  </si>
  <si>
    <t>17 1 F2 S136L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</si>
  <si>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</si>
  <si>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</si>
  <si>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17 1 F2 00000</t>
  </si>
  <si>
    <t>Федеральный проект "Формирование комфортной городской среды"</t>
  </si>
  <si>
    <t>17 1 01 7135К</t>
  </si>
  <si>
    <t>Комплексное благоустройство территорий за счет средств местного бюджета. Расходы на МКУ УКС ЖКХ</t>
  </si>
  <si>
    <t>17 1 01 00000</t>
  </si>
  <si>
    <t>Основное мероприятие "Благоустройство общественных территорий муниципальных образований Московской области"</t>
  </si>
  <si>
    <t>17 1 00 00000</t>
  </si>
  <si>
    <t>Подпрограмма "Комфортная городская среда"</t>
  </si>
  <si>
    <t>17 0 00 00000</t>
  </si>
  <si>
    <t>Муниципальная программа "Формирование современной комфортной городской среды"</t>
  </si>
  <si>
    <t>16 2 04 01210</t>
  </si>
  <si>
    <t>Ликвидация самовольных, недостроенных и аварийных объектов на территории муниципального образования</t>
  </si>
  <si>
    <t>16 2 04 00000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</si>
  <si>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образования"</t>
  </si>
  <si>
    <t>16 2 00 00000</t>
  </si>
  <si>
    <t>Подпрограмма "Реализация политики пространственного развития"</t>
  </si>
  <si>
    <t>16 0 00 00000</t>
  </si>
  <si>
    <t>Муниципальная программа "Архитектура и градостроительство"</t>
  </si>
  <si>
    <t>08 1 07 0059Р</t>
  </si>
  <si>
    <t>08 1 07 0059S</t>
  </si>
  <si>
    <t>08 1 07 0048Р</t>
  </si>
  <si>
    <t>08 1 07 00000</t>
  </si>
  <si>
    <t>08 1 06 7282Р</t>
  </si>
  <si>
    <t>08 1 06 00000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</si>
  <si>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</si>
  <si>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08 1 00 00000</t>
  </si>
  <si>
    <t>Подпрограмма "Профилактика преступлений и иных правонарушений"</t>
  </si>
  <si>
    <t>08 0 00 00000</t>
  </si>
  <si>
    <t>Муниципальная программа "Безопасность и обеспечение безопасности жизнедеятельности населения"</t>
  </si>
  <si>
    <t>07 1 01 0037Ф</t>
  </si>
  <si>
    <t>Организация мероприятий по охране окружающей среды в границах городского округа. Расходы на МКУ "ТУ "Федоскино"</t>
  </si>
  <si>
    <t>07 1 01 0037М</t>
  </si>
  <si>
    <t>Организация мероприятий по охране окружающей среды в границах городского округа. Расходы на МКУ "ТУ "Мытищинское"</t>
  </si>
  <si>
    <t>07 1 01 0037Л</t>
  </si>
  <si>
    <t>07 1 01 0037Z</t>
  </si>
  <si>
    <t>07 1 01 0037W</t>
  </si>
  <si>
    <t>Организация мероприятий по охране окружающей среды в границах городского округа. Расходы на МКУ "ТУ "Пироговский"</t>
  </si>
  <si>
    <t>07 1 01 00000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</si>
  <si>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</si>
  <si>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Благоустройство</t>
  </si>
  <si>
    <t>17 3 02 01260</t>
  </si>
  <si>
    <t>Проведение капитального ремонта многоквартирных домов</t>
  </si>
  <si>
    <t>17 3 02 00000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</si>
  <si>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</si>
  <si>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17 3 00 00000</t>
  </si>
  <si>
    <t>Подпрограмма "Создание условий для обеспечения комфортного проживания жителей в многоквартирных домах"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</si>
  <si>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"ТУ "Федоскино"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</si>
  <si>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"ТУ "Мытищинское"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</si>
  <si>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"ТУ "Пироговский"</t>
  </si>
  <si>
    <t>10 1 00 00000</t>
  </si>
  <si>
    <t>Подпрограмма "Чистая вода"</t>
  </si>
  <si>
    <t>Коммунальное хозяйство</t>
  </si>
  <si>
    <t>17 3 02 0126Ж</t>
  </si>
  <si>
    <t>Проведение капитального ремонта многоквартирных домов. Расходы на МБУ "ЖЭУ"</t>
  </si>
  <si>
    <t>17 3 01 S0950</t>
  </si>
  <si>
    <t>Ремонт подъездов в многоквартирных домах</t>
  </si>
  <si>
    <t>17 3 01 00000</t>
  </si>
  <si>
    <t>Основное мероприятие "Приведение в надлежащее состояние подъездов в многоквартирных домах"</t>
  </si>
  <si>
    <t>12 1 02 00180</t>
  </si>
  <si>
    <t>Взносы на капитальный ремонт общего имущества многоквартирных домов</t>
  </si>
  <si>
    <t>12 1 02 0017Ж</t>
  </si>
  <si>
    <t>Владение, пользование и распоряжение имуществом, находящимся в муниципальной собственности городского округа. Расходы на МБУ ЖЭУ</t>
  </si>
  <si>
    <t>12 1 02 00000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</si>
  <si>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</si>
  <si>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12 1 00 00000</t>
  </si>
  <si>
    <t>Подпрограмма "Развитие имущественного комплекса"</t>
  </si>
  <si>
    <t>10 8 01 0622Ж</t>
  </si>
  <si>
    <t>Расходы на обеспечение деятельности (оказание услуг) муниципальных учреждений в сфере жилищно-коммунального хозяйства. Расходы на МБУ "ЖЭУ"</t>
  </si>
  <si>
    <t>Жилищное хозяйство</t>
  </si>
  <si>
    <t>ЖИЛИЩНО-КОММУНАЛЬНОЕ ХОЗЯЙСТВО</t>
  </si>
  <si>
    <t>16 2 03 60700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</si>
  <si>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</si>
  <si>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</si>
  <si>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самоуправления"</t>
  </si>
  <si>
    <t>13 6 01 00860</t>
  </si>
  <si>
    <t>Создание условий для развития туризма</t>
  </si>
  <si>
    <t>13 6 01 00000</t>
  </si>
  <si>
    <t>Основное мероприятие "Развитие рынка туристских услуг, развитие внутреннего и въездного туризма"</t>
  </si>
  <si>
    <t>13 6 00 00000</t>
  </si>
  <si>
    <t>Подпрограмма "Развитие туризма в Московской области"</t>
  </si>
  <si>
    <t>11 3 02 00750</t>
  </si>
  <si>
    <t>Содействие развитию малого и среднего предпринимательства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</si>
  <si>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</si>
  <si>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</si>
  <si>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11 3 00 00000</t>
  </si>
  <si>
    <t>Подпрограмма "Развитие малого и среднего предпринимательства"</t>
  </si>
  <si>
    <t>08 1 06 6282Р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</si>
  <si>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экспертизы. Расходы на МКУ "Централизованная ритуальная служба городского округа Мытищи"</t>
  </si>
  <si>
    <t>Другие вопросы в области национальной экономики</t>
  </si>
  <si>
    <t>15 2 D6 S0940</t>
  </si>
  <si>
    <t>Предоставление доступа к электронным сервисам цифровой инфраструктуры в сфере жилищно-коммунального хозяйства</t>
  </si>
  <si>
    <t>15 2 D6 00000</t>
  </si>
  <si>
    <t>Федеральный проект "Цифровое государственное управление"</t>
  </si>
  <si>
    <t>15 2 03 0117Д</t>
  </si>
  <si>
    <t>15 2 03 01170</t>
  </si>
  <si>
    <t>Цифровое государственное управление</t>
  </si>
  <si>
    <t>15 2 03 00000</t>
  </si>
  <si>
    <t>Основное мероприятие "Цифровое государственное управление"</t>
  </si>
  <si>
    <t>15 2 02 01160</t>
  </si>
  <si>
    <t>Информационная безопасность</t>
  </si>
  <si>
    <t>15 2 02 00000</t>
  </si>
  <si>
    <t>Основное мероприятие "Информационная безопасность"</t>
  </si>
  <si>
    <t>15 2 01 01150</t>
  </si>
  <si>
    <t>Развитие информационной инфраструктуры</t>
  </si>
  <si>
    <t>14 2 05 S024М</t>
  </si>
  <si>
    <t>Софинансирование работ по капитальному ремонту и ремонту автомобильных дорог общего пользования местного значения. Расходы на МКУ "ТУ "Мытищинское"</t>
  </si>
  <si>
    <t>14 2 05 S024К</t>
  </si>
  <si>
    <t>Софинансирование работ по капитальному ремонту и ремонту автомобильных дорог общего пользования местного значения. Расходы на МКУ "УКС "ЖКХ"</t>
  </si>
  <si>
    <t>14 2 05 S024W</t>
  </si>
  <si>
    <t>Софинансирование работ по капитальному ремонту и ремонту автомобильных дорог общего пользования местного значения. Расходы на МКУ "ТУ "Пироговский"</t>
  </si>
  <si>
    <t>14 2 05 0022Г</t>
  </si>
  <si>
    <t>Создание и обеспечение функционирования парковок (парковочных мест). Расходы на МБУ "Гаражавтострой"</t>
  </si>
  <si>
    <t>14 2 05 0021М</t>
  </si>
  <si>
    <t>Мероприятия по обеспечению безопасности дорожного движения. Расходы на МКУ "ТУ "Мытищинское"</t>
  </si>
  <si>
    <t>14 2 05 0021Л</t>
  </si>
  <si>
    <t>14 2 05 0021К</t>
  </si>
  <si>
    <t>Мероприятия по обеспечению безопасности дорожного движения. Расходы на МКУ "УКС "ЖКХ"</t>
  </si>
  <si>
    <t>14 2 05 0021Z</t>
  </si>
  <si>
    <t>Мероприятия по обеспечению безопасности дорожного движения. Расходы на МКУ "ТУ "Федоскино"</t>
  </si>
  <si>
    <t>14 2 05 0021W</t>
  </si>
  <si>
    <t>Мероприятия по обеспечению безопасности дорожного движения. Расходы на МКУ "ТУ "Пироговский"</t>
  </si>
  <si>
    <t>14 2 05 0020Ф</t>
  </si>
  <si>
    <t>Дорожная деятельность в отношении автомобильных дорог местного значения в границах городского округа. Расходы на МКУ "ТУ "Федоскино"</t>
  </si>
  <si>
    <t>14 2 05 0020М</t>
  </si>
  <si>
    <t>Дорожная деятельность в отношении автомобильных дорог местного значения в границах городского округа. Расходы на МКУ "ТУ "Мытищинское"</t>
  </si>
  <si>
    <t>14 2 05 0020Л</t>
  </si>
  <si>
    <t>14 2 05 0020К</t>
  </si>
  <si>
    <t>Дорожная деятельность в отношении автомобильных дорог местного значения в границах городского округа.Расходы на МКУ "УКС "ЖКХ"</t>
  </si>
  <si>
    <t>14 2 05 0020Г</t>
  </si>
  <si>
    <t>Дорожная деятельность в отношении автомобильных дорог местного значения в границах городского округа. Расходы на МБУ "Гаражавтострой"</t>
  </si>
  <si>
    <t>14 2 05 0020В</t>
  </si>
  <si>
    <t>Дорожная деятельность в отношении автомобильных дорог местного значения в границах городского округа. Расходы на МКУ "Водосток"</t>
  </si>
  <si>
    <t>14 2 05 0020Z</t>
  </si>
  <si>
    <t>14 2 05 0020W</t>
  </si>
  <si>
    <t>Дорожная деятельность в отношении автомобильных дорог местного значения в границах городского округа. Расходы на МКУ "ТУ "Пироговский"</t>
  </si>
  <si>
    <t>14 2 05 00000</t>
  </si>
  <si>
    <t>Основное мероприятие "Ремонт, капитальный ремонт сети автомобильных дорог, мостов и путепроводов местного значения"</t>
  </si>
  <si>
    <t>14 2 00 00000</t>
  </si>
  <si>
    <t>Подпрограмма "Дороги Подмосковья"</t>
  </si>
  <si>
    <t>14 0 00 00000</t>
  </si>
  <si>
    <t>Муниципальная программа "Развитие и функционирование дорожно-транспортного комплекса"</t>
  </si>
  <si>
    <t>04 2 02 7156К</t>
  </si>
  <si>
    <t>04 2 02 7156Г</t>
  </si>
  <si>
    <t>Дорожное хозяйство (дорожные фонды)</t>
  </si>
  <si>
    <t>14 1 02 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</si>
  <si>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</si>
  <si>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14 1 02 71570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</si>
  <si>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</si>
  <si>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14 1 02 00280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</si>
  <si>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</si>
  <si>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14 1 02 00000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</si>
  <si>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</si>
  <si>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14 1 00 00000</t>
  </si>
  <si>
    <t>Подпрограмма "Пассажирский транспорт общего пользования"</t>
  </si>
  <si>
    <t>Транспорт</t>
  </si>
  <si>
    <t>06 4 01 70870</t>
  </si>
  <si>
    <t>06 4 01 60870</t>
  </si>
  <si>
    <t>06 4 01 00000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</si>
  <si>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</si>
  <si>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06 4 00 00000</t>
  </si>
  <si>
    <t>Подпрограмма "Обеспечение эпизоотического и ветеринарно-санитарного благополучия"</t>
  </si>
  <si>
    <t>06 2 01 01280</t>
  </si>
  <si>
    <t>Проведение мероприятий по комплексной борьбе с борщевиком Сосновского</t>
  </si>
  <si>
    <t>06 2 01 00000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</si>
  <si>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</si>
  <si>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06 2 00 00000</t>
  </si>
  <si>
    <t>Подпрограмма "Развитие мелиорации земель сельскохозяйственного назначения"</t>
  </si>
  <si>
    <t>06 0 00 00000</t>
  </si>
  <si>
    <t>Муниципальная программа "Развитие сельского хозяйства"</t>
  </si>
  <si>
    <t>Сельское хозяйство и рыболовство</t>
  </si>
  <si>
    <t>13 4 01 0077Ц</t>
  </si>
  <si>
    <t>Организация и осуществление мероприятий по работе с детьми и молодежью в городском округе. Расходы на МБУ "МФЦ"</t>
  </si>
  <si>
    <t>13 4 01 0077L</t>
  </si>
  <si>
    <t>08 1 04 0090Т</t>
  </si>
  <si>
    <t>14</t>
  </si>
  <si>
    <t>08 1 04 00900</t>
  </si>
  <si>
    <t>Осуществление мероприятий в сфере профилактики правонарушений</t>
  </si>
  <si>
    <t>08 1 04 00000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</si>
  <si>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</si>
  <si>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03 0098Т</t>
  </si>
  <si>
    <t>Реализация мероприятий по обеспечению общественного порядка и общественной безопасности. Расходы на МАУ "ТВ Мытищи"</t>
  </si>
  <si>
    <t>08 1 03 00000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</si>
  <si>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</si>
  <si>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08 1 01 0032Т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</si>
  <si>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угроз. Расходы на МАУ "ТВ Мытищи"</t>
  </si>
  <si>
    <t>08 1 01 0032Z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</si>
  <si>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угроз. Расходы на МКУ "ТУ "Федоскино"</t>
  </si>
  <si>
    <t>08 1 01 0032W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</si>
  <si>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угроз. Расходы на МКУ "ТУ "Пироговский"</t>
  </si>
  <si>
    <t>08 1 01 0032L</t>
  </si>
  <si>
    <t>08 1 01 00320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</si>
  <si>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</si>
  <si>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08 1 01 00000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</si>
  <si>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</si>
  <si>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Другие вопросы в области национальной безопасности и правоохранительной деятельности</t>
  </si>
  <si>
    <t>08 6 01 0102Е</t>
  </si>
  <si>
    <t>08 6 01 00000</t>
  </si>
  <si>
    <t>08 6 00 00000</t>
  </si>
  <si>
    <t>08 5 01 00700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</si>
  <si>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</si>
  <si>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</si>
  <si>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</si>
  <si>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08 5 00 00000</t>
  </si>
  <si>
    <t>Подпрограмма "Обеспечение мероприятий гражданской обороны"</t>
  </si>
  <si>
    <t>08 4 01 0036Ф</t>
  </si>
  <si>
    <t>08 4 01 0036Т</t>
  </si>
  <si>
    <t>Обеспечение первичных мер пожарной безопасности в границах городского округа. Расходы на МАУ "ТВ Мытищи"</t>
  </si>
  <si>
    <t>08 4 01 0036W</t>
  </si>
  <si>
    <t>Обеспечение первичных мер пожарной безопасности в границах городского округа. Расходы на МКУ "ТУ "Пироговский"</t>
  </si>
  <si>
    <t>08 4 01 00000</t>
  </si>
  <si>
    <t>Основное мероприятие "Повышение степени пожарной безопасности"</t>
  </si>
  <si>
    <t>08 4 00 00000</t>
  </si>
  <si>
    <t>Подпрограмма "Обеспечение пожарной безопасности"</t>
  </si>
  <si>
    <t>08 3 01 00690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</si>
  <si>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</si>
  <si>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</si>
  <si>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</si>
  <si>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08 3 00 00000</t>
  </si>
  <si>
    <t>Подпрограмма "Развитие и совершенствование систем оповещения и информирования населения Московской области"</t>
  </si>
  <si>
    <t>08 2 02 0073L</t>
  </si>
  <si>
    <t>08 2 02 00000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</si>
  <si>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</si>
  <si>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08 2 01 00340</t>
  </si>
  <si>
    <t>Участие в предупреждении и ликвидации последствий чрезвычайных ситуаций в границах городского округа</t>
  </si>
  <si>
    <t>08 2 01 00000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</si>
  <si>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</si>
  <si>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08 2 00 00000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</si>
  <si>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</si>
  <si>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</si>
  <si>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</si>
  <si>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13 5 04 51200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</si>
  <si>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</si>
  <si>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</si>
  <si>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</si>
  <si>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13 5 00 00000</t>
  </si>
  <si>
    <t>15 1 03 00000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</si>
  <si>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</si>
  <si>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02 0619Ц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</si>
  <si>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услуг. 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</si>
  <si>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</si>
  <si>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</si>
  <si>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</si>
  <si>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</si>
  <si>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13 5 06 54690</t>
  </si>
  <si>
    <t>Проведение Всероссийской переписи населения 2020 года</t>
  </si>
  <si>
    <t>13 5 06 00000</t>
  </si>
  <si>
    <t>Основное мероприятие "Подготовка и проведение Всероссийской переписи населения"</t>
  </si>
  <si>
    <t>12 5 01 0609Н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</si>
  <si>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МКУ Управление в сфере закупок для муниципальных нужд</t>
  </si>
  <si>
    <t>12 5 01 0609А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</si>
  <si>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 Расходы на МКУ "УДОМС"</t>
  </si>
  <si>
    <t>12 5 01 00870</t>
  </si>
  <si>
    <t>Взносы в общественные организации</t>
  </si>
  <si>
    <t>12 1 07 00130</t>
  </si>
  <si>
    <t>Обеспечение деятельности органов местного самоуправления</t>
  </si>
  <si>
    <t>12 1 07 00000</t>
  </si>
  <si>
    <t>12 1 02 0017С</t>
  </si>
  <si>
    <t>Владение, пользование и распоряжение имуществом, находящимся в муниципальной собственности городского округа. Расходы на УГИО</t>
  </si>
  <si>
    <t>870</t>
  </si>
  <si>
    <t>99 0 00 00070</t>
  </si>
  <si>
    <t>Резервные средства</t>
  </si>
  <si>
    <t>Резервный фонд на предупреждение и ликвидацию чрезвычайных ситуаций и последствий стихийных бедствий</t>
  </si>
  <si>
    <t>99 0 00 00060</t>
  </si>
  <si>
    <t>Резервный фонд администрации</t>
  </si>
  <si>
    <t>Резервные фонды</t>
  </si>
  <si>
    <t>12 1 03 60830</t>
  </si>
  <si>
    <t>Осуществление государственных полномочий Московской области в области земельных отношений</t>
  </si>
  <si>
    <t>12 1 03 00000</t>
  </si>
  <si>
    <t>Основное мероприятие "Создание условий для реализации государственных полномочий в области земельных отношений"</t>
  </si>
  <si>
    <t>09 1 07 60710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</si>
  <si>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</si>
  <si>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09 1 07 00000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</si>
  <si>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</si>
  <si>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09 1 00 00000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</si>
  <si>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</si>
  <si>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04 1 03 61420</t>
  </si>
  <si>
    <t>Обеспечение предоставления гражданам субсидий на оплату жилого помещения и коммунальных услуг</t>
  </si>
  <si>
    <t>03 2 03 60680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</si>
  <si>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</si>
  <si>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02 7 02 70690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</si>
  <si>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 за счет средств местного бюджета</t>
  </si>
  <si>
    <t>02 7 02 60690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</si>
  <si>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</si>
  <si>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</si>
  <si>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</si>
  <si>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02 7 01 06160</t>
  </si>
  <si>
    <t>Расходы на обеспечение деятельности (оказание услуг) муниципальных архивов</t>
  </si>
  <si>
    <t>02 7 01 00000</t>
  </si>
  <si>
    <t>Основное мероприятие "Хранение, комплектование, учет и использование архивных документов в муниципальных архивах"</t>
  </si>
  <si>
    <t>02 7 00 00000</t>
  </si>
  <si>
    <t>Подпрограмма "Развитие архивного дела"</t>
  </si>
  <si>
    <t>12 5 01 00110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</si>
  <si>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</si>
  <si>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</si>
  <si>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КВР</t>
  </si>
  <si>
    <t>КЦСР</t>
  </si>
  <si>
    <t>ПР</t>
  </si>
  <si>
    <t>РЗ</t>
  </si>
  <si>
    <t>Глава</t>
  </si>
  <si>
    <t>Наименование КБК</t>
  </si>
  <si>
    <t>Приложение № 3</t>
  </si>
  <si>
    <t>Ведомственная структура расходов бюджета городского округа Мытищи на 2020 год</t>
  </si>
  <si>
    <t>*Публичные нормативные обязательства:</t>
  </si>
  <si>
    <t xml:space="preserve"> (тыс. рублей)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</si>
  <si>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</si>
  <si>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10 1 02 00000</t>
  </si>
  <si>
    <t>Приложение № 4</t>
  </si>
  <si>
    <t xml:space="preserve">Ведомственная структура расходов бюджета городского округа Мытищи  на плановый период  2021 и 2022 годов  </t>
  </si>
  <si>
    <t>Подпрограмма "Развитие отраслей сельского хозяйства"</t>
  </si>
  <si>
    <t>06 1 00 00000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</si>
  <si>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продовольствии"</t>
  </si>
  <si>
    <t>06 1 08 00000</t>
  </si>
  <si>
    <t>Развитие приоритетных отраслей агропромышленного комплекса</t>
  </si>
  <si>
    <t>06 1 08 00740</t>
  </si>
  <si>
    <t>Создание новых и (или) благоустройство существующих парков культуры и отдыха. Расходы на МКУ "УКС ЖКХ" (софинансирование субсидии)</t>
  </si>
  <si>
    <t>17 1 F2 S007К</t>
  </si>
  <si>
    <t>03 2 E1 00000</t>
  </si>
  <si>
    <t>Основное мероприятие "Дополнительные меры социальной поддержки и социальной помощи гражданам"</t>
  </si>
  <si>
    <t>04 1 19 00000</t>
  </si>
  <si>
    <t>Дополнительные меры социальной поддержки и социальной помощи гражданам</t>
  </si>
  <si>
    <t>04 1 19 00920</t>
  </si>
  <si>
    <t>Подпрограмма "Улучшение жилищных условий отдельных категорий многодетных семей"</t>
  </si>
  <si>
    <t>09 7 00 00000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</si>
  <si>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</si>
  <si>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09 7 01 00000</t>
  </si>
  <si>
    <t>Реализация мероприятий по улучшению жилищных условий многодетных семей</t>
  </si>
  <si>
    <t>09 7 01 S0190</t>
  </si>
  <si>
    <t>Подпрограмма "Обеспечение жильем отдельных категорий граждан, установленных федеральным законодательством"</t>
  </si>
  <si>
    <t>09 8 00 00000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</si>
  <si>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</si>
  <si>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09 8 02 00000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</si>
  <si>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</si>
  <si>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09 8 02 51350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</si>
  <si>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</si>
  <si>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09 8 02 51760</t>
  </si>
  <si>
    <t>Основное мероприятие "Проведение социально значимых мероприятий"</t>
  </si>
  <si>
    <t>04 1 10 00000</t>
  </si>
  <si>
    <t>Иные расходы в области социальной политики</t>
  </si>
  <si>
    <t>04 1 10 00930</t>
  </si>
  <si>
    <t>Подпрограмма "Строительство (реконструкция) объектов физической культуры и спорта"</t>
  </si>
  <si>
    <t>18 5 00 00000</t>
  </si>
  <si>
    <t>Основное мероприятие "Организация строительства (реконструкции) объектов физической культуры и спорта"</t>
  </si>
  <si>
    <t>18 5 01 00000</t>
  </si>
  <si>
    <t>Создание и развитие объектов физкультуры и спорта (включая реконструкцию со строительством пристроек)</t>
  </si>
  <si>
    <t>18 5 01 00540</t>
  </si>
  <si>
    <t>Федеральный проект "Информационная инфраструктура"</t>
  </si>
  <si>
    <t>15 2 D2 00000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</si>
  <si>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 за счет средств местного бюджета</t>
  </si>
  <si>
    <t>15 2 D2 70600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</si>
  <si>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</si>
  <si>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03 2 E1 51690</t>
  </si>
  <si>
    <t>Создание центров образования цифрового и гуманитарного профилей</t>
  </si>
  <si>
    <t>03 2 E1 62760</t>
  </si>
  <si>
    <t>03 3 A1 00000</t>
  </si>
  <si>
    <t>Всего</t>
  </si>
  <si>
    <t>в том числе за счет субвенций из бюджетов других уровней  для осуществления отдельных государственных полномочий</t>
  </si>
  <si>
    <t xml:space="preserve"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2020 год </t>
  </si>
  <si>
    <t>Приложение № 11</t>
  </si>
  <si>
    <t xml:space="preserve"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плановый период 2021 и 2022 годов </t>
  </si>
  <si>
    <t>Приложение № 12</t>
  </si>
  <si>
    <t>(тыс. рублей)</t>
  </si>
  <si>
    <t>Приложение № 13</t>
  </si>
  <si>
    <t xml:space="preserve"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плановый период 2021 и 2022 годов </t>
  </si>
  <si>
    <t xml:space="preserve"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2020 год </t>
  </si>
  <si>
    <t xml:space="preserve"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бюджета. РАСХОДЫ НА МКУ "ЦЕНТРАЛИЗОВАННАЯ РИТУАЛЬНАЯ СЛУЖБА ГОРОДСКОГО ОКРУГА МЫТИЩИ" </t>
  </si>
  <si>
    <t>Обеспечение деятельности контрольно-счетной палаты. Заместитель председателя контрольно-счетной палаты.</t>
  </si>
  <si>
    <t>Председатель представительного органа местного самоуправления. Заместитель председателя представительного органа местного самоуправления.</t>
  </si>
  <si>
    <t>Доходы от оказания платных услуг и компенсации затрат государства</t>
  </si>
  <si>
    <t>КУЛЬТУРА, КИНЕМАТОГРАФИЯ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</si>
  <si>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</si>
  <si>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</si>
  <si>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</si>
  <si>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первичных мер пожарной безопасности в границах городского округа. Расходы на МКУ "ТУ ФЕДОСКИНО"</t>
  </si>
  <si>
    <t>Содержание и развитие муниципальных экстренных оперативных служб. Расходы на МКУ "Центр Гражданской Защиты ГОМ"</t>
  </si>
  <si>
    <t>Осуществление мероприятий в сфере профилактики правонарушений. Расходы на МАУ "ТВ Мытищи"</t>
  </si>
  <si>
    <t>Цифровое государственное управление. Расходы на МАУ ГИВЦ</t>
  </si>
  <si>
    <t>Организация ритуальных услуг. Расходы на МКУ "ЦРС ГОМ"</t>
  </si>
  <si>
    <t>Содержание мест захоронения. Расходы на МКУ "ЦРС ГОМ"</t>
  </si>
  <si>
    <t>Капитальные вложения в объекты государственной (муниципальной) собственности</t>
  </si>
  <si>
    <t>Молодежная политика</t>
  </si>
  <si>
    <t>Основное мероприятие "Обеспечение функций культурно-досуговых учреждений"</t>
  </si>
  <si>
    <t>02 4 05 00000</t>
  </si>
  <si>
    <t>02 4 05 06110</t>
  </si>
  <si>
    <t xml:space="preserve">Управление культуры администрации городского округа Мытищи </t>
  </si>
  <si>
    <t xml:space="preserve">Администрация городского округа Мытищи </t>
  </si>
  <si>
    <t xml:space="preserve">Совет депутатов городского округа Мытищи </t>
  </si>
  <si>
    <t xml:space="preserve">Контрольно-счетная палата городского округа Мытищи </t>
  </si>
  <si>
    <t xml:space="preserve"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бюджета.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</si>
  <si>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  Расходы на МКУ "Централизованная ритуальная служба городского округа Мытищи"</t>
  </si>
  <si>
    <t>Обеспечение первичных мер пожарной безопасности в границах городского округа. Расходы на МКУ "ТУ Федоскино"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</si>
  <si>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бюджета. Расходы на МКУ "ЦРС ГОМ"</t>
  </si>
  <si>
    <t xml:space="preserve"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бюджета. Расходы на МКУ "ЦРС ГОМ" </t>
  </si>
  <si>
    <t xml:space="preserve">  Приложение № 10</t>
  </si>
  <si>
    <t>Реализация программ формирования современной городской среды в части достижения основного результата по благоустройству общестенных территорий</t>
  </si>
  <si>
    <t>17 1 F2 55559</t>
  </si>
  <si>
    <t xml:space="preserve">Отклонение </t>
  </si>
  <si>
    <t xml:space="preserve">Уточненный план </t>
  </si>
  <si>
    <t>Всего по муниципальным программам городского округа Мытищи</t>
  </si>
  <si>
    <t>Итого непрограммных расходов</t>
  </si>
  <si>
    <t xml:space="preserve">План </t>
  </si>
  <si>
    <t>07 1 01 00370</t>
  </si>
  <si>
    <t>Целевые расходы за счет средств субвенций, субсидий и  иных межбюджетных трансфертов, передаваемых  в бюджет городского округа Мытищи 
в 2020 году</t>
  </si>
  <si>
    <t xml:space="preserve"> 2022 год</t>
  </si>
  <si>
    <t>Подпрограмма "Развитие лесного хозяйства"</t>
  </si>
  <si>
    <t>Основное мероприятие "Осуществление отдельных полномочий в области лесных отношений"</t>
  </si>
  <si>
    <t>Организация использования, охраны, защиты, воспроизводства городских лесов, лесов особо охраняемых природных территорий</t>
  </si>
  <si>
    <t>07 4 00 00000</t>
  </si>
  <si>
    <t>07 4 01 00000</t>
  </si>
  <si>
    <t>07 4 01 00640</t>
  </si>
  <si>
    <t>07 1 01 0037V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</si>
  <si>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</si>
  <si>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</si>
  <si>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бюджета. Расходы на МБУ Гаражавтострой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</si>
  <si>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бюджета. Расходы на МКУ "УКС "ЖКХ"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</si>
  <si>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МАУ "ТВ "Мытищи"</t>
  </si>
  <si>
    <t>12 5 01 0609Т</t>
  </si>
  <si>
    <t>15 1 02 S014Ц</t>
  </si>
  <si>
    <t>15 1 03 S086Ц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</si>
  <si>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услуг. 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</si>
  <si>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услуг. 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</si>
  <si>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Мероприятия в сфере культуры. Расходы на МАУ "ТВ "Мытищи"</t>
  </si>
  <si>
    <t>02 4 01 0050Т</t>
  </si>
  <si>
    <t xml:space="preserve"> - на реализацию мероприятий по обеспечению жильем молодых семей</t>
  </si>
  <si>
    <t>03 1 Р2 00000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</si>
  <si>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</si>
  <si>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</si>
  <si>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03 1 Р2 52530</t>
  </si>
  <si>
    <t>Иные расходы</t>
  </si>
  <si>
    <t>99 0 00 04000</t>
  </si>
  <si>
    <t xml:space="preserve"> -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</si>
  <si>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</si>
  <si>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Проектирование и строительство дошкольных образовательных организаций в целях синхронизации с жилой застройкой</t>
  </si>
  <si>
    <t>18 3 01 S4590</t>
  </si>
  <si>
    <t xml:space="preserve"> - на проектирование и строительство дошкольных образовательных организаций в целях синхронизации с жилой застройкой</t>
  </si>
  <si>
    <t>Мероприятия по проведению капитального ремонта в муниципальных общеобразовательных организациях в Московской области</t>
  </si>
  <si>
    <t>Исполнение судебных актов</t>
  </si>
  <si>
    <t>Оплата исполнительных листов, судебных издержек</t>
  </si>
  <si>
    <t>99 0 00 00080</t>
  </si>
  <si>
    <t>Строительство и реконструкция объектов водоснабжения за счет средств местного бюджета. Расходы на МКУ "УКС ЖКХ"</t>
  </si>
  <si>
    <t>10 1 02 7409К</t>
  </si>
  <si>
    <t>Мероприятия по проведению капитального ремонта в муниципальных общеобразовательных организациях за счет средств местного бюджета</t>
  </si>
  <si>
    <t>03 2 E1 72340</t>
  </si>
  <si>
    <t>18 3 E1 74480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</si>
  <si>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</si>
  <si>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Расходы на обеспечение деятельности (оказание услуг) муниципальных учреждений в сфере архитектуры и градостроительства.  Расходы на УГИО</t>
  </si>
  <si>
    <t>16 4 00 00000</t>
  </si>
  <si>
    <t>16 4 01 00000</t>
  </si>
  <si>
    <t>16 4 01 0601С</t>
  </si>
  <si>
    <t>10 8 01 0019W</t>
  </si>
  <si>
    <t>10 8 01 0019Z</t>
  </si>
  <si>
    <t>10 8 01 0019М</t>
  </si>
  <si>
    <t>10 8 01 0019Ф</t>
  </si>
  <si>
    <t>03 2 E1 S2340</t>
  </si>
  <si>
    <t>03 3 A1 S0480</t>
  </si>
  <si>
    <t>ДОХОДЫ БЮДЖЕТА ГОРОДСКОГО ОКРУГА МЫТИЩИ НА 2020 год</t>
  </si>
  <si>
    <t>Наименование доходов</t>
  </si>
  <si>
    <t>Утвержденный план</t>
  </si>
  <si>
    <t>Отклонения</t>
  </si>
  <si>
    <t>000 1 08 07150 01 1000 110</t>
  </si>
  <si>
    <t>000 1 17 05040 04 0002 180</t>
  </si>
  <si>
    <t>Выдача разрешений на размещение объектов без предоставления земельных участков и установления сервитутов, публичного сервитута</t>
  </si>
  <si>
    <t>000 1 18 00000 00 0000 000</t>
  </si>
  <si>
    <t>Поступления (перечисления) по урегулированию расчетов между бюджетами бюджетной системы Российской Федерации</t>
  </si>
  <si>
    <t>000 1 18 02400 04 0000 150</t>
  </si>
  <si>
    <t>000 2 07 04000 04 0000 180</t>
  </si>
  <si>
    <t>Прочие безвозмездные поступления в бюджеты городских округов</t>
  </si>
  <si>
    <t>000 2 18 00000 04 0000 150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</si>
  <si>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</si>
  <si>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1 11 05410 04 0000 120</t>
  </si>
  <si>
    <t>1 11 05420 04 0000 120</t>
  </si>
  <si>
    <t>1 11 05430 04 0000 120</t>
  </si>
  <si>
    <t>Средства от распоряжения и реализации выморочного и иного имущества, обращенного в доходы городских округов (в части реализации основных средств по указанному имуществу)</t>
  </si>
  <si>
    <t>Средства от распоряжения и реализации выморочного и иного имущества, обращенного в доходы городских округов (в части реализации материальных запасов по указанному имуществу)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</si>
  <si>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</si>
  <si>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1 16 10123 01 0000 140</t>
  </si>
  <si>
    <t>Доходы от денежных взысканий (штрафов), поступающие в счет погашения
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</si>
  <si>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1 17 05040 04 0002 180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</si>
  <si>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</si>
  <si>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</si>
  <si>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</si>
  <si>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2 02 25169 04 0000 150</t>
  </si>
  <si>
    <t>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</si>
  <si>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городских округов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</si>
  <si>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2 02 25253 04 0000 150</t>
  </si>
  <si>
    <t>Субсидии бюджетам городских округов на создание дополнительных мест для детей в возрасте от 1,5 до 3 лет любой направленности в организациях,
осуществляющих образовательную деятельность (за исключением государственных, муниципальных), и у индивидуальных предпринимателей,
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</si>
  <si>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</si>
  <si>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</si>
  <si>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городских округов на поддержку отрасли культуры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</si>
  <si>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</si>
  <si>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</si>
  <si>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Главное контрольное управление Московской области</t>
  </si>
  <si>
    <t>838</t>
  </si>
  <si>
    <t>Управление по обеспечению деятельности мировых судей Московской области</t>
  </si>
  <si>
    <t>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</si>
  <si>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</si>
  <si>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1 16 01153 01 9000 140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</si>
  <si>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</si>
  <si>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</si>
  <si>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</si>
  <si>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</si>
  <si>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</si>
  <si>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141</t>
  </si>
  <si>
    <t>Федеральная служба по надзору в сфере защиты прав потребителей и благополучия человека</t>
  </si>
  <si>
    <t>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</si>
  <si>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</si>
  <si>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1 16 10129 01 0000 140</t>
  </si>
  <si>
    <t>Доходы от денежных взысканий (штрафов), поступающие в счет погашения
задолженности, образовавшейся до 1 января 2020 года, подлежащие зачислению в федеральный бюджет и бюджет муниципального образования по нормативам,
действовавшим в 2019 году</t>
  </si>
  <si>
    <t>188</t>
  </si>
  <si>
    <t>Министерство внутренних дел Российской Федерации</t>
  </si>
  <si>
    <t>07 1 01 0037L</t>
  </si>
  <si>
    <t>16 4 01 00130</t>
  </si>
  <si>
    <t>Реализация мероприятий по организации функциональных зон в парках культуры и отдыха за счет средств местного бюджета. Расходы на МКУ УКС ЖКХ</t>
  </si>
  <si>
    <t>17 1 01 7164К</t>
  </si>
  <si>
    <t>Реализация мероприятий по организации функциональных зон в парках культуры и отдыха за счет средств местного бюджета. Расходы на МКУ "Пироговский"</t>
  </si>
  <si>
    <t>17 1 01 7164W</t>
  </si>
  <si>
    <t>08 4 01 0036М</t>
  </si>
  <si>
    <t>Обеспечение первичных мер пожарной безопасности в границах городского округа.Расходы на МКУ "ТУ "Мытищинское"</t>
  </si>
  <si>
    <t>Подпрограмма "Создание условий для обеспечения качественными коммунальными услугами"</t>
  </si>
  <si>
    <t>10 3 00 00000</t>
  </si>
  <si>
    <t>Основное мероприятие 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</si>
  <si>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10 3 05 00000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</si>
  <si>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"УКС ЖКХ"</t>
  </si>
  <si>
    <t>10 3 05 0019К</t>
  </si>
  <si>
    <t>Организация в границах городского округа электро-, тепло-, газо- и водоснабжения населения, водоотведения, снабжения населения топливом.  Расходы на УГИО</t>
  </si>
  <si>
    <t>10 3 05 0019С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</si>
  <si>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</si>
  <si>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</si>
  <si>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</si>
  <si>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08 1 05 00990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</si>
  <si>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</si>
  <si>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</si>
  <si>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Организация и осуществление мероприятий по работе с детьми и молодежью в городском округе. Расходы на МКУ "ТУ "Пироговский"</t>
  </si>
  <si>
    <t>13 4 01 0077W</t>
  </si>
  <si>
    <t>Организация и осуществление мероприятий по работе с детьми и молодежью в городском округе. Расходы на МКУ "ТУ "Федоскино"</t>
  </si>
  <si>
    <t>13 4 01 0077Z</t>
  </si>
  <si>
    <t>Организация и осуществление мероприятий по работе с детьми и молодежью в городском округе. Расходы на МКУ "УДОМС"</t>
  </si>
  <si>
    <t>13 4 01 0077А</t>
  </si>
  <si>
    <t>Организация и осуществление мероприятий по работе с детьми и молодежью в городском округе.Расходы на МКУ "ТУ "Мытищинское"</t>
  </si>
  <si>
    <t>13 4 01 0077М</t>
  </si>
  <si>
    <t>Организация и осуществление мероприятий по работе с детьми и молодежью в городском округе. Расходы на МКУ Управление в сфере закупок для муниципальных нужд</t>
  </si>
  <si>
    <t>13 4 01 0077Н</t>
  </si>
  <si>
    <t>Организация и осуществление мероприятий по работе с детьми и молодежью в городском округе. Расходы на МБУ "ЦКТ"</t>
  </si>
  <si>
    <t>13 4 01 0077У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</si>
  <si>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бюджета. Расходы на МКУ "ТУ "Мытищинское"</t>
  </si>
  <si>
    <t>14 2 05 7024М</t>
  </si>
  <si>
    <t>Создание и обеспечение функционирования парковок (парковочных мест). Расходы на МКУ "УКС "ЖКХ"</t>
  </si>
  <si>
    <t>14 2 05 0022К</t>
  </si>
  <si>
    <t xml:space="preserve">Осуществление мероприятий по обеспечению безопасности людей на водных объектах, охране их жизни и здоровья. Расходы на "Леспаркхоз" 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</si>
  <si>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угроз. Расходы на "Леспаркхоз"</t>
  </si>
  <si>
    <t>Организация и осуществление мероприятий по работе с детьми и молодежью в городском округе. Расходы на "Леспаркхоз"</t>
  </si>
  <si>
    <t>Дорожная деятельность в отношении автомобильных дорог местного значения в границах городского округа. Расходы на "Леспаркхоз"</t>
  </si>
  <si>
    <t>Мероприятия по обеспечению безопасности дорожного движения. Расходы на "Леспаркхоз"</t>
  </si>
  <si>
    <t>Организация мероприятий по охране окружающей среды в границах городского округа. Расходы на "Леспаркхоз"</t>
  </si>
  <si>
    <t>Приобретение коммунальной техники. Расходы на "Леспаркхоз"</t>
  </si>
  <si>
    <t>Организация благоустройства территории городского округа. Расходы на "Леспаркхоз"</t>
  </si>
  <si>
    <t>Расходы на обеспечение деятельности (оказание услуг) муниципальных учреждений в сфере благоустройства. Расходы на "Леспаркхоз"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</si>
  <si>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"Леспаркхоз"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</si>
  <si>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</si>
  <si>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</si>
  <si>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</si>
  <si>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</si>
  <si>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17 1 F2 S2580</t>
  </si>
  <si>
    <t>Устройство и капитальный ремонт архитектурно-художественного освещения в рамках реализации проекта "Светлый город"</t>
  </si>
  <si>
    <t xml:space="preserve"> - на устройство и капитальный ремонт архитектурно-художественного освещения в рамках реализации проекта "Светлый город"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</si>
  <si>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угроз. Расходы на "Леспаркхоз</t>
  </si>
  <si>
    <t xml:space="preserve">Осуществление мероприятий по обеспечению безопасности людей на водных объектах, охране их жизни и здоровья. РАСХОДЫ НА "Леспаркхоз 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</si>
  <si>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"Леспаркхоз</t>
  </si>
  <si>
    <t>Организация и осуществление мероприятий по работе с детьми и молодежью в городском округе. Расходы на "Леспаркхоз</t>
  </si>
  <si>
    <t>Дорожная деятельность в отношении автомобильных дорог местного значения в границах городского округа. Расходы на "Леспаркхоз</t>
  </si>
  <si>
    <t>Мероприятия по обеспечению безопасности дорожного движения. Расходы на "Леспаркхоз</t>
  </si>
  <si>
    <t>Приобретение коммунальной техники. Расходы на "Леспаркхоз</t>
  </si>
  <si>
    <t>Организация благоустройства территории городского округа. Расходы на "Леспаркхоз</t>
  </si>
  <si>
    <t>Расходы на обеспечение деятельности (оказание услуг) муниципальных учреждений в сфере благоустройства. Расходы на "Леспаркхоз</t>
  </si>
  <si>
    <t>Плата за публичный сервитут, предусмотренная решением уполномоченного
органа об установлении публичного сервитута в отношении земельных участков,
государственная собственность на которые не разграничена и которые расположены в границах городских округов и не предоставленных гражданам или
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</si>
  <si>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Плата за публичный сервитут, предусмотренная решением уполномоченного
органа об установлении публичного сервитута в отношении земельных участков,
находящихся в собственности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</si>
  <si>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Плата за публичный сервитут, предусмотренная решением уполномоченного
органа об установлении публичного сервитута в отношении земельных участков, которые расположены в границах городских округов,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</si>
  <si>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1 16 01084 01 0000 140</t>
  </si>
  <si>
    <t>009</t>
  </si>
  <si>
    <t>Министерство экологии и природопользования Московской области</t>
  </si>
  <si>
    <t>014</t>
  </si>
  <si>
    <t>Министерство образования Московской области</t>
  </si>
  <si>
    <t>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</si>
  <si>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</si>
  <si>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1 16 01053 01 0351 140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</si>
  <si>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</si>
  <si>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1 16 01063 01 9000 140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</si>
  <si>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</si>
  <si>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</si>
  <si>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</si>
  <si>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</si>
  <si>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</si>
  <si>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816</t>
  </si>
  <si>
    <t>Главное управление государственного административно-технического надзора Московской области</t>
  </si>
  <si>
    <t>1 16 01063 01 0101 140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</si>
  <si>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</si>
  <si>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1 16 01083 01 0028 140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</si>
  <si>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</si>
  <si>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</si>
  <si>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</si>
  <si>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1 16 01133 01 9000 140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</si>
  <si>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</si>
  <si>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1 16 01143 01 9000 140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</si>
  <si>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</si>
  <si>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1 16 01153 01 0003 140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</si>
  <si>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</si>
  <si>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</si>
  <si>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</si>
  <si>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1 16 01153 01 0006 140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</si>
  <si>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</si>
  <si>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</si>
  <si>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</si>
  <si>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</si>
  <si>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</si>
  <si>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</si>
  <si>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</si>
  <si>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</si>
  <si>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321</t>
  </si>
  <si>
    <t>Федеральная служба государственной регистрации, кадастра и картографии</t>
  </si>
  <si>
    <t>Сбор, удаление отходов и очистка сточных вод</t>
  </si>
  <si>
    <t>Подпрограмма "Системы водоотведения"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</si>
  <si>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</si>
  <si>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Строительство и реконструкция объектов очистки сточных вод. Расходы на МКУ УКС ЖКХ</t>
  </si>
  <si>
    <t>10 2 00 00000</t>
  </si>
  <si>
    <t>10 2 01 00000</t>
  </si>
  <si>
    <t>10 2 01 S402К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</si>
  <si>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</si>
  <si>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</si>
  <si>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 xml:space="preserve"> - на 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</si>
  <si>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 xml:space="preserve"> -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</si>
  <si>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</si>
  <si>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</si>
  <si>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 за счет средств местного бюджета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</si>
  <si>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</si>
  <si>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</si>
  <si>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</si>
  <si>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</si>
  <si>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на строительство и реконструкцию объектов очистки сточных вод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</si>
  <si>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области. 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услуг.</t>
  </si>
  <si>
    <t>15 1 02 S072Ц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</si>
  <si>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</si>
  <si>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Основное мероприятие "Создание условий для поддержания здорового образа жизни"</t>
  </si>
  <si>
    <t>04 1 20 00000</t>
  </si>
  <si>
    <t>Возмещение расходов на материально-техническое обеспечение клубов "Активное долголетие"</t>
  </si>
  <si>
    <t>04 1 20 62840</t>
  </si>
  <si>
    <t xml:space="preserve"> - на возмещение расходов на материально-техническое обеспечение клубов "Активное долголетие"</t>
  </si>
  <si>
    <t>Ремонт дворовых территорий. Расходы на МКУ "УКС ЖКХ"</t>
  </si>
  <si>
    <t>17 1 F2 S274К</t>
  </si>
  <si>
    <t xml:space="preserve"> - на ремонт дворовых территорий</t>
  </si>
  <si>
    <t>Проведение инвентаризации мест захоронений. Расходы на МКУ "Централизованная ритуальная служба городского округа Мытищи"</t>
  </si>
  <si>
    <t>08 1 07 0124Р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</si>
  <si>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</si>
  <si>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17 3 02 S2860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</si>
  <si>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</si>
  <si>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Подпрограмма "Эффективное местное самоуправление Московской области"</t>
  </si>
  <si>
    <t>13 3 00 00000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</si>
  <si>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</si>
  <si>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13 3 07 00000</t>
  </si>
  <si>
    <t>Реализация проектов граждан, сформированных в рамках практик инициативного бюджетирования.Расходы на МКУ "УКС ЖКХ"</t>
  </si>
  <si>
    <t>13 3 07 S305К</t>
  </si>
  <si>
    <t>Реализация проектов граждан, сформированных в рамках практик инициативного бюджетирования. Расходы на МКУ "ТУ "Мытищинское"</t>
  </si>
  <si>
    <t>13 3 07 S305М</t>
  </si>
  <si>
    <t>Реализация проектов граждан, сформированных в рамках практик инициативного бюджетирования</t>
  </si>
  <si>
    <t>13 3 07 S3050</t>
  </si>
  <si>
    <t>Основное мероприятие "Развитие похоронного дела на территории Московской области"</t>
  </si>
  <si>
    <t>Организация и проведение официальных физкультурно-оздоровительных и спортивных мероприятий</t>
  </si>
  <si>
    <t>14 2 05 7024К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</si>
  <si>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"УКС "ЖКХ"</t>
  </si>
  <si>
    <t>10 2 01 0019К</t>
  </si>
  <si>
    <t>Обустройство и установка детских игровых площадок на территории муниципальных образований Московской области за счет средств местного бюджета. Расходы на МКУ "УКС "ЖКХ"</t>
  </si>
  <si>
    <t>17 1 01 7158К</t>
  </si>
  <si>
    <t>Создание и развитие объектов физкультуры и спорта (включая реконструкцию со строительством пристроек). Расходы на МКУ "УКС "ЖКХ"</t>
  </si>
  <si>
    <t>18 5 01 0054К</t>
  </si>
  <si>
    <t>08 1 07 6282Р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</si>
  <si>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бюджета.  Расходы на МКУ "Централизованная ритуальная служба городского округа Мытищи"</t>
  </si>
  <si>
    <t>08 1 07 7282Р</t>
  </si>
  <si>
    <t>Благоустройство общественных территорий. Расходы на МКУ "Пироговский"</t>
  </si>
  <si>
    <t>17 1 01 0133W</t>
  </si>
  <si>
    <t>Благоустройство общественных территорий. Расходы на МКУ УКС ЖКХ</t>
  </si>
  <si>
    <t>17 1 01 0133К</t>
  </si>
  <si>
    <t>03 3 06 00000</t>
  </si>
  <si>
    <t>03 3 06 00940</t>
  </si>
  <si>
    <t>Обустройство и установка детских игровых площадок на территории муниципальных образований Московской области за счет средств местного бюджета.Расходы на МКУ "ТУ "Пироговский"</t>
  </si>
  <si>
    <t>17 1 01 7158W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</si>
  <si>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</si>
  <si>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06 1 10 00000</t>
  </si>
  <si>
    <t>06 1 10 00740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</si>
  <si>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</si>
  <si>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</si>
  <si>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</si>
  <si>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</si>
  <si>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</si>
  <si>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</si>
  <si>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</si>
  <si>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</si>
  <si>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</si>
  <si>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</si>
  <si>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</si>
  <si>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</si>
  <si>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</si>
  <si>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</si>
  <si>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</si>
  <si>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</si>
  <si>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</si>
  <si>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</si>
  <si>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000 1 16 01153 01 0000 140</t>
  </si>
  <si>
    <t>000 1 16 01154 01 0000 140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</si>
  <si>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</si>
  <si>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000 1 16 01183 01 0000 140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</si>
  <si>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</si>
  <si>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</si>
  <si>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</si>
  <si>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</si>
  <si>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000 1 16 07010 04 0000 140</t>
  </si>
  <si>
    <t>000 1 16 07090 04 0000 140</t>
  </si>
  <si>
    <t>000 1 16 10031 04 0000 140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</si>
  <si>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</si>
  <si>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</si>
  <si>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</si>
  <si>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</si>
  <si>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</si>
  <si>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</si>
  <si>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000 1 16 11064 01 0000 140</t>
  </si>
  <si>
    <t>2 02 25013 04 0000 150</t>
  </si>
  <si>
    <t>Субсидии бюджетам городских округов на сокращение доли загрязненных сточных вод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</si>
  <si>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</si>
  <si>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</si>
  <si>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2 02 35134 04 0000 150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</si>
  <si>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</si>
  <si>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</si>
  <si>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</si>
  <si>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</si>
  <si>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</si>
  <si>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1 16 01113 01 9000 140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</si>
  <si>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</si>
  <si>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1 16 01053 01 0027 140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</si>
  <si>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</si>
  <si>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1 16 01053 01 9000 140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</si>
  <si>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</si>
  <si>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</si>
  <si>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</si>
  <si>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</si>
  <si>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1 16 01193 01 0029 140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</si>
  <si>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</si>
  <si>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856</t>
  </si>
  <si>
    <t>Комитет лесного хозяйства Московской области</t>
  </si>
  <si>
    <t>1 16 11050 01 0000 140</t>
  </si>
  <si>
    <t>161</t>
  </si>
  <si>
    <t>Федеральная антимонопольная служба</t>
  </si>
  <si>
    <t>322</t>
  </si>
  <si>
    <t>Федеральная служба судебных приставов</t>
  </si>
  <si>
    <t>Подпрограмма "Энергосбережение и повышение энергетической эффективности"</t>
  </si>
  <si>
    <t>10 4 00 00000</t>
  </si>
  <si>
    <t>Основное мероприятие "Повышение энергетической эффективности муниципальных учреждений Московской области"</t>
  </si>
  <si>
    <t>10 4 01 00000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</si>
  <si>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УКС ЖКХ</t>
  </si>
  <si>
    <t>10 4 01 0019К</t>
  </si>
  <si>
    <t>Капитальные вложения в объекты общего образования за счет средств местного бюджета</t>
  </si>
  <si>
    <t>18 3 E1 74260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</si>
  <si>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бюджета. Расходы на МКУ "УКС ЖКХ"</t>
  </si>
  <si>
    <t>№ 15/1 от "20" 08. 2020г.</t>
  </si>
  <si>
    <t>№ 15/1 от 20.08.2020 г.</t>
  </si>
  <si>
    <t>№ 15/1 от " 20" 08. 2020 г.</t>
  </si>
  <si>
    <t>№ 15/1 от " 20" 08.2020 г.</t>
  </si>
  <si>
    <t>№15/1 от " 20" 08.2020 г.</t>
  </si>
  <si>
    <r>
      <t>№ 15/1 от " 20" 08.</t>
    </r>
    <r>
      <rPr>
        <sz val="10"/>
        <rFont val="Arial"/>
        <family val="2"/>
        <charset val="204"/>
      </rPr>
      <t>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</si>
</sst>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#,##0.0"/>
    <numFmt numFmtId="165" formatCode="#\ ###\ ##0.0"/>
    <numFmt numFmtId="166" formatCode="#,##0.0_ ;\-#,##0.0\ "/>
    <numFmt numFmtId="167" formatCode="0.0"/>
    <numFmt numFmtId="168" formatCode="#,##0.0\ ;[Red]\-#,##0.0"/>
    <numFmt numFmtId="169" formatCode="#,##0.0_ ;[Red]\-#,##0.0\ "/>
    <numFmt numFmtId="170" formatCode="#,##0.00_ ;[Red]\-#,##0.00_ "/>
    <numFmt numFmtId="171" formatCode="0.00_ ;\-0.00\ "/>
  </numFmts>
  <fonts count="78" x14ac:knownFonts="1">
    <font>
      <sz val="9"/>
      <name val="Arial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Times New Roman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i/>
      <sz val="7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8"/>
      <color indexed="58"/>
      <name val="Arial"/>
      <family val="2"/>
      <charset val="204"/>
    </font>
    <font>
      <b/>
      <sz val="10"/>
      <color indexed="58"/>
      <name val="Arial"/>
      <family val="2"/>
      <charset val="204"/>
    </font>
    <font>
      <b/>
      <sz val="11"/>
      <color indexed="58"/>
      <name val="Arial"/>
      <family val="2"/>
      <charset val="204"/>
    </font>
    <font>
      <sz val="8"/>
      <color indexed="58"/>
      <name val="Arial"/>
      <family val="2"/>
      <charset val="204"/>
    </font>
    <font>
      <sz val="9"/>
      <name val="Arial Cyr"/>
      <charset val="204"/>
    </font>
    <font>
      <i/>
      <sz val="7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9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9"/>
      <color rgb="FF00B05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808080"/>
      </left>
      <right style="thin">
        <color indexed="64"/>
      </right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</borders>
  <cellStyleXfs count="257">
    <xf numFmtId="0" fontId="0" fillId="0" borderId="0"/>
    <xf numFmtId="0" fontId="6" fillId="0" borderId="0"/>
    <xf numFmtId="0" fontId="6" fillId="0" borderId="0"/>
    <xf numFmtId="0" fontId="12" fillId="0" borderId="0"/>
    <xf numFmtId="43" fontId="3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" applyNumberFormat="0" applyAlignment="0" applyProtection="0"/>
    <xf numFmtId="0" fontId="28" fillId="0" borderId="10" applyNumberFormat="0" applyFill="0" applyAlignment="0" applyProtection="0"/>
    <xf numFmtId="0" fontId="29" fillId="22" borderId="0" applyNumberFormat="0" applyBorder="0" applyAlignment="0" applyProtection="0"/>
    <xf numFmtId="0" fontId="9" fillId="23" borderId="11" applyNumberFormat="0" applyFont="0" applyAlignment="0" applyProtection="0"/>
    <xf numFmtId="0" fontId="9" fillId="23" borderId="11" applyNumberFormat="0" applyFont="0" applyAlignment="0" applyProtection="0"/>
    <xf numFmtId="0" fontId="9" fillId="23" borderId="11" applyNumberFormat="0" applyFont="0" applyAlignment="0" applyProtection="0"/>
    <xf numFmtId="0" fontId="9" fillId="23" borderId="11" applyNumberFormat="0" applyFont="0" applyAlignment="0" applyProtection="0"/>
    <xf numFmtId="0" fontId="9" fillId="23" borderId="11" applyNumberFormat="0" applyFont="0" applyAlignment="0" applyProtection="0"/>
    <xf numFmtId="0" fontId="9" fillId="23" borderId="11" applyNumberFormat="0" applyFont="0" applyAlignment="0" applyProtection="0"/>
    <xf numFmtId="0" fontId="9" fillId="23" borderId="11" applyNumberFormat="0" applyFont="0" applyAlignment="0" applyProtection="0"/>
    <xf numFmtId="0" fontId="30" fillId="20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30" fillId="20" borderId="12" applyNumberFormat="0" applyAlignment="0" applyProtection="0"/>
    <xf numFmtId="0" fontId="30" fillId="20" borderId="12" applyNumberFormat="0" applyAlignment="0" applyProtection="0"/>
    <xf numFmtId="0" fontId="30" fillId="20" borderId="12" applyNumberFormat="0" applyAlignment="0" applyProtection="0"/>
    <xf numFmtId="0" fontId="30" fillId="20" borderId="12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21" fillId="21" borderId="6" applyNumberFormat="0" applyAlignment="0" applyProtection="0"/>
    <xf numFmtId="0" fontId="21" fillId="21" borderId="6" applyNumberFormat="0" applyAlignment="0" applyProtection="0"/>
    <xf numFmtId="0" fontId="21" fillId="21" borderId="6" applyNumberFormat="0" applyAlignment="0" applyProtection="0"/>
    <xf numFmtId="0" fontId="21" fillId="21" borderId="6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0" borderId="0"/>
    <xf numFmtId="0" fontId="9" fillId="0" borderId="0"/>
    <xf numFmtId="0" fontId="34" fillId="0" borderId="0"/>
    <xf numFmtId="0" fontId="35" fillId="0" borderId="0" applyBorder="0"/>
    <xf numFmtId="0" fontId="4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Border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11" applyNumberFormat="0" applyFont="0" applyAlignment="0" applyProtection="0"/>
    <xf numFmtId="0" fontId="6" fillId="23" borderId="11" applyNumberFormat="0" applyFont="0" applyAlignment="0" applyProtection="0"/>
    <xf numFmtId="0" fontId="6" fillId="23" borderId="11" applyNumberFormat="0" applyFont="0" applyAlignment="0" applyProtection="0"/>
    <xf numFmtId="0" fontId="6" fillId="23" borderId="11" applyNumberFormat="0" applyFont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606">
    <xf numFmtId="0" fontId="0" fillId="0" borderId="0" xfId="0"/>
    <xf numFmtId="0" fontId="5" fillId="0" borderId="0" xfId="0" applyFont="1" applyFill="1"/>
    <xf numFmtId="0" fontId="11" fillId="0" borderId="1" xfId="2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left" vertical="center" wrapText="1" shrinkToFit="1"/>
    </xf>
    <xf numFmtId="0" fontId="5" fillId="0" borderId="1" xfId="3" applyNumberFormat="1" applyFont="1" applyFill="1" applyBorder="1" applyAlignment="1">
      <alignment horizontal="left" vertical="center" wrapText="1" shrinkToFit="1"/>
    </xf>
    <xf numFmtId="49" fontId="5" fillId="0" borderId="1" xfId="2" applyNumberFormat="1" applyFont="1" applyFill="1" applyBorder="1" applyAlignment="1">
      <alignment horizontal="left" vertical="center" wrapText="1" shrinkToFit="1"/>
    </xf>
    <xf numFmtId="164" fontId="14" fillId="0" borderId="1" xfId="0" applyNumberFormat="1" applyFont="1" applyFill="1" applyBorder="1" applyAlignment="1">
      <alignment horizontal="right"/>
    </xf>
    <xf numFmtId="11" fontId="5" fillId="0" borderId="1" xfId="3" applyNumberFormat="1" applyFont="1" applyFill="1" applyBorder="1" applyAlignment="1">
      <alignment horizontal="left" vertical="center" wrapText="1" shrinkToFit="1"/>
    </xf>
    <xf numFmtId="4" fontId="5" fillId="0" borderId="1" xfId="2" applyNumberFormat="1" applyFont="1" applyFill="1" applyBorder="1" applyAlignment="1">
      <alignment horizontal="right" wrapText="1"/>
    </xf>
    <xf numFmtId="11" fontId="13" fillId="0" borderId="1" xfId="3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/>
    </xf>
    <xf numFmtId="11" fontId="5" fillId="0" borderId="1" xfId="3" applyNumberFormat="1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0" fontId="8" fillId="0" borderId="0" xfId="2" applyFont="1" applyFill="1" applyAlignment="1"/>
    <xf numFmtId="0" fontId="5" fillId="0" borderId="1" xfId="2" applyNumberFormat="1" applyFont="1" applyFill="1" applyBorder="1" applyAlignment="1">
      <alignment horizontal="left" vertical="center" wrapText="1" shrinkToFit="1"/>
    </xf>
    <xf numFmtId="164" fontId="5" fillId="0" borderId="1" xfId="3" applyNumberFormat="1" applyFont="1" applyFill="1" applyBorder="1" applyAlignment="1">
      <alignment horizontal="right" vertical="center" wrapText="1"/>
    </xf>
    <xf numFmtId="164" fontId="14" fillId="0" borderId="1" xfId="3" applyNumberFormat="1" applyFont="1" applyFill="1" applyBorder="1" applyAlignment="1">
      <alignment horizontal="right" vertical="center" wrapText="1"/>
    </xf>
    <xf numFmtId="4" fontId="14" fillId="0" borderId="1" xfId="2" applyNumberFormat="1" applyFont="1" applyFill="1" applyBorder="1" applyAlignment="1">
      <alignment horizontal="right" wrapText="1"/>
    </xf>
    <xf numFmtId="0" fontId="4" fillId="0" borderId="0" xfId="0" applyFont="1" applyFill="1"/>
    <xf numFmtId="0" fontId="4" fillId="0" borderId="0" xfId="196" applyFont="1"/>
    <xf numFmtId="49" fontId="41" fillId="0" borderId="1" xfId="251" applyNumberFormat="1" applyFont="1" applyFill="1" applyBorder="1" applyAlignment="1">
      <alignment horizontal="center" vertical="center" wrapText="1"/>
    </xf>
    <xf numFmtId="0" fontId="41" fillId="0" borderId="1" xfId="251" applyFont="1" applyFill="1" applyBorder="1" applyAlignment="1">
      <alignment horizontal="center" vertical="center" wrapText="1"/>
    </xf>
    <xf numFmtId="49" fontId="43" fillId="0" borderId="1" xfId="251" applyNumberFormat="1" applyFont="1" applyFill="1" applyBorder="1" applyAlignment="1">
      <alignment horizontal="center" vertical="center" wrapText="1"/>
    </xf>
    <xf numFmtId="0" fontId="44" fillId="0" borderId="1" xfId="251" applyFont="1" applyFill="1" applyBorder="1" applyAlignment="1">
      <alignment horizontal="center" vertical="center" wrapText="1"/>
    </xf>
    <xf numFmtId="49" fontId="45" fillId="0" borderId="1" xfId="251" applyNumberFormat="1" applyFont="1" applyFill="1" applyBorder="1" applyAlignment="1">
      <alignment horizontal="center" vertical="center" wrapText="1"/>
    </xf>
    <xf numFmtId="1" fontId="45" fillId="0" borderId="1" xfId="251" applyNumberFormat="1" applyFont="1" applyFill="1" applyBorder="1" applyAlignment="1">
      <alignment horizontal="center" vertical="center" wrapText="1"/>
    </xf>
    <xf numFmtId="0" fontId="45" fillId="0" borderId="1" xfId="251" applyFont="1" applyFill="1" applyBorder="1" applyAlignment="1">
      <alignment horizontal="left" vertical="center" wrapText="1"/>
    </xf>
    <xf numFmtId="0" fontId="4" fillId="0" borderId="0" xfId="196" applyFont="1" applyFill="1"/>
    <xf numFmtId="49" fontId="46" fillId="0" borderId="1" xfId="251" applyNumberFormat="1" applyFont="1" applyFill="1" applyBorder="1" applyAlignment="1">
      <alignment horizontal="center" vertical="center" wrapText="1"/>
    </xf>
    <xf numFmtId="1" fontId="45" fillId="0" borderId="1" xfId="251" applyNumberFormat="1" applyFont="1" applyFill="1" applyBorder="1" applyAlignment="1">
      <alignment horizontal="left" vertical="center" wrapText="1"/>
    </xf>
    <xf numFmtId="0" fontId="5" fillId="0" borderId="0" xfId="196" applyFont="1" applyAlignment="1">
      <alignment vertical="center"/>
    </xf>
    <xf numFmtId="0" fontId="5" fillId="0" borderId="0" xfId="196" applyFont="1" applyAlignment="1">
      <alignment horizontal="center" vertical="center"/>
    </xf>
    <xf numFmtId="0" fontId="47" fillId="0" borderId="1" xfId="196" applyFont="1" applyBorder="1" applyAlignment="1">
      <alignment horizontal="center" vertical="center" wrapText="1"/>
    </xf>
    <xf numFmtId="0" fontId="47" fillId="0" borderId="38" xfId="196" applyFont="1" applyBorder="1" applyAlignment="1">
      <alignment horizontal="center" vertical="center" wrapText="1"/>
    </xf>
    <xf numFmtId="0" fontId="48" fillId="0" borderId="1" xfId="196" applyFont="1" applyFill="1" applyBorder="1" applyAlignment="1">
      <alignment horizontal="center" vertical="center" wrapText="1"/>
    </xf>
    <xf numFmtId="0" fontId="49" fillId="0" borderId="38" xfId="196" applyFont="1" applyFill="1" applyBorder="1" applyAlignment="1">
      <alignment horizontal="center" vertical="center" wrapText="1"/>
    </xf>
    <xf numFmtId="0" fontId="49" fillId="0" borderId="1" xfId="196" applyFont="1" applyFill="1" applyBorder="1" applyAlignment="1">
      <alignment horizontal="center" vertical="center" wrapText="1"/>
    </xf>
    <xf numFmtId="0" fontId="36" fillId="0" borderId="34" xfId="196" applyFont="1" applyBorder="1" applyAlignment="1">
      <alignment horizontal="center" vertical="center" wrapText="1"/>
    </xf>
    <xf numFmtId="1" fontId="45" fillId="0" borderId="39" xfId="196" applyNumberFormat="1" applyFont="1" applyFill="1" applyBorder="1" applyAlignment="1">
      <alignment horizontal="center" vertical="center" wrapText="1"/>
    </xf>
    <xf numFmtId="0" fontId="45" fillId="0" borderId="34" xfId="196" applyFont="1" applyFill="1" applyBorder="1" applyAlignment="1">
      <alignment vertical="center" wrapText="1"/>
    </xf>
    <xf numFmtId="0" fontId="36" fillId="0" borderId="33" xfId="196" applyFont="1" applyBorder="1" applyAlignment="1">
      <alignment horizontal="center" vertical="center" wrapText="1"/>
    </xf>
    <xf numFmtId="1" fontId="45" fillId="0" borderId="40" xfId="196" applyNumberFormat="1" applyFont="1" applyFill="1" applyBorder="1" applyAlignment="1">
      <alignment horizontal="center" vertical="center" wrapText="1"/>
    </xf>
    <xf numFmtId="0" fontId="36" fillId="0" borderId="41" xfId="196" applyFont="1" applyBorder="1" applyAlignment="1">
      <alignment horizontal="center" vertical="center" wrapText="1"/>
    </xf>
    <xf numFmtId="1" fontId="45" fillId="0" borderId="42" xfId="196" applyNumberFormat="1" applyFont="1" applyFill="1" applyBorder="1" applyAlignment="1">
      <alignment horizontal="center" vertical="center" wrapText="1"/>
    </xf>
    <xf numFmtId="0" fontId="45" fillId="0" borderId="41" xfId="196" applyFont="1" applyFill="1" applyBorder="1" applyAlignment="1">
      <alignment vertical="center" wrapText="1"/>
    </xf>
    <xf numFmtId="0" fontId="4" fillId="0" borderId="0" xfId="196" applyFont="1" applyAlignment="1">
      <alignment horizontal="center"/>
    </xf>
    <xf numFmtId="0" fontId="5" fillId="27" borderId="0" xfId="196" applyFont="1" applyFill="1" applyAlignment="1"/>
    <xf numFmtId="0" fontId="8" fillId="0" borderId="0" xfId="196" applyFont="1" applyAlignment="1">
      <alignment vertical="center"/>
    </xf>
    <xf numFmtId="0" fontId="8" fillId="0" borderId="0" xfId="196" applyFont="1" applyAlignment="1">
      <alignment vertical="center" wrapText="1"/>
    </xf>
    <xf numFmtId="0" fontId="5" fillId="0" borderId="0" xfId="196" applyFont="1"/>
    <xf numFmtId="164" fontId="8" fillId="0" borderId="0" xfId="1" applyNumberFormat="1" applyFont="1" applyFill="1" applyBorder="1" applyAlignment="1">
      <alignment horizontal="right" vertical="top"/>
    </xf>
    <xf numFmtId="0" fontId="38" fillId="0" borderId="28" xfId="196" applyFont="1" applyFill="1" applyBorder="1" applyAlignment="1">
      <alignment horizontal="center" wrapText="1"/>
    </xf>
    <xf numFmtId="0" fontId="5" fillId="0" borderId="1" xfId="196" applyFont="1" applyFill="1" applyBorder="1" applyAlignment="1">
      <alignment horizontal="center" vertical="center" wrapText="1"/>
    </xf>
    <xf numFmtId="0" fontId="4" fillId="0" borderId="1" xfId="196" applyFont="1" applyFill="1" applyBorder="1" applyAlignment="1">
      <alignment horizontal="center"/>
    </xf>
    <xf numFmtId="164" fontId="38" fillId="0" borderId="1" xfId="196" applyNumberFormat="1" applyFont="1" applyFill="1" applyBorder="1" applyAlignment="1">
      <alignment horizontal="right" vertical="center" wrapText="1"/>
    </xf>
    <xf numFmtId="164" fontId="38" fillId="0" borderId="1" xfId="196" applyNumberFormat="1" applyFont="1" applyFill="1" applyBorder="1"/>
    <xf numFmtId="165" fontId="8" fillId="0" borderId="1" xfId="196" applyNumberFormat="1" applyFont="1" applyFill="1" applyBorder="1" applyAlignment="1">
      <alignment horizontal="right" vertical="center" wrapText="1"/>
    </xf>
    <xf numFmtId="167" fontId="8" fillId="0" borderId="1" xfId="196" applyNumberFormat="1" applyFont="1" applyFill="1" applyBorder="1"/>
    <xf numFmtId="49" fontId="38" fillId="0" borderId="1" xfId="196" applyNumberFormat="1" applyFont="1" applyFill="1" applyBorder="1" applyAlignment="1">
      <alignment horizontal="center" vertical="center"/>
    </xf>
    <xf numFmtId="0" fontId="38" fillId="0" borderId="1" xfId="196" applyNumberFormat="1" applyFont="1" applyFill="1" applyBorder="1" applyAlignment="1">
      <alignment vertical="center" wrapText="1"/>
    </xf>
    <xf numFmtId="165" fontId="38" fillId="0" borderId="1" xfId="196" applyNumberFormat="1" applyFont="1" applyFill="1" applyBorder="1" applyAlignment="1">
      <alignment horizontal="right" vertical="center" wrapText="1"/>
    </xf>
    <xf numFmtId="0" fontId="38" fillId="0" borderId="1" xfId="196" applyFont="1" applyFill="1" applyBorder="1" applyAlignment="1">
      <alignment vertical="center" wrapText="1"/>
    </xf>
    <xf numFmtId="49" fontId="8" fillId="0" borderId="1" xfId="196" applyNumberFormat="1" applyFont="1" applyFill="1" applyBorder="1" applyAlignment="1">
      <alignment horizontal="center" vertical="center"/>
    </xf>
    <xf numFmtId="0" fontId="8" fillId="0" borderId="1" xfId="196" applyFont="1" applyFill="1" applyBorder="1" applyAlignment="1">
      <alignment vertical="center" wrapText="1"/>
    </xf>
    <xf numFmtId="164" fontId="8" fillId="0" borderId="1" xfId="196" applyNumberFormat="1" applyFont="1" applyFill="1" applyBorder="1"/>
    <xf numFmtId="0" fontId="5" fillId="0" borderId="0" xfId="196" applyFont="1" applyFill="1" applyBorder="1" applyAlignment="1">
      <alignment horizontal="right" wrapText="1"/>
    </xf>
    <xf numFmtId="0" fontId="50" fillId="0" borderId="0" xfId="195" applyNumberFormat="1" applyFont="1" applyFill="1" applyAlignment="1" applyProtection="1">
      <alignment horizontal="center"/>
    </xf>
    <xf numFmtId="0" fontId="4" fillId="0" borderId="0" xfId="211" applyFont="1" applyFill="1" applyAlignment="1">
      <alignment vertical="center" wrapText="1"/>
    </xf>
    <xf numFmtId="0" fontId="52" fillId="0" borderId="0" xfId="195" applyNumberFormat="1" applyFont="1" applyFill="1" applyAlignment="1" applyProtection="1">
      <alignment horizontal="left" indent="1"/>
    </xf>
    <xf numFmtId="0" fontId="53" fillId="0" borderId="0" xfId="195" applyNumberFormat="1" applyFont="1" applyFill="1" applyAlignment="1" applyProtection="1">
      <alignment wrapText="1"/>
    </xf>
    <xf numFmtId="0" fontId="53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>
      <alignment horizontal="center" vertical="center"/>
    </xf>
    <xf numFmtId="0" fontId="52" fillId="0" borderId="0" xfId="195" applyNumberFormat="1" applyFont="1" applyFill="1" applyAlignment="1" applyProtection="1">
      <alignment horizontal="center"/>
    </xf>
    <xf numFmtId="0" fontId="53" fillId="0" borderId="49" xfId="0" applyNumberFormat="1" applyFont="1" applyFill="1" applyBorder="1" applyAlignment="1" applyProtection="1">
      <alignment horizontal="center" wrapText="1"/>
    </xf>
    <xf numFmtId="169" fontId="52" fillId="0" borderId="0" xfId="195" applyNumberFormat="1" applyFont="1" applyFill="1" applyAlignment="1" applyProtection="1"/>
    <xf numFmtId="0" fontId="53" fillId="0" borderId="0" xfId="195" applyNumberFormat="1" applyFont="1" applyFill="1" applyAlignment="1" applyProtection="1">
      <alignment horizontal="center" vertical="center"/>
    </xf>
    <xf numFmtId="0" fontId="53" fillId="0" borderId="0" xfId="195" applyNumberFormat="1" applyFont="1" applyFill="1" applyAlignment="1" applyProtection="1">
      <alignment horizontal="center"/>
    </xf>
    <xf numFmtId="0" fontId="52" fillId="0" borderId="0" xfId="195" applyNumberFormat="1" applyFont="1" applyFill="1" applyAlignment="1" applyProtection="1">
      <alignment wrapText="1"/>
    </xf>
    <xf numFmtId="0" fontId="56" fillId="0" borderId="0" xfId="253" applyFont="1" applyFill="1" applyAlignment="1">
      <alignment horizontal="center" vertical="center"/>
    </xf>
    <xf numFmtId="49" fontId="39" fillId="0" borderId="0" xfId="253" applyNumberFormat="1" applyFont="1" applyFill="1" applyAlignment="1">
      <alignment horizontal="center"/>
    </xf>
    <xf numFmtId="0" fontId="39" fillId="0" borderId="0" xfId="253" applyFont="1" applyFill="1" applyAlignment="1">
      <alignment horizontal="center" vertical="center"/>
    </xf>
    <xf numFmtId="0" fontId="8" fillId="0" borderId="0" xfId="2" applyFont="1" applyFill="1" applyAlignment="1">
      <alignment horizontal="right"/>
    </xf>
    <xf numFmtId="0" fontId="53" fillId="0" borderId="49" xfId="195" applyNumberFormat="1" applyFont="1" applyFill="1" applyBorder="1" applyAlignment="1" applyProtection="1">
      <alignment horizontal="center" wrapText="1"/>
    </xf>
    <xf numFmtId="0" fontId="5" fillId="0" borderId="0" xfId="2" applyFont="1" applyFill="1" applyBorder="1"/>
    <xf numFmtId="164" fontId="4" fillId="0" borderId="0" xfId="0" applyNumberFormat="1" applyFont="1" applyFill="1"/>
    <xf numFmtId="0" fontId="57" fillId="0" borderId="0" xfId="195" applyNumberFormat="1" applyFont="1" applyFill="1" applyAlignment="1" applyProtection="1">
      <alignment wrapText="1"/>
    </xf>
    <xf numFmtId="0" fontId="50" fillId="0" borderId="0" xfId="195" applyNumberFormat="1" applyFont="1" applyFill="1" applyAlignment="1" applyProtection="1">
      <alignment horizontal="right"/>
    </xf>
    <xf numFmtId="0" fontId="57" fillId="0" borderId="48" xfId="195" applyNumberFormat="1" applyFont="1" applyFill="1" applyBorder="1" applyAlignment="1" applyProtection="1">
      <alignment horizontal="left" vertical="center" wrapText="1"/>
    </xf>
    <xf numFmtId="168" fontId="57" fillId="0" borderId="48" xfId="195" applyNumberFormat="1" applyFont="1" applyFill="1" applyBorder="1" applyAlignment="1" applyProtection="1">
      <alignment horizontal="right" vertical="center" wrapText="1"/>
    </xf>
    <xf numFmtId="0" fontId="57" fillId="0" borderId="0" xfId="195" applyNumberFormat="1" applyFont="1" applyFill="1" applyAlignment="1" applyProtection="1"/>
    <xf numFmtId="0" fontId="5" fillId="0" borderId="0" xfId="254" applyFont="1" applyFill="1" applyAlignment="1">
      <alignment vertical="center"/>
    </xf>
    <xf numFmtId="169" fontId="50" fillId="0" borderId="0" xfId="195" applyNumberFormat="1" applyFont="1" applyFill="1" applyAlignment="1" applyProtection="1"/>
    <xf numFmtId="49" fontId="50" fillId="0" borderId="0" xfId="195" applyNumberFormat="1" applyFont="1" applyFill="1" applyAlignment="1" applyProtection="1">
      <alignment horizontal="left" wrapText="1"/>
    </xf>
    <xf numFmtId="0" fontId="39" fillId="0" borderId="0" xfId="255" applyFont="1" applyFill="1"/>
    <xf numFmtId="0" fontId="5" fillId="0" borderId="0" xfId="254" applyFont="1" applyFill="1" applyAlignment="1">
      <alignment horizontal="right" vertical="center"/>
    </xf>
    <xf numFmtId="49" fontId="57" fillId="0" borderId="0" xfId="195" applyNumberFormat="1" applyFont="1" applyFill="1" applyAlignment="1" applyProtection="1">
      <alignment wrapText="1"/>
    </xf>
    <xf numFmtId="0" fontId="57" fillId="0" borderId="0" xfId="195" applyNumberFormat="1" applyFont="1" applyFill="1" applyAlignment="1" applyProtection="1">
      <alignment horizontal="center"/>
    </xf>
    <xf numFmtId="0" fontId="5" fillId="0" borderId="0" xfId="252" applyFont="1"/>
    <xf numFmtId="0" fontId="57" fillId="0" borderId="0" xfId="195" applyNumberFormat="1" applyFont="1" applyFill="1" applyAlignment="1" applyProtection="1">
      <alignment horizontal="center" wrapText="1"/>
    </xf>
    <xf numFmtId="168" fontId="50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>
      <alignment wrapText="1"/>
    </xf>
    <xf numFmtId="0" fontId="50" fillId="0" borderId="0" xfId="195" applyNumberFormat="1" applyFont="1" applyFill="1" applyBorder="1" applyAlignment="1" applyProtection="1"/>
    <xf numFmtId="0" fontId="39" fillId="0" borderId="0" xfId="194" applyFont="1" applyAlignment="1">
      <alignment horizontal="left"/>
    </xf>
    <xf numFmtId="0" fontId="39" fillId="0" borderId="0" xfId="194" applyFont="1" applyAlignment="1">
      <alignment wrapText="1"/>
    </xf>
    <xf numFmtId="0" fontId="57" fillId="0" borderId="0" xfId="195" applyNumberFormat="1" applyFont="1" applyFill="1" applyAlignment="1" applyProtection="1">
      <alignment horizontal="center" vertical="center" wrapText="1"/>
    </xf>
    <xf numFmtId="164" fontId="50" fillId="0" borderId="0" xfId="195" applyNumberFormat="1" applyFont="1" applyFill="1" applyAlignment="1" applyProtection="1">
      <alignment horizontal="center"/>
    </xf>
    <xf numFmtId="0" fontId="52" fillId="0" borderId="0" xfId="195" applyNumberFormat="1" applyFont="1" applyFill="1" applyAlignment="1" applyProtection="1"/>
    <xf numFmtId="0" fontId="8" fillId="0" borderId="0" xfId="2" applyFont="1" applyFill="1" applyAlignment="1">
      <alignment horizontal="right"/>
    </xf>
    <xf numFmtId="0" fontId="50" fillId="0" borderId="0" xfId="195" applyNumberFormat="1" applyFont="1" applyFill="1" applyAlignment="1" applyProtection="1">
      <alignment horizontal="center" vertical="center"/>
    </xf>
    <xf numFmtId="0" fontId="57" fillId="0" borderId="0" xfId="195" applyNumberFormat="1" applyFont="1" applyFill="1" applyAlignment="1" applyProtection="1">
      <alignment horizontal="center" vertical="center"/>
    </xf>
    <xf numFmtId="0" fontId="53" fillId="0" borderId="49" xfId="0" applyNumberFormat="1" applyFont="1" applyFill="1" applyBorder="1" applyAlignment="1" applyProtection="1">
      <alignment horizontal="center" vertical="center" wrapText="1"/>
    </xf>
    <xf numFmtId="0" fontId="53" fillId="0" borderId="49" xfId="195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0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horizontal="center" vertical="center"/>
    </xf>
    <xf numFmtId="0" fontId="5" fillId="0" borderId="0" xfId="196" applyFont="1" applyAlignment="1">
      <alignment horizontal="right" vertical="center"/>
    </xf>
    <xf numFmtId="0" fontId="50" fillId="0" borderId="0" xfId="195" applyNumberFormat="1" applyFont="1" applyFill="1" applyAlignment="1" applyProtection="1">
      <alignment horizontal="right" vertical="center"/>
    </xf>
    <xf numFmtId="169" fontId="50" fillId="0" borderId="0" xfId="195" applyNumberFormat="1" applyFont="1" applyFill="1" applyAlignment="1" applyProtection="1">
      <alignment horizontal="center"/>
    </xf>
    <xf numFmtId="0" fontId="52" fillId="0" borderId="0" xfId="195" applyNumberFormat="1" applyFont="1" applyFill="1" applyAlignment="1" applyProtection="1">
      <alignment horizontal="left" wrapText="1"/>
    </xf>
    <xf numFmtId="49" fontId="57" fillId="0" borderId="0" xfId="195" applyNumberFormat="1" applyFont="1" applyFill="1" applyAlignment="1" applyProtection="1">
      <alignment horizontal="center" wrapText="1"/>
    </xf>
    <xf numFmtId="49" fontId="50" fillId="0" borderId="0" xfId="195" applyNumberFormat="1" applyFont="1" applyFill="1" applyAlignment="1" applyProtection="1">
      <alignment wrapText="1"/>
    </xf>
    <xf numFmtId="0" fontId="52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>
      <alignment horizontal="left" wrapText="1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>
      <alignment horizontal="left" wrapText="1"/>
    </xf>
    <xf numFmtId="0" fontId="50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>
      <alignment horizontal="left" wrapText="1"/>
    </xf>
    <xf numFmtId="0" fontId="50" fillId="0" borderId="0" xfId="195" applyNumberFormat="1" applyFont="1" applyFill="1" applyAlignment="1" applyProtection="1"/>
    <xf numFmtId="0" fontId="14" fillId="0" borderId="0" xfId="0" applyFont="1" applyFill="1"/>
    <xf numFmtId="0" fontId="14" fillId="0" borderId="0" xfId="196" applyFont="1" applyBorder="1" applyAlignment="1">
      <alignment horizontal="right" vertical="center" wrapText="1"/>
    </xf>
    <xf numFmtId="0" fontId="14" fillId="0" borderId="0" xfId="196" applyFont="1" applyBorder="1" applyAlignment="1">
      <alignment horizontal="right" vertical="justify" wrapText="1"/>
    </xf>
    <xf numFmtId="0" fontId="7" fillId="0" borderId="0" xfId="0" applyFont="1" applyFill="1" applyAlignment="1">
      <alignment horizontal="center"/>
    </xf>
    <xf numFmtId="0" fontId="14" fillId="0" borderId="2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64" fontId="14" fillId="0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4" fillId="0" borderId="17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0" fontId="7" fillId="0" borderId="2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3" fillId="0" borderId="52" xfId="0" applyNumberFormat="1" applyFont="1" applyFill="1" applyBorder="1" applyAlignment="1" applyProtection="1">
      <alignment horizontal="center" wrapText="1"/>
    </xf>
    <xf numFmtId="0" fontId="53" fillId="0" borderId="56" xfId="0" applyNumberFormat="1" applyFont="1" applyFill="1" applyBorder="1" applyAlignment="1" applyProtection="1">
      <alignment horizontal="center" wrapText="1"/>
    </xf>
    <xf numFmtId="0" fontId="53" fillId="0" borderId="52" xfId="0" applyNumberFormat="1" applyFont="1" applyFill="1" applyBorder="1" applyAlignment="1" applyProtection="1">
      <alignment horizontal="center" vertical="center" wrapText="1"/>
    </xf>
    <xf numFmtId="0" fontId="53" fillId="0" borderId="56" xfId="0" applyNumberFormat="1" applyFont="1" applyFill="1" applyBorder="1" applyAlignment="1" applyProtection="1">
      <alignment horizontal="center" vertical="center" wrapText="1"/>
    </xf>
    <xf numFmtId="0" fontId="52" fillId="0" borderId="0" xfId="195" applyNumberFormat="1" applyFont="1" applyFill="1" applyAlignment="1" applyProtection="1"/>
    <xf numFmtId="0" fontId="39" fillId="0" borderId="0" xfId="253" applyFont="1"/>
    <xf numFmtId="0" fontId="39" fillId="0" borderId="0" xfId="198" applyFont="1" applyFill="1" applyAlignment="1">
      <alignment horizontal="center" vertical="center"/>
    </xf>
    <xf numFmtId="0" fontId="53" fillId="28" borderId="48" xfId="195" applyNumberFormat="1" applyFont="1" applyFill="1" applyBorder="1" applyAlignment="1" applyProtection="1">
      <alignment horizontal="left" vertical="center" wrapText="1"/>
    </xf>
    <xf numFmtId="0" fontId="53" fillId="28" borderId="48" xfId="195" applyNumberFormat="1" applyFont="1" applyFill="1" applyBorder="1" applyAlignment="1" applyProtection="1">
      <alignment horizontal="center" vertical="center" wrapText="1"/>
    </xf>
    <xf numFmtId="168" fontId="53" fillId="28" borderId="55" xfId="195" applyNumberFormat="1" applyFont="1" applyFill="1" applyBorder="1" applyAlignment="1" applyProtection="1">
      <alignment horizontal="right" vertical="center" wrapText="1"/>
    </xf>
    <xf numFmtId="166" fontId="53" fillId="28" borderId="57" xfId="195" applyNumberFormat="1" applyFont="1" applyFill="1" applyBorder="1" applyAlignment="1" applyProtection="1">
      <alignment horizontal="right" vertical="center" wrapText="1"/>
    </xf>
    <xf numFmtId="0" fontId="53" fillId="0" borderId="48" xfId="195" applyNumberFormat="1" applyFont="1" applyFill="1" applyBorder="1" applyAlignment="1" applyProtection="1">
      <alignment horizontal="left" vertical="center" wrapText="1"/>
    </xf>
    <xf numFmtId="0" fontId="53" fillId="0" borderId="48" xfId="195" applyNumberFormat="1" applyFont="1" applyFill="1" applyBorder="1" applyAlignment="1" applyProtection="1">
      <alignment horizontal="center" vertical="center" wrapText="1"/>
    </xf>
    <xf numFmtId="168" fontId="53" fillId="0" borderId="55" xfId="195" applyNumberFormat="1" applyFont="1" applyFill="1" applyBorder="1" applyAlignment="1" applyProtection="1">
      <alignment horizontal="right" vertical="center" wrapText="1"/>
    </xf>
    <xf numFmtId="166" fontId="53" fillId="0" borderId="57" xfId="195" applyNumberFormat="1" applyFont="1" applyFill="1" applyBorder="1" applyAlignment="1" applyProtection="1">
      <alignment horizontal="right" vertical="center" wrapText="1"/>
    </xf>
    <xf numFmtId="0" fontId="52" fillId="0" borderId="48" xfId="195" applyNumberFormat="1" applyFont="1" applyFill="1" applyBorder="1" applyAlignment="1" applyProtection="1">
      <alignment horizontal="left" vertical="center" wrapText="1"/>
    </xf>
    <xf numFmtId="0" fontId="52" fillId="0" borderId="48" xfId="195" applyNumberFormat="1" applyFont="1" applyFill="1" applyBorder="1" applyAlignment="1" applyProtection="1">
      <alignment horizontal="center" vertical="center" wrapText="1"/>
    </xf>
    <xf numFmtId="168" fontId="52" fillId="0" borderId="55" xfId="195" applyNumberFormat="1" applyFont="1" applyFill="1" applyBorder="1" applyAlignment="1" applyProtection="1">
      <alignment horizontal="right" vertical="center" wrapText="1"/>
    </xf>
    <xf numFmtId="166" fontId="52" fillId="0" borderId="57" xfId="195" applyNumberFormat="1" applyFont="1" applyFill="1" applyBorder="1" applyAlignment="1" applyProtection="1">
      <alignment horizontal="right" vertical="center" wrapText="1"/>
    </xf>
    <xf numFmtId="170" fontId="60" fillId="0" borderId="1" xfId="253" applyNumberFormat="1" applyFont="1" applyFill="1" applyBorder="1" applyAlignment="1">
      <alignment horizontal="center" vertical="center" wrapText="1"/>
    </xf>
    <xf numFmtId="170" fontId="60" fillId="0" borderId="36" xfId="253" applyNumberFormat="1" applyFont="1" applyFill="1" applyBorder="1" applyAlignment="1">
      <alignment horizontal="center" vertical="center" wrapText="1"/>
    </xf>
    <xf numFmtId="0" fontId="59" fillId="0" borderId="49" xfId="195" applyNumberFormat="1" applyFont="1" applyFill="1" applyBorder="1" applyAlignment="1" applyProtection="1">
      <alignment horizontal="center" wrapText="1"/>
    </xf>
    <xf numFmtId="0" fontId="59" fillId="0" borderId="52" xfId="195" applyNumberFormat="1" applyFont="1" applyFill="1" applyBorder="1" applyAlignment="1" applyProtection="1">
      <alignment horizontal="center" wrapText="1"/>
    </xf>
    <xf numFmtId="0" fontId="59" fillId="0" borderId="36" xfId="195" applyNumberFormat="1" applyFont="1" applyFill="1" applyBorder="1" applyAlignment="1" applyProtection="1">
      <alignment horizontal="center"/>
    </xf>
    <xf numFmtId="0" fontId="59" fillId="0" borderId="1" xfId="195" applyNumberFormat="1" applyFont="1" applyFill="1" applyBorder="1" applyAlignment="1" applyProtection="1">
      <alignment horizontal="center"/>
    </xf>
    <xf numFmtId="0" fontId="59" fillId="0" borderId="48" xfId="195" applyNumberFormat="1" applyFont="1" applyFill="1" applyBorder="1" applyAlignment="1" applyProtection="1">
      <alignment horizontal="left" vertical="center" wrapText="1"/>
    </xf>
    <xf numFmtId="164" fontId="59" fillId="0" borderId="55" xfId="195" applyNumberFormat="1" applyFont="1" applyFill="1" applyBorder="1" applyAlignment="1" applyProtection="1">
      <alignment horizontal="center" vertical="center" wrapText="1"/>
    </xf>
    <xf numFmtId="164" fontId="59" fillId="0" borderId="57" xfId="195" applyNumberFormat="1" applyFont="1" applyFill="1" applyBorder="1" applyAlignment="1" applyProtection="1">
      <alignment horizontal="center" vertical="center" wrapText="1"/>
    </xf>
    <xf numFmtId="0" fontId="61" fillId="0" borderId="48" xfId="195" applyNumberFormat="1" applyFont="1" applyFill="1" applyBorder="1" applyAlignment="1" applyProtection="1">
      <alignment horizontal="left" vertical="center" wrapText="1"/>
    </xf>
    <xf numFmtId="164" fontId="61" fillId="0" borderId="55" xfId="195" applyNumberFormat="1" applyFont="1" applyFill="1" applyBorder="1" applyAlignment="1" applyProtection="1">
      <alignment horizontal="center" vertical="center" wrapText="1"/>
    </xf>
    <xf numFmtId="164" fontId="61" fillId="0" borderId="57" xfId="195" applyNumberFormat="1" applyFont="1" applyFill="1" applyBorder="1" applyAlignment="1" applyProtection="1">
      <alignment horizontal="center" vertical="center" wrapText="1"/>
    </xf>
    <xf numFmtId="168" fontId="59" fillId="0" borderId="55" xfId="195" applyNumberFormat="1" applyFont="1" applyFill="1" applyBorder="1" applyAlignment="1" applyProtection="1">
      <alignment horizontal="right" vertical="center" wrapText="1"/>
    </xf>
    <xf numFmtId="164" fontId="59" fillId="0" borderId="57" xfId="195" applyNumberFormat="1" applyFont="1" applyFill="1" applyBorder="1" applyAlignment="1" applyProtection="1">
      <alignment horizontal="right" vertical="center" wrapText="1"/>
    </xf>
    <xf numFmtId="0" fontId="50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61" fillId="0" borderId="48" xfId="195" applyNumberFormat="1" applyFont="1" applyFill="1" applyBorder="1" applyAlignment="1" applyProtection="1">
      <alignment horizontal="center" vertical="center" wrapText="1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9" fillId="0" borderId="48" xfId="195" applyNumberFormat="1" applyFont="1" applyFill="1" applyBorder="1" applyAlignment="1" applyProtection="1">
      <alignment horizontal="center" vertical="center" wrapText="1"/>
    </xf>
    <xf numFmtId="168" fontId="59" fillId="0" borderId="48" xfId="195" applyNumberFormat="1" applyFont="1" applyFill="1" applyBorder="1" applyAlignment="1" applyProtection="1">
      <alignment horizontal="center" vertical="center" wrapText="1"/>
    </xf>
    <xf numFmtId="164" fontId="59" fillId="0" borderId="48" xfId="195" applyNumberFormat="1" applyFont="1" applyFill="1" applyBorder="1" applyAlignment="1" applyProtection="1">
      <alignment horizontal="center" vertical="center" wrapText="1"/>
    </xf>
    <xf numFmtId="168" fontId="61" fillId="0" borderId="48" xfId="195" applyNumberFormat="1" applyFont="1" applyFill="1" applyBorder="1" applyAlignment="1" applyProtection="1">
      <alignment horizontal="center" vertical="center" wrapText="1"/>
    </xf>
    <xf numFmtId="164" fontId="61" fillId="0" borderId="48" xfId="195" applyNumberFormat="1" applyFont="1" applyFill="1" applyBorder="1" applyAlignment="1" applyProtection="1">
      <alignment horizontal="center" vertical="center" wrapText="1"/>
    </xf>
    <xf numFmtId="168" fontId="59" fillId="0" borderId="55" xfId="195" applyNumberFormat="1" applyFont="1" applyFill="1" applyBorder="1" applyAlignment="1" applyProtection="1">
      <alignment horizontal="center" vertical="center" wrapText="1"/>
    </xf>
    <xf numFmtId="49" fontId="37" fillId="0" borderId="0" xfId="254" applyNumberFormat="1" applyFont="1" applyFill="1" applyAlignment="1">
      <alignment vertical="center" wrapText="1"/>
    </xf>
    <xf numFmtId="0" fontId="61" fillId="0" borderId="0" xfId="195" applyNumberFormat="1" applyFont="1" applyFill="1" applyAlignment="1" applyProtection="1">
      <alignment horizontal="center"/>
    </xf>
    <xf numFmtId="169" fontId="61" fillId="0" borderId="0" xfId="195" applyNumberFormat="1" applyFont="1" applyFill="1" applyAlignment="1" applyProtection="1">
      <alignment horizontal="center"/>
    </xf>
    <xf numFmtId="164" fontId="5" fillId="0" borderId="0" xfId="256" applyNumberFormat="1" applyFont="1" applyFill="1" applyAlignment="1">
      <alignment horizontal="left" vertical="center"/>
    </xf>
    <xf numFmtId="164" fontId="5" fillId="0" borderId="0" xfId="256" applyNumberFormat="1" applyFont="1" applyFill="1" applyAlignment="1">
      <alignment horizontal="center" vertical="center"/>
    </xf>
    <xf numFmtId="0" fontId="59" fillId="0" borderId="49" xfId="195" applyNumberFormat="1" applyFont="1" applyFill="1" applyBorder="1" applyAlignment="1" applyProtection="1">
      <alignment horizontal="center" vertical="center" wrapText="1"/>
    </xf>
    <xf numFmtId="0" fontId="59" fillId="0" borderId="53" xfId="195" applyNumberFormat="1" applyFont="1" applyFill="1" applyBorder="1" applyAlignment="1" applyProtection="1">
      <alignment horizontal="center" vertical="center" wrapText="1"/>
    </xf>
    <xf numFmtId="0" fontId="59" fillId="0" borderId="52" xfId="195" applyNumberFormat="1" applyFont="1" applyFill="1" applyBorder="1" applyAlignment="1" applyProtection="1">
      <alignment horizontal="center" vertical="center" wrapText="1"/>
    </xf>
    <xf numFmtId="168" fontId="61" fillId="0" borderId="55" xfId="195" applyNumberFormat="1" applyFont="1" applyFill="1" applyBorder="1" applyAlignment="1" applyProtection="1">
      <alignment horizontal="right" vertical="center" wrapText="1"/>
    </xf>
    <xf numFmtId="168" fontId="57" fillId="0" borderId="55" xfId="195" applyNumberFormat="1" applyFont="1" applyFill="1" applyBorder="1" applyAlignment="1" applyProtection="1">
      <alignment horizontal="right" vertical="center" wrapText="1"/>
    </xf>
    <xf numFmtId="164" fontId="61" fillId="0" borderId="57" xfId="195" applyNumberFormat="1" applyFont="1" applyFill="1" applyBorder="1" applyAlignment="1" applyProtection="1">
      <alignment horizontal="right" vertical="center" wrapText="1"/>
    </xf>
    <xf numFmtId="164" fontId="57" fillId="0" borderId="57" xfId="195" applyNumberFormat="1" applyFont="1" applyFill="1" applyBorder="1" applyAlignment="1" applyProtection="1">
      <alignment horizontal="right" vertical="center" wrapText="1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4" fillId="0" borderId="0" xfId="252" applyFont="1"/>
    <xf numFmtId="0" fontId="4" fillId="0" borderId="0" xfId="252" applyFont="1" applyAlignment="1">
      <alignment vertical="center" wrapText="1"/>
    </xf>
    <xf numFmtId="0" fontId="53" fillId="0" borderId="52" xfId="195" applyNumberFormat="1" applyFont="1" applyFill="1" applyBorder="1" applyAlignment="1" applyProtection="1">
      <alignment horizontal="center" wrapText="1"/>
    </xf>
    <xf numFmtId="0" fontId="53" fillId="0" borderId="56" xfId="195" applyNumberFormat="1" applyFont="1" applyFill="1" applyBorder="1" applyAlignment="1" applyProtection="1">
      <alignment horizontal="center" wrapText="1"/>
    </xf>
    <xf numFmtId="0" fontId="52" fillId="0" borderId="0" xfId="195" applyNumberFormat="1" applyFont="1" applyFill="1" applyAlignment="1" applyProtection="1"/>
    <xf numFmtId="0" fontId="59" fillId="0" borderId="1" xfId="195" applyNumberFormat="1" applyFont="1" applyFill="1" applyBorder="1" applyAlignment="1" applyProtection="1">
      <alignment horizontal="center" vertical="center" wrapText="1"/>
    </xf>
    <xf numFmtId="0" fontId="50" fillId="0" borderId="0" xfId="195" applyNumberFormat="1" applyFont="1" applyFill="1" applyAlignment="1" applyProtection="1">
      <alignment horizontal="left" wrapText="1"/>
    </xf>
    <xf numFmtId="0" fontId="50" fillId="0" borderId="0" xfId="195" applyNumberFormat="1" applyFont="1" applyFill="1" applyAlignment="1" applyProtection="1"/>
    <xf numFmtId="0" fontId="50" fillId="0" borderId="0" xfId="204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168" fontId="53" fillId="28" borderId="48" xfId="195" applyNumberFormat="1" applyFont="1" applyFill="1" applyBorder="1" applyAlignment="1" applyProtection="1">
      <alignment horizontal="right" vertical="center" wrapText="1"/>
    </xf>
    <xf numFmtId="166" fontId="53" fillId="28" borderId="48" xfId="195" applyNumberFormat="1" applyFont="1" applyFill="1" applyBorder="1" applyAlignment="1" applyProtection="1">
      <alignment horizontal="right" vertical="center" wrapText="1"/>
    </xf>
    <xf numFmtId="168" fontId="53" fillId="0" borderId="48" xfId="195" applyNumberFormat="1" applyFont="1" applyFill="1" applyBorder="1" applyAlignment="1" applyProtection="1">
      <alignment horizontal="right" vertical="center" wrapText="1"/>
    </xf>
    <xf numFmtId="166" fontId="53" fillId="0" borderId="48" xfId="195" applyNumberFormat="1" applyFont="1" applyFill="1" applyBorder="1" applyAlignment="1" applyProtection="1">
      <alignment horizontal="right" vertical="center" wrapText="1"/>
    </xf>
    <xf numFmtId="168" fontId="52" fillId="0" borderId="48" xfId="195" applyNumberFormat="1" applyFont="1" applyFill="1" applyBorder="1" applyAlignment="1" applyProtection="1">
      <alignment horizontal="right" vertical="center" wrapText="1"/>
    </xf>
    <xf numFmtId="166" fontId="52" fillId="0" borderId="48" xfId="195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3" fillId="0" borderId="50" xfId="195" applyNumberFormat="1" applyFont="1" applyFill="1" applyBorder="1" applyAlignment="1" applyProtection="1">
      <alignment horizontal="center" vertical="center" wrapText="1"/>
    </xf>
    <xf numFmtId="164" fontId="53" fillId="0" borderId="50" xfId="194" applyNumberFormat="1" applyFont="1" applyBorder="1" applyAlignment="1">
      <alignment horizontal="center" vertical="center"/>
    </xf>
    <xf numFmtId="0" fontId="13" fillId="0" borderId="1" xfId="196" applyFont="1" applyFill="1" applyBorder="1" applyAlignment="1">
      <alignment horizontal="center" vertical="center" wrapText="1"/>
    </xf>
    <xf numFmtId="0" fontId="5" fillId="0" borderId="0" xfId="196" applyFont="1" applyFill="1" applyAlignment="1">
      <alignment vertical="center" wrapText="1"/>
    </xf>
    <xf numFmtId="0" fontId="13" fillId="0" borderId="1" xfId="196" applyFont="1" applyFill="1" applyBorder="1" applyAlignment="1">
      <alignment horizontal="center" vertical="center"/>
    </xf>
    <xf numFmtId="0" fontId="63" fillId="0" borderId="0" xfId="255" applyFont="1" applyAlignment="1">
      <alignment vertical="center"/>
    </xf>
    <xf numFmtId="0" fontId="63" fillId="0" borderId="0" xfId="255" applyFont="1" applyFill="1"/>
    <xf numFmtId="0" fontId="37" fillId="0" borderId="0" xfId="252" applyFont="1"/>
    <xf numFmtId="0" fontId="61" fillId="0" borderId="51" xfId="195" applyNumberFormat="1" applyFont="1" applyFill="1" applyBorder="1" applyAlignment="1" applyProtection="1">
      <alignment horizontal="center" vertical="center" wrapText="1"/>
    </xf>
    <xf numFmtId="0" fontId="65" fillId="0" borderId="51" xfId="195" applyNumberFormat="1" applyFont="1" applyFill="1" applyBorder="1" applyAlignment="1" applyProtection="1">
      <alignment horizontal="center" vertical="center" wrapText="1"/>
    </xf>
    <xf numFmtId="0" fontId="61" fillId="0" borderId="49" xfId="195" applyNumberFormat="1" applyFont="1" applyFill="1" applyBorder="1" applyAlignment="1" applyProtection="1">
      <alignment horizontal="center" vertical="center" wrapText="1"/>
    </xf>
    <xf numFmtId="49" fontId="59" fillId="0" borderId="49" xfId="195" applyNumberFormat="1" applyFont="1" applyFill="1" applyBorder="1" applyAlignment="1" applyProtection="1">
      <alignment horizontal="center" wrapText="1"/>
    </xf>
    <xf numFmtId="49" fontId="59" fillId="0" borderId="48" xfId="195" applyNumberFormat="1" applyFont="1" applyFill="1" applyBorder="1" applyAlignment="1" applyProtection="1">
      <alignment horizontal="left" vertical="center" wrapText="1"/>
    </xf>
    <xf numFmtId="168" fontId="59" fillId="0" borderId="48" xfId="195" applyNumberFormat="1" applyFont="1" applyFill="1" applyBorder="1" applyAlignment="1" applyProtection="1">
      <alignment horizontal="right" vertical="center" wrapText="1"/>
    </xf>
    <xf numFmtId="49" fontId="61" fillId="0" borderId="48" xfId="195" applyNumberFormat="1" applyFont="1" applyFill="1" applyBorder="1" applyAlignment="1" applyProtection="1">
      <alignment horizontal="left" vertical="center" wrapText="1"/>
    </xf>
    <xf numFmtId="168" fontId="61" fillId="0" borderId="48" xfId="195" applyNumberFormat="1" applyFont="1" applyFill="1" applyBorder="1" applyAlignment="1" applyProtection="1">
      <alignment horizontal="right" vertical="center" wrapText="1"/>
    </xf>
    <xf numFmtId="0" fontId="61" fillId="0" borderId="0" xfId="195" applyNumberFormat="1" applyFont="1" applyFill="1" applyAlignment="1" applyProtection="1">
      <alignment horizontal="center" vertical="center"/>
    </xf>
    <xf numFmtId="168" fontId="61" fillId="0" borderId="0" xfId="195" applyNumberFormat="1" applyFont="1" applyFill="1" applyAlignment="1" applyProtection="1"/>
    <xf numFmtId="0" fontId="65" fillId="0" borderId="52" xfId="195" applyNumberFormat="1" applyFont="1" applyFill="1" applyBorder="1" applyAlignment="1" applyProtection="1">
      <alignment horizontal="center" vertical="center" wrapText="1"/>
    </xf>
    <xf numFmtId="0" fontId="59" fillId="0" borderId="56" xfId="195" applyNumberFormat="1" applyFont="1" applyFill="1" applyBorder="1" applyAlignment="1" applyProtection="1">
      <alignment horizontal="center" wrapText="1"/>
    </xf>
    <xf numFmtId="168" fontId="59" fillId="0" borderId="65" xfId="195" applyNumberFormat="1" applyFont="1" applyFill="1" applyBorder="1" applyAlignment="1" applyProtection="1">
      <alignment horizontal="right" vertical="center" wrapText="1"/>
    </xf>
    <xf numFmtId="168" fontId="61" fillId="0" borderId="57" xfId="195" applyNumberFormat="1" applyFont="1" applyFill="1" applyBorder="1" applyAlignment="1" applyProtection="1">
      <alignment horizontal="right" vertical="center" wrapText="1"/>
    </xf>
    <xf numFmtId="168" fontId="59" fillId="0" borderId="57" xfId="195" applyNumberFormat="1" applyFont="1" applyFill="1" applyBorder="1" applyAlignment="1" applyProtection="1">
      <alignment horizontal="right" vertical="center" wrapText="1"/>
    </xf>
    <xf numFmtId="0" fontId="61" fillId="0" borderId="0" xfId="195" applyNumberFormat="1" applyFont="1" applyFill="1" applyAlignment="1" applyProtection="1"/>
    <xf numFmtId="0" fontId="59" fillId="0" borderId="51" xfId="195" applyNumberFormat="1" applyFont="1" applyFill="1" applyBorder="1" applyAlignment="1" applyProtection="1">
      <alignment horizontal="center" wrapText="1"/>
    </xf>
    <xf numFmtId="0" fontId="59" fillId="0" borderId="66" xfId="195" applyNumberFormat="1" applyFont="1" applyFill="1" applyBorder="1" applyAlignment="1" applyProtection="1">
      <alignment horizontal="center" vertical="center" wrapText="1"/>
    </xf>
    <xf numFmtId="0" fontId="59" fillId="0" borderId="67" xfId="195" applyNumberFormat="1" applyFont="1" applyFill="1" applyBorder="1" applyAlignment="1" applyProtection="1">
      <alignment horizontal="center" wrapText="1"/>
    </xf>
    <xf numFmtId="168" fontId="61" fillId="0" borderId="68" xfId="195" applyNumberFormat="1" applyFont="1" applyFill="1" applyBorder="1" applyAlignment="1" applyProtection="1">
      <alignment horizontal="right" vertical="center" wrapText="1"/>
    </xf>
    <xf numFmtId="168" fontId="61" fillId="0" borderId="69" xfId="195" applyNumberFormat="1" applyFont="1" applyFill="1" applyBorder="1" applyAlignment="1" applyProtection="1">
      <alignment horizontal="right" vertical="center" wrapText="1"/>
    </xf>
    <xf numFmtId="0" fontId="57" fillId="0" borderId="1" xfId="195" applyNumberFormat="1" applyFont="1" applyFill="1" applyBorder="1" applyAlignment="1" applyProtection="1">
      <alignment horizontal="left" vertical="center" wrapText="1"/>
    </xf>
    <xf numFmtId="0" fontId="59" fillId="0" borderId="54" xfId="195" applyNumberFormat="1" applyFont="1" applyFill="1" applyBorder="1" applyAlignment="1" applyProtection="1">
      <alignment horizontal="center" vertical="center" wrapText="1"/>
    </xf>
    <xf numFmtId="166" fontId="61" fillId="0" borderId="48" xfId="195" applyNumberFormat="1" applyFont="1" applyFill="1" applyBorder="1" applyAlignment="1" applyProtection="1">
      <alignment horizontal="right" vertical="center" wrapText="1"/>
    </xf>
    <xf numFmtId="166" fontId="59" fillId="0" borderId="48" xfId="195" applyNumberFormat="1" applyFont="1" applyFill="1" applyBorder="1" applyAlignment="1" applyProtection="1">
      <alignment horizontal="right" vertical="center" wrapText="1"/>
    </xf>
    <xf numFmtId="166" fontId="57" fillId="0" borderId="48" xfId="195" applyNumberFormat="1" applyFont="1" applyFill="1" applyBorder="1" applyAlignment="1" applyProtection="1">
      <alignment horizontal="right" vertical="center" wrapText="1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164" fontId="53" fillId="0" borderId="48" xfId="195" applyNumberFormat="1" applyFont="1" applyFill="1" applyBorder="1" applyAlignment="1" applyProtection="1">
      <alignment horizontal="right" vertical="center" wrapText="1"/>
    </xf>
    <xf numFmtId="164" fontId="52" fillId="0" borderId="48" xfId="195" applyNumberFormat="1" applyFont="1" applyFill="1" applyBorder="1" applyAlignment="1" applyProtection="1">
      <alignment horizontal="right" vertical="center" wrapText="1"/>
    </xf>
    <xf numFmtId="164" fontId="53" fillId="28" borderId="48" xfId="195" applyNumberFormat="1" applyFont="1" applyFill="1" applyBorder="1" applyAlignment="1" applyProtection="1">
      <alignment horizontal="right" vertical="center" wrapText="1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166" fontId="59" fillId="0" borderId="57" xfId="195" applyNumberFormat="1" applyFont="1" applyFill="1" applyBorder="1" applyAlignment="1" applyProtection="1">
      <alignment horizontal="right" vertical="center" wrapText="1"/>
    </xf>
    <xf numFmtId="166" fontId="61" fillId="0" borderId="57" xfId="195" applyNumberFormat="1" applyFont="1" applyFill="1" applyBorder="1" applyAlignment="1" applyProtection="1">
      <alignment horizontal="right" vertical="center" wrapText="1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48" xfId="195" applyNumberFormat="1" applyFont="1" applyFill="1" applyBorder="1" applyAlignment="1" applyProtection="1">
      <alignment vertical="center" wrapText="1"/>
    </xf>
    <xf numFmtId="0" fontId="61" fillId="0" borderId="48" xfId="195" applyNumberFormat="1" applyFont="1" applyFill="1" applyBorder="1" applyAlignment="1" applyProtection="1">
      <alignment vertical="center" wrapText="1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6" fillId="0" borderId="0" xfId="218"/>
    <xf numFmtId="0" fontId="36" fillId="0" borderId="2" xfId="218" applyFont="1" applyBorder="1" applyAlignment="1">
      <alignment horizontal="center" vertical="center" wrapText="1"/>
    </xf>
    <xf numFmtId="3" fontId="36" fillId="0" borderId="2" xfId="218" applyNumberFormat="1" applyFont="1" applyBorder="1" applyAlignment="1">
      <alignment horizontal="center" vertical="center" wrapText="1"/>
    </xf>
    <xf numFmtId="0" fontId="64" fillId="24" borderId="29" xfId="218" applyFont="1" applyFill="1" applyBorder="1" applyAlignment="1">
      <alignment horizontal="left" vertical="center" wrapText="1"/>
    </xf>
    <xf numFmtId="0" fontId="13" fillId="24" borderId="29" xfId="218" applyFont="1" applyFill="1" applyBorder="1" applyAlignment="1">
      <alignment horizontal="center" vertical="center" wrapText="1"/>
    </xf>
    <xf numFmtId="164" fontId="38" fillId="24" borderId="29" xfId="218" applyNumberFormat="1" applyFont="1" applyFill="1" applyBorder="1" applyAlignment="1">
      <alignment horizontal="right" vertical="center" wrapText="1"/>
    </xf>
    <xf numFmtId="0" fontId="67" fillId="25" borderId="32" xfId="218" applyFont="1" applyFill="1" applyBorder="1" applyAlignment="1">
      <alignment horizontal="left" vertical="center" wrapText="1"/>
    </xf>
    <xf numFmtId="0" fontId="68" fillId="25" borderId="32" xfId="218" applyFont="1" applyFill="1" applyBorder="1" applyAlignment="1">
      <alignment vertical="center" wrapText="1"/>
    </xf>
    <xf numFmtId="164" fontId="69" fillId="25" borderId="32" xfId="218" applyNumberFormat="1" applyFont="1" applyFill="1" applyBorder="1" applyAlignment="1">
      <alignment vertical="center" wrapText="1"/>
    </xf>
    <xf numFmtId="0" fontId="70" fillId="0" borderId="33" xfId="218" applyFont="1" applyFill="1" applyBorder="1" applyAlignment="1">
      <alignment horizontal="left" vertical="center" wrapText="1"/>
    </xf>
    <xf numFmtId="3" fontId="5" fillId="0" borderId="33" xfId="218" applyNumberFormat="1" applyFont="1" applyFill="1" applyBorder="1" applyAlignment="1">
      <alignment vertical="center" wrapText="1"/>
    </xf>
    <xf numFmtId="164" fontId="45" fillId="0" borderId="34" xfId="218" applyNumberFormat="1" applyFont="1" applyBorder="1" applyAlignment="1">
      <alignment vertical="center" wrapText="1"/>
    </xf>
    <xf numFmtId="0" fontId="71" fillId="0" borderId="0" xfId="218" applyFont="1"/>
    <xf numFmtId="164" fontId="71" fillId="0" borderId="0" xfId="218" applyNumberFormat="1" applyFont="1"/>
    <xf numFmtId="0" fontId="67" fillId="25" borderId="31" xfId="218" applyFont="1" applyFill="1" applyBorder="1" applyAlignment="1">
      <alignment horizontal="left" vertical="center" wrapText="1"/>
    </xf>
    <xf numFmtId="0" fontId="68" fillId="25" borderId="31" xfId="218" applyFont="1" applyFill="1" applyBorder="1" applyAlignment="1">
      <alignment vertical="center" wrapText="1"/>
    </xf>
    <xf numFmtId="164" fontId="69" fillId="25" borderId="31" xfId="218" applyNumberFormat="1" applyFont="1" applyFill="1" applyBorder="1" applyAlignment="1">
      <alignment vertical="center" wrapText="1"/>
    </xf>
    <xf numFmtId="164" fontId="45" fillId="26" borderId="34" xfId="218" applyNumberFormat="1" applyFont="1" applyFill="1" applyBorder="1" applyAlignment="1">
      <alignment vertical="center" wrapText="1"/>
    </xf>
    <xf numFmtId="0" fontId="70" fillId="0" borderId="3" xfId="218" applyFont="1" applyFill="1" applyBorder="1" applyAlignment="1">
      <alignment horizontal="left" vertical="center" wrapText="1"/>
    </xf>
    <xf numFmtId="3" fontId="5" fillId="0" borderId="3" xfId="218" applyNumberFormat="1" applyFont="1" applyFill="1" applyBorder="1" applyAlignment="1">
      <alignment vertical="center" wrapText="1"/>
    </xf>
    <xf numFmtId="0" fontId="72" fillId="0" borderId="34" xfId="218" applyFont="1" applyBorder="1" applyAlignment="1">
      <alignment horizontal="left" vertical="center" wrapText="1"/>
    </xf>
    <xf numFmtId="0" fontId="73" fillId="0" borderId="34" xfId="218" applyFont="1" applyBorder="1" applyAlignment="1">
      <alignment vertical="center" wrapText="1"/>
    </xf>
    <xf numFmtId="164" fontId="74" fillId="0" borderId="34" xfId="218" applyNumberFormat="1" applyFont="1" applyBorder="1" applyAlignment="1">
      <alignment vertical="center" wrapText="1"/>
    </xf>
    <xf numFmtId="0" fontId="6" fillId="0" borderId="0" xfId="218" applyFill="1"/>
    <xf numFmtId="0" fontId="75" fillId="0" borderId="34" xfId="218" applyFont="1" applyBorder="1" applyAlignment="1">
      <alignment horizontal="left" vertical="center" wrapText="1"/>
    </xf>
    <xf numFmtId="164" fontId="74" fillId="26" borderId="34" xfId="218" applyNumberFormat="1" applyFont="1" applyFill="1" applyBorder="1" applyAlignment="1">
      <alignment vertical="center" wrapText="1"/>
    </xf>
    <xf numFmtId="0" fontId="71" fillId="0" borderId="0" xfId="218" applyFont="1" applyFill="1"/>
    <xf numFmtId="164" fontId="45" fillId="0" borderId="3" xfId="218" applyNumberFormat="1" applyFont="1" applyBorder="1" applyAlignment="1">
      <alignment vertical="center" wrapText="1"/>
    </xf>
    <xf numFmtId="164" fontId="45" fillId="0" borderId="35" xfId="218" applyNumberFormat="1" applyFont="1" applyBorder="1" applyAlignment="1">
      <alignment vertical="center" wrapText="1"/>
    </xf>
    <xf numFmtId="0" fontId="70" fillId="0" borderId="70" xfId="218" applyFont="1" applyFill="1" applyBorder="1" applyAlignment="1">
      <alignment horizontal="left" vertical="center" wrapText="1"/>
    </xf>
    <xf numFmtId="3" fontId="5" fillId="0" borderId="70" xfId="218" applyNumberFormat="1" applyFont="1" applyFill="1" applyBorder="1" applyAlignment="1">
      <alignment vertical="center" wrapText="1"/>
    </xf>
    <xf numFmtId="164" fontId="45" fillId="0" borderId="70" xfId="218" applyNumberFormat="1" applyFont="1" applyBorder="1" applyAlignment="1">
      <alignment vertical="center" wrapText="1"/>
    </xf>
    <xf numFmtId="0" fontId="70" fillId="0" borderId="30" xfId="218" applyFont="1" applyFill="1" applyBorder="1" applyAlignment="1">
      <alignment horizontal="left" vertical="center" wrapText="1"/>
    </xf>
    <xf numFmtId="3" fontId="5" fillId="0" borderId="30" xfId="218" applyNumberFormat="1" applyFont="1" applyFill="1" applyBorder="1" applyAlignment="1">
      <alignment vertical="center" wrapText="1"/>
    </xf>
    <xf numFmtId="164" fontId="45" fillId="0" borderId="30" xfId="218" applyNumberFormat="1" applyFont="1" applyBorder="1" applyAlignment="1">
      <alignment vertical="center" wrapText="1"/>
    </xf>
    <xf numFmtId="164" fontId="45" fillId="0" borderId="34" xfId="218" applyNumberFormat="1" applyFont="1" applyFill="1" applyBorder="1" applyAlignment="1">
      <alignment vertical="center" wrapText="1"/>
    </xf>
    <xf numFmtId="0" fontId="70" fillId="0" borderId="34" xfId="218" applyFont="1" applyFill="1" applyBorder="1" applyAlignment="1">
      <alignment horizontal="left" vertical="center" wrapText="1"/>
    </xf>
    <xf numFmtId="3" fontId="5" fillId="0" borderId="34" xfId="218" applyNumberFormat="1" applyFont="1" applyFill="1" applyBorder="1" applyAlignment="1">
      <alignment vertical="center" wrapText="1"/>
    </xf>
    <xf numFmtId="164" fontId="45" fillId="0" borderId="3" xfId="218" applyNumberFormat="1" applyFont="1" applyFill="1" applyBorder="1" applyAlignment="1">
      <alignment vertical="center" wrapText="1"/>
    </xf>
    <xf numFmtId="0" fontId="70" fillId="0" borderId="31" xfId="218" applyFont="1" applyFill="1" applyBorder="1" applyAlignment="1">
      <alignment horizontal="left" vertical="center" wrapText="1"/>
    </xf>
    <xf numFmtId="3" fontId="5" fillId="0" borderId="31" xfId="218" applyNumberFormat="1" applyFont="1" applyFill="1" applyBorder="1" applyAlignment="1">
      <alignment vertical="center" wrapText="1"/>
    </xf>
    <xf numFmtId="164" fontId="45" fillId="0" borderId="31" xfId="218" applyNumberFormat="1" applyFont="1" applyFill="1" applyBorder="1" applyAlignment="1">
      <alignment vertical="center" wrapText="1"/>
    </xf>
    <xf numFmtId="0" fontId="73" fillId="0" borderId="33" xfId="218" applyFont="1" applyBorder="1" applyAlignment="1">
      <alignment vertical="center" wrapText="1"/>
    </xf>
    <xf numFmtId="164" fontId="74" fillId="0" borderId="33" xfId="218" applyNumberFormat="1" applyFont="1" applyBorder="1" applyAlignment="1">
      <alignment vertical="center" wrapText="1"/>
    </xf>
    <xf numFmtId="164" fontId="71" fillId="0" borderId="0" xfId="218" applyNumberFormat="1" applyFont="1" applyFill="1"/>
    <xf numFmtId="0" fontId="70" fillId="0" borderId="4" xfId="218" applyFont="1" applyFill="1" applyBorder="1" applyAlignment="1">
      <alignment horizontal="left" vertical="center" wrapText="1"/>
    </xf>
    <xf numFmtId="3" fontId="5" fillId="0" borderId="4" xfId="218" applyNumberFormat="1" applyFont="1" applyFill="1" applyBorder="1" applyAlignment="1">
      <alignment vertical="center" wrapText="1"/>
    </xf>
    <xf numFmtId="164" fontId="45" fillId="0" borderId="4" xfId="218" applyNumberFormat="1" applyFont="1" applyFill="1" applyBorder="1" applyAlignment="1">
      <alignment vertical="center" wrapText="1"/>
    </xf>
    <xf numFmtId="3" fontId="5" fillId="0" borderId="33" xfId="218" applyNumberFormat="1" applyFont="1" applyFill="1" applyBorder="1" applyAlignment="1">
      <alignment horizontal="left" vertical="center" wrapText="1"/>
    </xf>
    <xf numFmtId="0" fontId="40" fillId="24" borderId="29" xfId="218" applyFont="1" applyFill="1" applyBorder="1" applyAlignment="1">
      <alignment horizontal="centerContinuous" vertical="center" wrapText="1"/>
    </xf>
    <xf numFmtId="0" fontId="7" fillId="24" borderId="29" xfId="218" applyFont="1" applyFill="1" applyBorder="1" applyAlignment="1">
      <alignment horizontal="centerContinuous" vertical="center" wrapText="1"/>
    </xf>
    <xf numFmtId="0" fontId="76" fillId="0" borderId="0" xfId="218" applyFont="1" applyAlignment="1">
      <alignment horizontal="center" vertical="center"/>
    </xf>
    <xf numFmtId="0" fontId="6" fillId="0" borderId="0" xfId="218" applyAlignment="1">
      <alignment vertical="center"/>
    </xf>
    <xf numFmtId="3" fontId="6" fillId="0" borderId="0" xfId="218" applyNumberFormat="1" applyAlignment="1">
      <alignment vertical="center"/>
    </xf>
    <xf numFmtId="164" fontId="6" fillId="0" borderId="0" xfId="218" applyNumberFormat="1" applyAlignment="1">
      <alignment vertical="center"/>
    </xf>
    <xf numFmtId="0" fontId="4" fillId="0" borderId="0" xfId="252" applyFont="1" applyFill="1"/>
    <xf numFmtId="49" fontId="8" fillId="0" borderId="0" xfId="251" applyNumberFormat="1" applyFont="1" applyFill="1" applyBorder="1" applyAlignment="1">
      <alignment horizontal="right" vertical="justify" wrapText="1"/>
    </xf>
    <xf numFmtId="0" fontId="8" fillId="0" borderId="0" xfId="251" applyFont="1" applyFill="1" applyBorder="1" applyAlignment="1">
      <alignment horizontal="right" vertical="justify" wrapText="1"/>
    </xf>
    <xf numFmtId="0" fontId="8" fillId="0" borderId="0" xfId="251" applyFont="1" applyFill="1" applyBorder="1" applyAlignment="1">
      <alignment horizontal="right" vertical="center" wrapText="1"/>
    </xf>
    <xf numFmtId="49" fontId="4" fillId="0" borderId="0" xfId="252" applyNumberFormat="1" applyFont="1" applyFill="1"/>
    <xf numFmtId="0" fontId="4" fillId="0" borderId="0" xfId="252" applyFont="1" applyFill="1" applyAlignment="1">
      <alignment vertical="center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171" fontId="59" fillId="0" borderId="48" xfId="195" applyNumberFormat="1" applyFont="1" applyFill="1" applyBorder="1" applyAlignment="1" applyProtection="1">
      <alignment horizontal="right" vertical="center" wrapText="1"/>
    </xf>
    <xf numFmtId="171" fontId="61" fillId="0" borderId="48" xfId="195" applyNumberFormat="1" applyFont="1" applyFill="1" applyBorder="1" applyAlignment="1" applyProtection="1">
      <alignment horizontal="right" vertical="center" wrapText="1"/>
    </xf>
    <xf numFmtId="0" fontId="52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4" fillId="0" borderId="48" xfId="195" applyNumberFormat="1" applyFont="1" applyFill="1" applyBorder="1" applyAlignment="1" applyProtection="1">
      <alignment horizontal="left" vertical="center" wrapText="1"/>
    </xf>
    <xf numFmtId="0" fontId="4" fillId="0" borderId="48" xfId="195" applyNumberFormat="1" applyFont="1" applyFill="1" applyBorder="1" applyAlignment="1" applyProtection="1">
      <alignment horizontal="center" vertical="center" wrapText="1"/>
    </xf>
    <xf numFmtId="168" fontId="4" fillId="0" borderId="55" xfId="195" applyNumberFormat="1" applyFont="1" applyFill="1" applyBorder="1" applyAlignment="1" applyProtection="1">
      <alignment horizontal="right" vertical="center" wrapText="1"/>
    </xf>
    <xf numFmtId="166" fontId="4" fillId="0" borderId="57" xfId="195" applyNumberFormat="1" applyFont="1" applyFill="1" applyBorder="1" applyAlignment="1" applyProtection="1">
      <alignment horizontal="right" vertical="center" wrapText="1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164" fontId="45" fillId="26" borderId="30" xfId="218" applyNumberFormat="1" applyFont="1" applyFill="1" applyBorder="1" applyAlignment="1">
      <alignment vertical="center" wrapText="1"/>
    </xf>
    <xf numFmtId="0" fontId="77" fillId="0" borderId="48" xfId="195" applyNumberFormat="1" applyFont="1" applyFill="1" applyBorder="1" applyAlignment="1" applyProtection="1">
      <alignment horizontal="center" vertical="center" wrapText="1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166" fontId="52" fillId="0" borderId="0" xfId="195" applyNumberFormat="1" applyFont="1" applyFill="1" applyAlignment="1" applyProtection="1"/>
    <xf numFmtId="166" fontId="61" fillId="0" borderId="0" xfId="195" applyNumberFormat="1" applyFont="1" applyFill="1" applyAlignment="1" applyProtection="1">
      <alignment horizontal="center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37" fillId="0" borderId="48" xfId="195" applyNumberFormat="1" applyFont="1" applyFill="1" applyBorder="1" applyAlignment="1" applyProtection="1">
      <alignment horizontal="left" vertical="center" wrapText="1"/>
    </xf>
    <xf numFmtId="164" fontId="7" fillId="0" borderId="1" xfId="0" applyNumberFormat="1" applyFont="1" applyFill="1" applyBorder="1" applyAlignment="1">
      <alignment horizontal="right"/>
    </xf>
    <xf numFmtId="0" fontId="10" fillId="0" borderId="0" xfId="0" applyFont="1" applyFill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164" fontId="45" fillId="26" borderId="3" xfId="218" applyNumberFormat="1" applyFont="1" applyFill="1" applyBorder="1" applyAlignment="1">
      <alignment vertical="center" wrapText="1"/>
    </xf>
    <xf numFmtId="0" fontId="52" fillId="0" borderId="0" xfId="195" applyNumberFormat="1" applyFont="1" applyFill="1" applyAlignment="1" applyProtection="1"/>
    <xf numFmtId="0" fontId="50" fillId="0" borderId="0" xfId="195" applyNumberFormat="1" applyFont="1" applyFill="1" applyAlignment="1" applyProtection="1"/>
    <xf numFmtId="0" fontId="35" fillId="0" borderId="48" xfId="195" applyNumberFormat="1" applyFill="1" applyBorder="1" applyAlignment="1" applyProtection="1">
      <alignment horizontal="left" vertical="center" wrapText="1"/>
    </xf>
    <xf numFmtId="3" fontId="37" fillId="0" borderId="0" xfId="218" applyNumberFormat="1" applyFont="1" applyAlignment="1">
      <alignment horizontal="right" vertical="center"/>
    </xf>
    <xf numFmtId="0" fontId="8" fillId="0" borderId="28" xfId="218" applyNumberFormat="1" applyFont="1" applyBorder="1" applyAlignment="1">
      <alignment horizontal="center" vertical="center" wrapText="1"/>
    </xf>
    <xf numFmtId="0" fontId="5" fillId="0" borderId="28" xfId="218" applyNumberFormat="1" applyFont="1" applyBorder="1" applyAlignment="1">
      <alignment vertical="center" wrapText="1"/>
    </xf>
    <xf numFmtId="49" fontId="42" fillId="0" borderId="36" xfId="251" applyNumberFormat="1" applyFont="1" applyFill="1" applyBorder="1" applyAlignment="1">
      <alignment horizontal="center" vertical="center" wrapText="1"/>
    </xf>
    <xf numFmtId="49" fontId="42" fillId="0" borderId="37" xfId="251" applyNumberFormat="1" applyFont="1" applyFill="1" applyBorder="1" applyAlignment="1">
      <alignment horizontal="center" vertical="center" wrapText="1"/>
    </xf>
    <xf numFmtId="49" fontId="42" fillId="0" borderId="38" xfId="251" applyNumberFormat="1" applyFont="1" applyFill="1" applyBorder="1" applyAlignment="1">
      <alignment horizontal="center" vertical="center" wrapText="1"/>
    </xf>
    <xf numFmtId="0" fontId="5" fillId="0" borderId="0" xfId="251" applyFont="1" applyFill="1" applyBorder="1" applyAlignment="1">
      <alignment horizontal="right" vertical="center" wrapText="1"/>
    </xf>
    <xf numFmtId="0" fontId="5" fillId="0" borderId="0" xfId="251" applyFont="1" applyFill="1" applyBorder="1" applyAlignment="1">
      <alignment horizontal="right" vertical="justify" wrapText="1"/>
    </xf>
    <xf numFmtId="0" fontId="38" fillId="0" borderId="28" xfId="251" applyFont="1" applyFill="1" applyBorder="1" applyAlignment="1">
      <alignment horizontal="center" vertical="center" wrapText="1"/>
    </xf>
    <xf numFmtId="0" fontId="5" fillId="0" borderId="0" xfId="211" applyFont="1" applyFill="1" applyAlignment="1">
      <alignment horizontal="right" vertical="center" wrapText="1"/>
    </xf>
    <xf numFmtId="0" fontId="5" fillId="0" borderId="0" xfId="0" applyFont="1" applyAlignment="1">
      <alignment wrapText="1"/>
    </xf>
    <xf numFmtId="0" fontId="58" fillId="0" borderId="0" xfId="195" applyNumberFormat="1" applyFont="1" applyFill="1" applyAlignment="1" applyProtection="1">
      <alignment horizontal="center" vertical="center" wrapText="1"/>
    </xf>
    <xf numFmtId="0" fontId="8" fillId="0" borderId="0" xfId="0" applyFont="1" applyAlignment="1">
      <alignment wrapText="1"/>
    </xf>
    <xf numFmtId="164" fontId="4" fillId="0" borderId="0" xfId="252" applyNumberFormat="1" applyFont="1" applyFill="1" applyAlignment="1">
      <alignment horizontal="right" wrapText="1"/>
    </xf>
    <xf numFmtId="0" fontId="0" fillId="0" borderId="0" xfId="0" applyAlignment="1">
      <alignment wrapText="1"/>
    </xf>
    <xf numFmtId="164" fontId="4" fillId="0" borderId="0" xfId="1" applyNumberFormat="1" applyFont="1" applyFill="1" applyBorder="1" applyAlignment="1">
      <alignment horizontal="right" vertical="top" wrapText="1"/>
    </xf>
    <xf numFmtId="0" fontId="52" fillId="0" borderId="0" xfId="195" applyNumberFormat="1" applyFont="1" applyFill="1" applyAlignment="1" applyProtection="1">
      <alignment horizontal="left" wrapText="1"/>
    </xf>
    <xf numFmtId="0" fontId="52" fillId="0" borderId="0" xfId="195" applyNumberFormat="1" applyFont="1" applyFill="1" applyAlignment="1" applyProtection="1"/>
    <xf numFmtId="0" fontId="53" fillId="0" borderId="52" xfId="195" applyNumberFormat="1" applyFont="1" applyFill="1" applyBorder="1" applyAlignment="1" applyProtection="1">
      <alignment horizontal="center" wrapText="1"/>
    </xf>
    <xf numFmtId="0" fontId="0" fillId="0" borderId="58" xfId="0" applyBorder="1" applyAlignment="1">
      <alignment horizontal="center" wrapText="1"/>
    </xf>
    <xf numFmtId="0" fontId="53" fillId="0" borderId="1" xfId="195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wrapText="1"/>
    </xf>
    <xf numFmtId="0" fontId="52" fillId="0" borderId="28" xfId="195" applyNumberFormat="1" applyFont="1" applyFill="1" applyBorder="1" applyAlignment="1" applyProtection="1">
      <alignment horizontal="right" wrapText="1"/>
    </xf>
    <xf numFmtId="0" fontId="0" fillId="0" borderId="28" xfId="0" applyBorder="1" applyAlignment="1">
      <alignment wrapText="1"/>
    </xf>
    <xf numFmtId="49" fontId="54" fillId="0" borderId="0" xfId="253" applyNumberFormat="1" applyFont="1" applyAlignment="1">
      <alignment horizontal="center" vertical="center" wrapText="1"/>
    </xf>
    <xf numFmtId="49" fontId="55" fillId="0" borderId="0" xfId="253" applyNumberFormat="1" applyFont="1" applyAlignment="1">
      <alignment horizontal="center" vertical="center" wrapText="1"/>
    </xf>
    <xf numFmtId="164" fontId="5" fillId="0" borderId="0" xfId="0" applyNumberFormat="1" applyFont="1" applyFill="1" applyAlignment="1">
      <alignment horizontal="right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10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wrapText="1"/>
    </xf>
    <xf numFmtId="0" fontId="7" fillId="0" borderId="0" xfId="2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6" xfId="2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4" fillId="0" borderId="28" xfId="2" applyFont="1" applyFill="1" applyBorder="1" applyAlignment="1">
      <alignment horizontal="right" vertical="center" wrapText="1"/>
    </xf>
    <xf numFmtId="0" fontId="0" fillId="0" borderId="28" xfId="0" applyBorder="1" applyAlignment="1">
      <alignment horizontal="right" wrapText="1"/>
    </xf>
    <xf numFmtId="0" fontId="7" fillId="0" borderId="0" xfId="2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5" fillId="0" borderId="1" xfId="196" applyFont="1" applyFill="1" applyBorder="1" applyAlignment="1">
      <alignment horizontal="center" vertical="center"/>
    </xf>
    <xf numFmtId="0" fontId="38" fillId="0" borderId="43" xfId="196" applyNumberFormat="1" applyFont="1" applyFill="1" applyBorder="1" applyAlignment="1">
      <alignment horizontal="left" vertical="center" wrapText="1"/>
    </xf>
    <xf numFmtId="0" fontId="38" fillId="0" borderId="44" xfId="196" applyNumberFormat="1" applyFont="1" applyFill="1" applyBorder="1" applyAlignment="1">
      <alignment horizontal="left" vertical="center" wrapText="1"/>
    </xf>
    <xf numFmtId="0" fontId="38" fillId="0" borderId="45" xfId="196" applyNumberFormat="1" applyFont="1" applyFill="1" applyBorder="1" applyAlignment="1">
      <alignment horizontal="left" vertical="center" wrapText="1"/>
    </xf>
    <xf numFmtId="0" fontId="8" fillId="0" borderId="1" xfId="196" applyNumberFormat="1" applyFont="1" applyFill="1" applyBorder="1" applyAlignment="1">
      <alignment horizontal="left" vertical="center" wrapText="1"/>
    </xf>
    <xf numFmtId="0" fontId="38" fillId="0" borderId="36" xfId="196" applyNumberFormat="1" applyFont="1" applyFill="1" applyBorder="1" applyAlignment="1">
      <alignment horizontal="left" vertical="center" wrapText="1"/>
    </xf>
    <xf numFmtId="0" fontId="38" fillId="0" borderId="37" xfId="196" applyNumberFormat="1" applyFont="1" applyFill="1" applyBorder="1" applyAlignment="1">
      <alignment horizontal="left" vertical="center" wrapText="1"/>
    </xf>
    <xf numFmtId="0" fontId="38" fillId="0" borderId="38" xfId="196" applyNumberFormat="1" applyFont="1" applyFill="1" applyBorder="1" applyAlignment="1">
      <alignment horizontal="left" vertical="center" wrapText="1"/>
    </xf>
    <xf numFmtId="164" fontId="5" fillId="0" borderId="0" xfId="196" applyNumberFormat="1" applyFont="1" applyFill="1" applyAlignment="1">
      <alignment horizontal="right" wrapText="1"/>
    </xf>
    <xf numFmtId="0" fontId="5" fillId="0" borderId="28" xfId="196" applyFont="1" applyFill="1" applyBorder="1" applyAlignment="1">
      <alignment horizontal="right" wrapText="1"/>
    </xf>
    <xf numFmtId="0" fontId="38" fillId="0" borderId="0" xfId="196" applyFont="1" applyFill="1" applyBorder="1" applyAlignment="1">
      <alignment horizontal="center" wrapText="1"/>
    </xf>
    <xf numFmtId="0" fontId="38" fillId="0" borderId="0" xfId="196" applyFont="1" applyFill="1" applyBorder="1" applyAlignment="1">
      <alignment horizontal="center" vertical="center" wrapText="1"/>
    </xf>
    <xf numFmtId="0" fontId="5" fillId="0" borderId="43" xfId="196" applyFont="1" applyFill="1" applyBorder="1" applyAlignment="1">
      <alignment horizontal="center" vertical="center"/>
    </xf>
    <xf numFmtId="0" fontId="5" fillId="0" borderId="44" xfId="196" applyFont="1" applyFill="1" applyBorder="1" applyAlignment="1">
      <alignment horizontal="center" vertical="center"/>
    </xf>
    <xf numFmtId="0" fontId="5" fillId="0" borderId="45" xfId="196" applyFont="1" applyFill="1" applyBorder="1" applyAlignment="1">
      <alignment horizontal="center" vertical="center"/>
    </xf>
    <xf numFmtId="0" fontId="5" fillId="0" borderId="46" xfId="196" applyFont="1" applyFill="1" applyBorder="1" applyAlignment="1">
      <alignment horizontal="center" vertical="center"/>
    </xf>
    <xf numFmtId="0" fontId="5" fillId="0" borderId="28" xfId="196" applyFont="1" applyFill="1" applyBorder="1" applyAlignment="1">
      <alignment horizontal="center" vertical="center"/>
    </xf>
    <xf numFmtId="0" fontId="5" fillId="0" borderId="47" xfId="196" applyFont="1" applyFill="1" applyBorder="1" applyAlignment="1">
      <alignment horizontal="center" vertical="center"/>
    </xf>
    <xf numFmtId="0" fontId="5" fillId="0" borderId="2" xfId="196" applyFont="1" applyFill="1" applyBorder="1" applyAlignment="1">
      <alignment horizontal="center" vertical="center" wrapText="1"/>
    </xf>
    <xf numFmtId="0" fontId="5" fillId="0" borderId="4" xfId="196" applyFont="1" applyFill="1" applyBorder="1" applyAlignment="1">
      <alignment horizontal="center" vertical="center" wrapText="1"/>
    </xf>
    <xf numFmtId="0" fontId="13" fillId="0" borderId="43" xfId="196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3" fillId="0" borderId="1" xfId="19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8" fillId="0" borderId="28" xfId="196" applyFont="1" applyBorder="1" applyAlignment="1">
      <alignment horizontal="center" vertical="center" wrapText="1"/>
    </xf>
    <xf numFmtId="0" fontId="4" fillId="0" borderId="28" xfId="196" applyFont="1" applyBorder="1" applyAlignment="1"/>
    <xf numFmtId="0" fontId="59" fillId="0" borderId="36" xfId="195" applyNumberFormat="1" applyFont="1" applyFill="1" applyBorder="1" applyAlignment="1" applyProtection="1">
      <alignment horizontal="center" vertical="center" wrapText="1"/>
    </xf>
    <xf numFmtId="0" fontId="59" fillId="0" borderId="37" xfId="195" applyNumberFormat="1" applyFont="1" applyFill="1" applyBorder="1" applyAlignment="1" applyProtection="1">
      <alignment horizontal="center" vertical="center" wrapText="1"/>
    </xf>
    <xf numFmtId="0" fontId="59" fillId="0" borderId="38" xfId="195" applyNumberFormat="1" applyFont="1" applyFill="1" applyBorder="1" applyAlignment="1" applyProtection="1">
      <alignment horizontal="center" vertical="center" wrapText="1"/>
    </xf>
    <xf numFmtId="0" fontId="50" fillId="0" borderId="28" xfId="195" applyNumberFormat="1" applyFont="1" applyFill="1" applyBorder="1" applyAlignment="1" applyProtection="1">
      <alignment horizontal="right" wrapText="1"/>
    </xf>
    <xf numFmtId="164" fontId="5" fillId="0" borderId="0" xfId="253" applyNumberFormat="1" applyFont="1" applyFill="1" applyAlignment="1">
      <alignment horizontal="right" wrapText="1"/>
    </xf>
    <xf numFmtId="0" fontId="59" fillId="0" borderId="1" xfId="195" applyNumberFormat="1" applyFont="1" applyFill="1" applyBorder="1" applyAlignment="1" applyProtection="1">
      <alignment horizontal="center" vertical="center" wrapText="1"/>
    </xf>
    <xf numFmtId="0" fontId="59" fillId="0" borderId="61" xfId="195" applyNumberFormat="1" applyFont="1" applyFill="1" applyBorder="1" applyAlignment="1" applyProtection="1">
      <alignment horizontal="center" wrapText="1"/>
    </xf>
    <xf numFmtId="0" fontId="59" fillId="0" borderId="62" xfId="195" applyNumberFormat="1" applyFont="1" applyFill="1" applyBorder="1" applyAlignment="1" applyProtection="1">
      <alignment horizontal="center" wrapText="1"/>
    </xf>
    <xf numFmtId="0" fontId="37" fillId="0" borderId="62" xfId="0" applyFont="1" applyBorder="1" applyAlignment="1">
      <alignment horizontal="center" wrapText="1"/>
    </xf>
    <xf numFmtId="0" fontId="59" fillId="0" borderId="36" xfId="195" applyNumberFormat="1" applyFont="1" applyFill="1" applyBorder="1" applyAlignment="1" applyProtection="1">
      <alignment horizontal="center" wrapText="1"/>
    </xf>
    <xf numFmtId="0" fontId="37" fillId="0" borderId="38" xfId="0" applyFont="1" applyBorder="1" applyAlignment="1">
      <alignment horizontal="center" wrapText="1"/>
    </xf>
    <xf numFmtId="0" fontId="64" fillId="0" borderId="36" xfId="0" applyFont="1" applyBorder="1" applyAlignment="1">
      <alignment horizontal="center" wrapText="1"/>
    </xf>
    <xf numFmtId="0" fontId="64" fillId="0" borderId="38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49" fontId="59" fillId="0" borderId="53" xfId="195" applyNumberFormat="1" applyFont="1" applyFill="1" applyBorder="1" applyAlignment="1" applyProtection="1">
      <alignment horizontal="center" wrapText="1"/>
    </xf>
    <xf numFmtId="49" fontId="59" fillId="0" borderId="59" xfId="195" applyNumberFormat="1" applyFont="1" applyFill="1" applyBorder="1" applyAlignment="1" applyProtection="1">
      <alignment horizontal="center" wrapText="1"/>
    </xf>
    <xf numFmtId="49" fontId="59" fillId="0" borderId="51" xfId="195" applyNumberFormat="1" applyFont="1" applyFill="1" applyBorder="1" applyAlignment="1" applyProtection="1">
      <alignment horizontal="center" wrapText="1"/>
    </xf>
    <xf numFmtId="0" fontId="59" fillId="0" borderId="53" xfId="195" applyNumberFormat="1" applyFont="1" applyFill="1" applyBorder="1" applyAlignment="1" applyProtection="1">
      <alignment horizontal="center" wrapText="1"/>
    </xf>
    <xf numFmtId="0" fontId="59" fillId="0" borderId="59" xfId="195" applyNumberFormat="1" applyFont="1" applyFill="1" applyBorder="1" applyAlignment="1" applyProtection="1">
      <alignment horizontal="center" wrapText="1"/>
    </xf>
    <xf numFmtId="0" fontId="59" fillId="0" borderId="51" xfId="195" applyNumberFormat="1" applyFont="1" applyFill="1" applyBorder="1" applyAlignment="1" applyProtection="1">
      <alignment horizontal="center" wrapText="1"/>
    </xf>
    <xf numFmtId="0" fontId="59" fillId="0" borderId="53" xfId="195" applyNumberFormat="1" applyFont="1" applyFill="1" applyBorder="1" applyAlignment="1" applyProtection="1">
      <alignment horizontal="center" vertical="center" wrapText="1"/>
    </xf>
    <xf numFmtId="0" fontId="59" fillId="0" borderId="60" xfId="195" applyNumberFormat="1" applyFont="1" applyFill="1" applyBorder="1" applyAlignment="1" applyProtection="1">
      <alignment horizontal="center" vertical="center" wrapText="1"/>
    </xf>
    <xf numFmtId="0" fontId="59" fillId="0" borderId="51" xfId="195" applyNumberFormat="1" applyFont="1" applyFill="1" applyBorder="1" applyAlignment="1" applyProtection="1">
      <alignment horizontal="center" vertical="center" wrapText="1"/>
    </xf>
    <xf numFmtId="0" fontId="37" fillId="0" borderId="0" xfId="254" applyFont="1" applyFill="1" applyAlignment="1">
      <alignment horizontal="right" vertical="center" wrapText="1"/>
    </xf>
    <xf numFmtId="0" fontId="51" fillId="0" borderId="0" xfId="195" applyNumberFormat="1" applyFont="1" applyFill="1" applyAlignment="1" applyProtection="1">
      <alignment horizontal="center" vertical="center" wrapText="1"/>
    </xf>
    <xf numFmtId="0" fontId="50" fillId="0" borderId="0" xfId="195" applyNumberFormat="1" applyFont="1" applyFill="1" applyAlignment="1" applyProtection="1">
      <alignment horizontal="left" wrapText="1"/>
    </xf>
    <xf numFmtId="0" fontId="50" fillId="0" borderId="0" xfId="195" applyNumberFormat="1" applyFont="1" applyFill="1" applyAlignment="1" applyProtection="1"/>
    <xf numFmtId="0" fontId="59" fillId="0" borderId="63" xfId="195" applyNumberFormat="1" applyFont="1" applyFill="1" applyBorder="1" applyAlignment="1" applyProtection="1">
      <alignment horizontal="center" wrapText="1"/>
    </xf>
    <xf numFmtId="0" fontId="0" fillId="0" borderId="64" xfId="0" applyBorder="1" applyAlignment="1">
      <alignment horizontal="center" wrapText="1"/>
    </xf>
    <xf numFmtId="0" fontId="59" fillId="0" borderId="1" xfId="195" applyNumberFormat="1" applyFont="1" applyFill="1" applyBorder="1" applyAlignment="1" applyProtection="1">
      <alignment horizontal="center" wrapText="1"/>
    </xf>
    <xf numFmtId="0" fontId="50" fillId="0" borderId="54" xfId="195" applyNumberFormat="1" applyFont="1" applyFill="1" applyBorder="1" applyAlignment="1" applyProtection="1">
      <alignment horizontal="right" wrapText="1"/>
    </xf>
    <xf numFmtId="0" fontId="50" fillId="0" borderId="54" xfId="195" applyNumberFormat="1" applyFont="1" applyFill="1" applyBorder="1" applyAlignment="1" applyProtection="1">
      <alignment horizontal="right"/>
    </xf>
    <xf numFmtId="0" fontId="62" fillId="0" borderId="0" xfId="195" applyNumberFormat="1" applyFont="1" applyFill="1" applyAlignment="1" applyProtection="1">
      <alignment vertical="center" wrapText="1"/>
    </xf>
    <xf numFmtId="164" fontId="5" fillId="0" borderId="0" xfId="256" applyNumberFormat="1" applyFont="1" applyFill="1" applyAlignment="1">
      <alignment horizontal="right" vertical="center" wrapText="1"/>
    </xf>
    <xf numFmtId="0" fontId="50" fillId="0" borderId="0" xfId="195" applyNumberFormat="1" applyFont="1" applyFill="1" applyAlignment="1" applyProtection="1">
      <alignment wrapText="1"/>
    </xf>
    <xf numFmtId="0" fontId="5" fillId="0" borderId="0" xfId="256" applyFont="1" applyFill="1" applyAlignment="1">
      <alignment horizontal="right" wrapText="1"/>
    </xf>
    <xf numFmtId="0" fontId="0" fillId="0" borderId="1" xfId="0" applyBorder="1" applyAlignment="1">
      <alignment vertical="center" wrapText="1"/>
    </xf>
    <xf numFmtId="0" fontId="53" fillId="0" borderId="36" xfId="195" applyNumberFormat="1" applyFont="1" applyFill="1" applyBorder="1" applyAlignment="1" applyProtection="1">
      <alignment horizontal="center" wrapText="1"/>
    </xf>
    <xf numFmtId="0" fontId="10" fillId="0" borderId="37" xfId="0" applyFont="1" applyBorder="1" applyAlignment="1">
      <alignment horizontal="center" wrapText="1"/>
    </xf>
    <xf numFmtId="0" fontId="66" fillId="0" borderId="0" xfId="194" applyFont="1" applyAlignment="1">
      <alignment wrapText="1"/>
    </xf>
    <xf numFmtId="0" fontId="39" fillId="0" borderId="0" xfId="194" applyFont="1" applyAlignment="1">
      <alignment wrapText="1"/>
    </xf>
    <xf numFmtId="0" fontId="39" fillId="0" borderId="0" xfId="194" applyFont="1" applyAlignment="1">
      <alignment horizontal="right" wrapText="1"/>
    </xf>
    <xf numFmtId="0" fontId="50" fillId="0" borderId="0" xfId="204" applyNumberFormat="1" applyFont="1" applyFill="1" applyAlignment="1" applyProtection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horizontal="right"/>
    </xf>
    <xf numFmtId="0" fontId="14" fillId="0" borderId="0" xfId="0" applyFont="1" applyAlignment="1">
      <alignment horizontal="right"/>
    </xf>
    <xf numFmtId="164" fontId="14" fillId="0" borderId="0" xfId="1" applyNumberFormat="1" applyFont="1" applyFill="1" applyBorder="1" applyAlignment="1">
      <alignment horizontal="right" vertical="top"/>
    </xf>
    <xf numFmtId="0" fontId="14" fillId="0" borderId="0" xfId="0" applyFont="1" applyAlignment="1"/>
    <xf numFmtId="0" fontId="38" fillId="0" borderId="0" xfId="0" applyFont="1" applyFill="1" applyAlignment="1">
      <alignment horizontal="center"/>
    </xf>
    <xf numFmtId="164" fontId="14" fillId="0" borderId="21" xfId="0" applyNumberFormat="1" applyFont="1" applyFill="1" applyBorder="1" applyAlignment="1">
      <alignment horizontal="center" vertical="center"/>
    </xf>
    <xf numFmtId="164" fontId="14" fillId="0" borderId="20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164" fontId="8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164" fontId="8" fillId="0" borderId="0" xfId="1" applyNumberFormat="1" applyFont="1" applyFill="1" applyBorder="1" applyAlignment="1">
      <alignment horizontal="right" vertical="top"/>
    </xf>
    <xf numFmtId="0" fontId="4" fillId="0" borderId="0" xfId="0" applyFont="1" applyAlignment="1"/>
  </cellXfs>
  <cellStyles count="25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Акцент1 2" xfId="11"/>
    <cellStyle name="20% - Акцент1 3" xfId="12"/>
    <cellStyle name="20% - Акцент1 4" xfId="13"/>
    <cellStyle name="20% - Акцент1 5" xfId="14"/>
    <cellStyle name="20% - Акцент2 2" xfId="15"/>
    <cellStyle name="20% - Акцент2 3" xfId="16"/>
    <cellStyle name="20% - Акцент2 4" xfId="17"/>
    <cellStyle name="20% - Акцент2 5" xfId="18"/>
    <cellStyle name="20% - Акцент3 2" xfId="19"/>
    <cellStyle name="20% - Акцент3 3" xfId="20"/>
    <cellStyle name="20% - Акцент3 4" xfId="21"/>
    <cellStyle name="20% - Акцент3 5" xfId="22"/>
    <cellStyle name="20% - Акцент4 2" xfId="23"/>
    <cellStyle name="20% - Акцент4 3" xfId="24"/>
    <cellStyle name="20% - Акцент4 4" xfId="25"/>
    <cellStyle name="20% - Акцент4 5" xfId="26"/>
    <cellStyle name="20% - Акцент5 2" xfId="27"/>
    <cellStyle name="20% - Акцент5 3" xfId="28"/>
    <cellStyle name="20% - Акцент5 4" xfId="29"/>
    <cellStyle name="20% - Акцент5 5" xfId="30"/>
    <cellStyle name="20% - Акцент6 2" xfId="31"/>
    <cellStyle name="20% - Акцент6 3" xfId="32"/>
    <cellStyle name="20% - Акцент6 4" xfId="33"/>
    <cellStyle name="20% - Акцент6 5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Акцент1 2" xfId="41"/>
    <cellStyle name="40% - Акцент1 3" xfId="42"/>
    <cellStyle name="40% - Акцент1 4" xfId="43"/>
    <cellStyle name="40% - Акцент1 5" xfId="44"/>
    <cellStyle name="40% - Акцент2 2" xfId="45"/>
    <cellStyle name="40% - Акцент2 3" xfId="46"/>
    <cellStyle name="40% - Акцент2 4" xfId="47"/>
    <cellStyle name="40% - Акцент2 5" xfId="48"/>
    <cellStyle name="40% - Акцент3 2" xfId="49"/>
    <cellStyle name="40% - Акцент3 3" xfId="50"/>
    <cellStyle name="40% - Акцент3 4" xfId="51"/>
    <cellStyle name="40% - Акцент3 5" xfId="52"/>
    <cellStyle name="40% - Акцент4 2" xfId="53"/>
    <cellStyle name="40% - Акцент4 3" xfId="54"/>
    <cellStyle name="40% - Акцент4 4" xfId="55"/>
    <cellStyle name="40% - Акцент4 5" xfId="56"/>
    <cellStyle name="40% - Акцент5 2" xfId="57"/>
    <cellStyle name="40% - Акцент5 3" xfId="58"/>
    <cellStyle name="40% - Акцент5 4" xfId="59"/>
    <cellStyle name="40% - Акцент5 5" xfId="60"/>
    <cellStyle name="40% - Акцент6 2" xfId="61"/>
    <cellStyle name="40% - Акцент6 3" xfId="62"/>
    <cellStyle name="40% - Акцент6 4" xfId="63"/>
    <cellStyle name="40% - Акцент6 5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Акцент1 2" xfId="71"/>
    <cellStyle name="60% - Акцент1 3" xfId="72"/>
    <cellStyle name="60% - Акцент1 4" xfId="73"/>
    <cellStyle name="60% - Акцент1 5" xfId="74"/>
    <cellStyle name="60% - Акцент2 2" xfId="75"/>
    <cellStyle name="60% - Акцент2 3" xfId="76"/>
    <cellStyle name="60% - Акцент2 4" xfId="77"/>
    <cellStyle name="60% - Акцент2 5" xfId="78"/>
    <cellStyle name="60% - Акцент3 2" xfId="79"/>
    <cellStyle name="60% - Акцент3 3" xfId="80"/>
    <cellStyle name="60% - Акцент3 4" xfId="81"/>
    <cellStyle name="60% - Акцент3 5" xfId="82"/>
    <cellStyle name="60% - Акцент4 2" xfId="83"/>
    <cellStyle name="60% - Акцент4 3" xfId="84"/>
    <cellStyle name="60% - Акцент4 4" xfId="85"/>
    <cellStyle name="60% - Акцент4 5" xfId="86"/>
    <cellStyle name="60% - Акцент5 2" xfId="87"/>
    <cellStyle name="60% - Акцент5 3" xfId="88"/>
    <cellStyle name="60% - Акцент5 4" xfId="89"/>
    <cellStyle name="60% - Акцент5 5" xfId="90"/>
    <cellStyle name="60% - Акцент6 2" xfId="91"/>
    <cellStyle name="60% - Акцент6 3" xfId="92"/>
    <cellStyle name="60% - Акцент6 4" xfId="93"/>
    <cellStyle name="60% - Акцент6 5" xfId="94"/>
    <cellStyle name="Accent1" xfId="95"/>
    <cellStyle name="Accent2" xfId="96"/>
    <cellStyle name="Accent3" xfId="97"/>
    <cellStyle name="Accent4" xfId="98"/>
    <cellStyle name="Accent5" xfId="99"/>
    <cellStyle name="Accent6" xfId="100"/>
    <cellStyle name="Bad" xfId="101"/>
    <cellStyle name="Calculation" xfId="102"/>
    <cellStyle name="Check Cell" xfId="103"/>
    <cellStyle name="Explanatory Text" xfId="104"/>
    <cellStyle name="Good" xfId="105"/>
    <cellStyle name="Heading 1" xfId="106"/>
    <cellStyle name="Heading 2" xfId="107"/>
    <cellStyle name="Heading 3" xfId="108"/>
    <cellStyle name="Heading 4" xfId="109"/>
    <cellStyle name="Input" xfId="110"/>
    <cellStyle name="Linked Cell" xfId="111"/>
    <cellStyle name="Neutral" xfId="112"/>
    <cellStyle name="Note" xfId="113"/>
    <cellStyle name="Note 2" xfId="114"/>
    <cellStyle name="Note 2 2" xfId="115"/>
    <cellStyle name="Note 2 2 2" xfId="116"/>
    <cellStyle name="Note 2 3" xfId="117"/>
    <cellStyle name="Note 3" xfId="118"/>
    <cellStyle name="Note 3 2" xfId="119"/>
    <cellStyle name="Output" xfId="120"/>
    <cellStyle name="Title" xfId="121"/>
    <cellStyle name="Total" xfId="122"/>
    <cellStyle name="Warning Text" xfId="123"/>
    <cellStyle name="Акцент1 2" xfId="124"/>
    <cellStyle name="Акцент1 3" xfId="125"/>
    <cellStyle name="Акцент1 4" xfId="126"/>
    <cellStyle name="Акцент1 5" xfId="127"/>
    <cellStyle name="Акцент2 2" xfId="128"/>
    <cellStyle name="Акцент2 3" xfId="129"/>
    <cellStyle name="Акцент2 4" xfId="130"/>
    <cellStyle name="Акцент2 5" xfId="131"/>
    <cellStyle name="Акцент3 2" xfId="132"/>
    <cellStyle name="Акцент3 3" xfId="133"/>
    <cellStyle name="Акцент3 4" xfId="134"/>
    <cellStyle name="Акцент3 5" xfId="135"/>
    <cellStyle name="Акцент4 2" xfId="136"/>
    <cellStyle name="Акцент4 3" xfId="137"/>
    <cellStyle name="Акцент4 4" xfId="138"/>
    <cellStyle name="Акцент4 5" xfId="139"/>
    <cellStyle name="Акцент5 2" xfId="140"/>
    <cellStyle name="Акцент5 3" xfId="141"/>
    <cellStyle name="Акцент5 4" xfId="142"/>
    <cellStyle name="Акцент5 5" xfId="143"/>
    <cellStyle name="Акцент6 2" xfId="144"/>
    <cellStyle name="Акцент6 3" xfId="145"/>
    <cellStyle name="Акцент6 4" xfId="146"/>
    <cellStyle name="Акцент6 5" xfId="147"/>
    <cellStyle name="Ввод  2" xfId="148"/>
    <cellStyle name="Ввод  3" xfId="149"/>
    <cellStyle name="Ввод  4" xfId="150"/>
    <cellStyle name="Ввод  5" xfId="151"/>
    <cellStyle name="Вывод 2" xfId="152"/>
    <cellStyle name="Вывод 3" xfId="153"/>
    <cellStyle name="Вывод 4" xfId="154"/>
    <cellStyle name="Вывод 5" xfId="155"/>
    <cellStyle name="Вычисление 2" xfId="156"/>
    <cellStyle name="Вычисление 3" xfId="157"/>
    <cellStyle name="Вычисление 4" xfId="158"/>
    <cellStyle name="Вычисление 5" xfId="159"/>
    <cellStyle name="Заголовок 1 2" xfId="160"/>
    <cellStyle name="Заголовок 1 3" xfId="161"/>
    <cellStyle name="Заголовок 1 4" xfId="162"/>
    <cellStyle name="Заголовок 1 5" xfId="163"/>
    <cellStyle name="Заголовок 2 2" xfId="164"/>
    <cellStyle name="Заголовок 2 3" xfId="165"/>
    <cellStyle name="Заголовок 2 4" xfId="166"/>
    <cellStyle name="Заголовок 2 5" xfId="167"/>
    <cellStyle name="Заголовок 3 2" xfId="168"/>
    <cellStyle name="Заголовок 3 3" xfId="169"/>
    <cellStyle name="Заголовок 3 4" xfId="170"/>
    <cellStyle name="Заголовок 3 5" xfId="171"/>
    <cellStyle name="Заголовок 4 2" xfId="172"/>
    <cellStyle name="Заголовок 4 3" xfId="173"/>
    <cellStyle name="Заголовок 4 4" xfId="174"/>
    <cellStyle name="Заголовок 4 5" xfId="175"/>
    <cellStyle name="Итог 2" xfId="176"/>
    <cellStyle name="Итог 3" xfId="177"/>
    <cellStyle name="Итог 4" xfId="178"/>
    <cellStyle name="Итог 5" xfId="179"/>
    <cellStyle name="Контрольная ячейка 2" xfId="180"/>
    <cellStyle name="Контрольная ячейка 3" xfId="181"/>
    <cellStyle name="Контрольная ячейка 4" xfId="182"/>
    <cellStyle name="Контрольная ячейка 5" xfId="183"/>
    <cellStyle name="Название 2" xfId="184"/>
    <cellStyle name="Название 3" xfId="185"/>
    <cellStyle name="Название 4" xfId="186"/>
    <cellStyle name="Название 5" xfId="187"/>
    <cellStyle name="Нейтральный 2" xfId="188"/>
    <cellStyle name="Нейтральный 3" xfId="189"/>
    <cellStyle name="Нейтральный 4" xfId="190"/>
    <cellStyle name="Нейтральный 5" xfId="191"/>
    <cellStyle name="Обычный" xfId="0" builtinId="0"/>
    <cellStyle name="Обычный 10" xfId="192"/>
    <cellStyle name="Обычный 10 2" xfId="193"/>
    <cellStyle name="Обычный 10 3" xfId="252"/>
    <cellStyle name="Обычный 11" xfId="194"/>
    <cellStyle name="Обычный 12" xfId="195"/>
    <cellStyle name="Обычный 13" xfId="196"/>
    <cellStyle name="Обычный 2" xfId="197"/>
    <cellStyle name="Обычный 2 2" xfId="198"/>
    <cellStyle name="Обычный 2 2 2" xfId="199"/>
    <cellStyle name="Обычный 2 2 2 2" xfId="200"/>
    <cellStyle name="Обычный 2 2 3" xfId="201"/>
    <cellStyle name="Обычный 2 2 4" xfId="202"/>
    <cellStyle name="Обычный 2 2 4 2" xfId="253"/>
    <cellStyle name="Обычный 2 2 5" xfId="203"/>
    <cellStyle name="Обычный 2 2 5 2" xfId="255"/>
    <cellStyle name="Обычный 2 3" xfId="204"/>
    <cellStyle name="Обычный 3" xfId="205"/>
    <cellStyle name="Обычный 3 2" xfId="206"/>
    <cellStyle name="Обычный 3 2 2" xfId="207"/>
    <cellStyle name="Обычный 4" xfId="208"/>
    <cellStyle name="Обычный 4 2" xfId="209"/>
    <cellStyle name="Обычный 5" xfId="210"/>
    <cellStyle name="Обычный 5 2" xfId="211"/>
    <cellStyle name="Обычный 5 2 2" xfId="212"/>
    <cellStyle name="Обычный 5 2 3" xfId="254"/>
    <cellStyle name="Обычный 6" xfId="213"/>
    <cellStyle name="Обычный 6 2" xfId="214"/>
    <cellStyle name="Обычный 6 2 2" xfId="215"/>
    <cellStyle name="Обычный 7" xfId="216"/>
    <cellStyle name="Обычный 7 2" xfId="217"/>
    <cellStyle name="Обычный 7 2 2" xfId="256"/>
    <cellStyle name="Обычный 8" xfId="218"/>
    <cellStyle name="Обычный 9" xfId="219"/>
    <cellStyle name="Обычный 9 2" xfId="220"/>
    <cellStyle name="Обычный_1.Займы_2000DLG" xfId="1"/>
    <cellStyle name="Обычный_Копия Прил к реш.с.д." xfId="251"/>
    <cellStyle name="Обычный_Лист1" xfId="2"/>
    <cellStyle name="Обычный_Лист1_1" xfId="3"/>
    <cellStyle name="Плохой 2" xfId="221"/>
    <cellStyle name="Плохой 3" xfId="222"/>
    <cellStyle name="Плохой 4" xfId="223"/>
    <cellStyle name="Плохой 5" xfId="224"/>
    <cellStyle name="Пояснение 2" xfId="225"/>
    <cellStyle name="Пояснение 3" xfId="226"/>
    <cellStyle name="Пояснение 4" xfId="227"/>
    <cellStyle name="Пояснение 5" xfId="228"/>
    <cellStyle name="Примечание 2" xfId="229"/>
    <cellStyle name="Примечание 3" xfId="230"/>
    <cellStyle name="Примечание 4" xfId="231"/>
    <cellStyle name="Примечание 5" xfId="232"/>
    <cellStyle name="Связанная ячейка 2" xfId="233"/>
    <cellStyle name="Связанная ячейка 3" xfId="234"/>
    <cellStyle name="Связанная ячейка 4" xfId="235"/>
    <cellStyle name="Связанная ячейка 5" xfId="236"/>
    <cellStyle name="Текст предупреждения 2" xfId="237"/>
    <cellStyle name="Текст предупреждения 3" xfId="238"/>
    <cellStyle name="Текст предупреждения 4" xfId="239"/>
    <cellStyle name="Текст предупреждения 5" xfId="240"/>
    <cellStyle name="Тысячи [0]_Лист1" xfId="241"/>
    <cellStyle name="Тысячи_Лист1" xfId="242"/>
    <cellStyle name="Финансовый 2" xfId="243"/>
    <cellStyle name="Финансовый 3" xfId="4"/>
    <cellStyle name="Финансовый 4" xfId="244"/>
    <cellStyle name="Финансовый 5" xfId="245"/>
    <cellStyle name="Финансовый 5 2" xfId="250"/>
    <cellStyle name="Хороший 2" xfId="246"/>
    <cellStyle name="Хороший 3" xfId="247"/>
    <cellStyle name="Хороший 4" xfId="248"/>
    <cellStyle name="Хороший 5" xfId="249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hova/Desktop/&#1060;&#1086;&#1088;&#1084;&#1099;%20&#1073;&#1102;&#1076;&#1078;&#1077;&#1090;&#1072;%202015%20&#1040;&#1055;&#1056;&#1045;&#1051;&#1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"/>
      <sheetName val="Адм. дох"/>
      <sheetName val="Ведомственная 2015"/>
      <sheetName val="Ведомственная 2016-2017"/>
      <sheetName val="Субвенции 2015"/>
      <sheetName val="Субвенции 2016-2017"/>
      <sheetName val="Источники 2015"/>
      <sheetName val="Источники 2016-2017"/>
      <sheetName val="Адм. источ.2015"/>
      <sheetName val="Функциональная 2015"/>
      <sheetName val="Функциональная 2016-2017"/>
      <sheetName val="Целевые 2016-2017"/>
      <sheetName val="Целевые 2015"/>
      <sheetName val="Кредиты"/>
      <sheetName val="Заимствования 2015"/>
      <sheetName val="Заимствования 2016-2017"/>
    </sheetNames>
    <sheetDataSet>
      <sheetData sheetId="0" refreshError="1"/>
      <sheetData sheetId="1" refreshError="1"/>
      <sheetData sheetId="2" refreshError="1"/>
      <sheetData sheetId="3">
        <row r="566">
          <cell r="H566">
            <v>4895860.6189999999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showRuler="0" zoomScaleNormal="100" workbookViewId="0">
      <selection activeCell="A3" sqref="A3:E3"/>
    </sheetView>
  </sheetViews>
  <sheetFormatPr defaultRowHeight="12.75" outlineLevelRow="1" x14ac:dyDescent="0.2"/>
  <cols>
    <col min="1" max="1" width="19.28515625" style="360" customWidth="1" collapsed="1"/>
    <col min="2" max="2" width="54.5703125" style="361" customWidth="1"/>
    <col min="3" max="3" width="14.7109375" style="362" bestFit="1" customWidth="1"/>
    <col min="4" max="4" width="12.140625" style="362" customWidth="1"/>
    <col min="5" max="5" width="14.7109375" style="362" bestFit="1" customWidth="1"/>
    <col min="6" max="7" width="9.140625" style="309"/>
    <col min="8" max="8" width="12" style="309" bestFit="1" customWidth="1"/>
    <col min="9" max="256" width="9.140625" style="309"/>
    <col min="257" max="257" width="19.28515625" style="309" customWidth="1"/>
    <col min="258" max="258" width="54.5703125" style="309" customWidth="1"/>
    <col min="259" max="259" width="14.7109375" style="309" bestFit="1" customWidth="1"/>
    <col min="260" max="260" width="12.140625" style="309" customWidth="1"/>
    <col min="261" max="261" width="14.7109375" style="309" bestFit="1" customWidth="1"/>
    <col min="262" max="263" width="9.140625" style="309"/>
    <col min="264" max="264" width="12" style="309" bestFit="1" customWidth="1"/>
    <col min="265" max="512" width="9.140625" style="309"/>
    <col min="513" max="513" width="19.28515625" style="309" customWidth="1"/>
    <col min="514" max="514" width="54.5703125" style="309" customWidth="1"/>
    <col min="515" max="515" width="14.7109375" style="309" bestFit="1" customWidth="1"/>
    <col min="516" max="516" width="12.140625" style="309" customWidth="1"/>
    <col min="517" max="517" width="14.7109375" style="309" bestFit="1" customWidth="1"/>
    <col min="518" max="519" width="9.140625" style="309"/>
    <col min="520" max="520" width="12" style="309" bestFit="1" customWidth="1"/>
    <col min="521" max="768" width="9.140625" style="309"/>
    <col min="769" max="769" width="19.28515625" style="309" customWidth="1"/>
    <col min="770" max="770" width="54.5703125" style="309" customWidth="1"/>
    <col min="771" max="771" width="14.7109375" style="309" bestFit="1" customWidth="1"/>
    <col min="772" max="772" width="12.140625" style="309" customWidth="1"/>
    <col min="773" max="773" width="14.7109375" style="309" bestFit="1" customWidth="1"/>
    <col min="774" max="775" width="9.140625" style="309"/>
    <col min="776" max="776" width="12" style="309" bestFit="1" customWidth="1"/>
    <col min="777" max="1024" width="9.140625" style="309"/>
    <col min="1025" max="1025" width="19.28515625" style="309" customWidth="1"/>
    <col min="1026" max="1026" width="54.5703125" style="309" customWidth="1"/>
    <col min="1027" max="1027" width="14.7109375" style="309" bestFit="1" customWidth="1"/>
    <col min="1028" max="1028" width="12.140625" style="309" customWidth="1"/>
    <col min="1029" max="1029" width="14.7109375" style="309" bestFit="1" customWidth="1"/>
    <col min="1030" max="1031" width="9.140625" style="309"/>
    <col min="1032" max="1032" width="12" style="309" bestFit="1" customWidth="1"/>
    <col min="1033" max="1280" width="9.140625" style="309"/>
    <col min="1281" max="1281" width="19.28515625" style="309" customWidth="1"/>
    <col min="1282" max="1282" width="54.5703125" style="309" customWidth="1"/>
    <col min="1283" max="1283" width="14.7109375" style="309" bestFit="1" customWidth="1"/>
    <col min="1284" max="1284" width="12.140625" style="309" customWidth="1"/>
    <col min="1285" max="1285" width="14.7109375" style="309" bestFit="1" customWidth="1"/>
    <col min="1286" max="1287" width="9.140625" style="309"/>
    <col min="1288" max="1288" width="12" style="309" bestFit="1" customWidth="1"/>
    <col min="1289" max="1536" width="9.140625" style="309"/>
    <col min="1537" max="1537" width="19.28515625" style="309" customWidth="1"/>
    <col min="1538" max="1538" width="54.5703125" style="309" customWidth="1"/>
    <col min="1539" max="1539" width="14.7109375" style="309" bestFit="1" customWidth="1"/>
    <col min="1540" max="1540" width="12.140625" style="309" customWidth="1"/>
    <col min="1541" max="1541" width="14.7109375" style="309" bestFit="1" customWidth="1"/>
    <col min="1542" max="1543" width="9.140625" style="309"/>
    <col min="1544" max="1544" width="12" style="309" bestFit="1" customWidth="1"/>
    <col min="1545" max="1792" width="9.140625" style="309"/>
    <col min="1793" max="1793" width="19.28515625" style="309" customWidth="1"/>
    <col min="1794" max="1794" width="54.5703125" style="309" customWidth="1"/>
    <col min="1795" max="1795" width="14.7109375" style="309" bestFit="1" customWidth="1"/>
    <col min="1796" max="1796" width="12.140625" style="309" customWidth="1"/>
    <col min="1797" max="1797" width="14.7109375" style="309" bestFit="1" customWidth="1"/>
    <col min="1798" max="1799" width="9.140625" style="309"/>
    <col min="1800" max="1800" width="12" style="309" bestFit="1" customWidth="1"/>
    <col min="1801" max="2048" width="9.140625" style="309"/>
    <col min="2049" max="2049" width="19.28515625" style="309" customWidth="1"/>
    <col min="2050" max="2050" width="54.5703125" style="309" customWidth="1"/>
    <col min="2051" max="2051" width="14.7109375" style="309" bestFit="1" customWidth="1"/>
    <col min="2052" max="2052" width="12.140625" style="309" customWidth="1"/>
    <col min="2053" max="2053" width="14.7109375" style="309" bestFit="1" customWidth="1"/>
    <col min="2054" max="2055" width="9.140625" style="309"/>
    <col min="2056" max="2056" width="12" style="309" bestFit="1" customWidth="1"/>
    <col min="2057" max="2304" width="9.140625" style="309"/>
    <col min="2305" max="2305" width="19.28515625" style="309" customWidth="1"/>
    <col min="2306" max="2306" width="54.5703125" style="309" customWidth="1"/>
    <col min="2307" max="2307" width="14.7109375" style="309" bestFit="1" customWidth="1"/>
    <col min="2308" max="2308" width="12.140625" style="309" customWidth="1"/>
    <col min="2309" max="2309" width="14.7109375" style="309" bestFit="1" customWidth="1"/>
    <col min="2310" max="2311" width="9.140625" style="309"/>
    <col min="2312" max="2312" width="12" style="309" bestFit="1" customWidth="1"/>
    <col min="2313" max="2560" width="9.140625" style="309"/>
    <col min="2561" max="2561" width="19.28515625" style="309" customWidth="1"/>
    <col min="2562" max="2562" width="54.5703125" style="309" customWidth="1"/>
    <col min="2563" max="2563" width="14.7109375" style="309" bestFit="1" customWidth="1"/>
    <col min="2564" max="2564" width="12.140625" style="309" customWidth="1"/>
    <col min="2565" max="2565" width="14.7109375" style="309" bestFit="1" customWidth="1"/>
    <col min="2566" max="2567" width="9.140625" style="309"/>
    <col min="2568" max="2568" width="12" style="309" bestFit="1" customWidth="1"/>
    <col min="2569" max="2816" width="9.140625" style="309"/>
    <col min="2817" max="2817" width="19.28515625" style="309" customWidth="1"/>
    <col min="2818" max="2818" width="54.5703125" style="309" customWidth="1"/>
    <col min="2819" max="2819" width="14.7109375" style="309" bestFit="1" customWidth="1"/>
    <col min="2820" max="2820" width="12.140625" style="309" customWidth="1"/>
    <col min="2821" max="2821" width="14.7109375" style="309" bestFit="1" customWidth="1"/>
    <col min="2822" max="2823" width="9.140625" style="309"/>
    <col min="2824" max="2824" width="12" style="309" bestFit="1" customWidth="1"/>
    <col min="2825" max="3072" width="9.140625" style="309"/>
    <col min="3073" max="3073" width="19.28515625" style="309" customWidth="1"/>
    <col min="3074" max="3074" width="54.5703125" style="309" customWidth="1"/>
    <col min="3075" max="3075" width="14.7109375" style="309" bestFit="1" customWidth="1"/>
    <col min="3076" max="3076" width="12.140625" style="309" customWidth="1"/>
    <col min="3077" max="3077" width="14.7109375" style="309" bestFit="1" customWidth="1"/>
    <col min="3078" max="3079" width="9.140625" style="309"/>
    <col min="3080" max="3080" width="12" style="309" bestFit="1" customWidth="1"/>
    <col min="3081" max="3328" width="9.140625" style="309"/>
    <col min="3329" max="3329" width="19.28515625" style="309" customWidth="1"/>
    <col min="3330" max="3330" width="54.5703125" style="309" customWidth="1"/>
    <col min="3331" max="3331" width="14.7109375" style="309" bestFit="1" customWidth="1"/>
    <col min="3332" max="3332" width="12.140625" style="309" customWidth="1"/>
    <col min="3333" max="3333" width="14.7109375" style="309" bestFit="1" customWidth="1"/>
    <col min="3334" max="3335" width="9.140625" style="309"/>
    <col min="3336" max="3336" width="12" style="309" bestFit="1" customWidth="1"/>
    <col min="3337" max="3584" width="9.140625" style="309"/>
    <col min="3585" max="3585" width="19.28515625" style="309" customWidth="1"/>
    <col min="3586" max="3586" width="54.5703125" style="309" customWidth="1"/>
    <col min="3587" max="3587" width="14.7109375" style="309" bestFit="1" customWidth="1"/>
    <col min="3588" max="3588" width="12.140625" style="309" customWidth="1"/>
    <col min="3589" max="3589" width="14.7109375" style="309" bestFit="1" customWidth="1"/>
    <col min="3590" max="3591" width="9.140625" style="309"/>
    <col min="3592" max="3592" width="12" style="309" bestFit="1" customWidth="1"/>
    <col min="3593" max="3840" width="9.140625" style="309"/>
    <col min="3841" max="3841" width="19.28515625" style="309" customWidth="1"/>
    <col min="3842" max="3842" width="54.5703125" style="309" customWidth="1"/>
    <col min="3843" max="3843" width="14.7109375" style="309" bestFit="1" customWidth="1"/>
    <col min="3844" max="3844" width="12.140625" style="309" customWidth="1"/>
    <col min="3845" max="3845" width="14.7109375" style="309" bestFit="1" customWidth="1"/>
    <col min="3846" max="3847" width="9.140625" style="309"/>
    <col min="3848" max="3848" width="12" style="309" bestFit="1" customWidth="1"/>
    <col min="3849" max="4096" width="9.140625" style="309"/>
    <col min="4097" max="4097" width="19.28515625" style="309" customWidth="1"/>
    <col min="4098" max="4098" width="54.5703125" style="309" customWidth="1"/>
    <col min="4099" max="4099" width="14.7109375" style="309" bestFit="1" customWidth="1"/>
    <col min="4100" max="4100" width="12.140625" style="309" customWidth="1"/>
    <col min="4101" max="4101" width="14.7109375" style="309" bestFit="1" customWidth="1"/>
    <col min="4102" max="4103" width="9.140625" style="309"/>
    <col min="4104" max="4104" width="12" style="309" bestFit="1" customWidth="1"/>
    <col min="4105" max="4352" width="9.140625" style="309"/>
    <col min="4353" max="4353" width="19.28515625" style="309" customWidth="1"/>
    <col min="4354" max="4354" width="54.5703125" style="309" customWidth="1"/>
    <col min="4355" max="4355" width="14.7109375" style="309" bestFit="1" customWidth="1"/>
    <col min="4356" max="4356" width="12.140625" style="309" customWidth="1"/>
    <col min="4357" max="4357" width="14.7109375" style="309" bestFit="1" customWidth="1"/>
    <col min="4358" max="4359" width="9.140625" style="309"/>
    <col min="4360" max="4360" width="12" style="309" bestFit="1" customWidth="1"/>
    <col min="4361" max="4608" width="9.140625" style="309"/>
    <col min="4609" max="4609" width="19.28515625" style="309" customWidth="1"/>
    <col min="4610" max="4610" width="54.5703125" style="309" customWidth="1"/>
    <col min="4611" max="4611" width="14.7109375" style="309" bestFit="1" customWidth="1"/>
    <col min="4612" max="4612" width="12.140625" style="309" customWidth="1"/>
    <col min="4613" max="4613" width="14.7109375" style="309" bestFit="1" customWidth="1"/>
    <col min="4614" max="4615" width="9.140625" style="309"/>
    <col min="4616" max="4616" width="12" style="309" bestFit="1" customWidth="1"/>
    <col min="4617" max="4864" width="9.140625" style="309"/>
    <col min="4865" max="4865" width="19.28515625" style="309" customWidth="1"/>
    <col min="4866" max="4866" width="54.5703125" style="309" customWidth="1"/>
    <col min="4867" max="4867" width="14.7109375" style="309" bestFit="1" customWidth="1"/>
    <col min="4868" max="4868" width="12.140625" style="309" customWidth="1"/>
    <col min="4869" max="4869" width="14.7109375" style="309" bestFit="1" customWidth="1"/>
    <col min="4870" max="4871" width="9.140625" style="309"/>
    <col min="4872" max="4872" width="12" style="309" bestFit="1" customWidth="1"/>
    <col min="4873" max="5120" width="9.140625" style="309"/>
    <col min="5121" max="5121" width="19.28515625" style="309" customWidth="1"/>
    <col min="5122" max="5122" width="54.5703125" style="309" customWidth="1"/>
    <col min="5123" max="5123" width="14.7109375" style="309" bestFit="1" customWidth="1"/>
    <col min="5124" max="5124" width="12.140625" style="309" customWidth="1"/>
    <col min="5125" max="5125" width="14.7109375" style="309" bestFit="1" customWidth="1"/>
    <col min="5126" max="5127" width="9.140625" style="309"/>
    <col min="5128" max="5128" width="12" style="309" bestFit="1" customWidth="1"/>
    <col min="5129" max="5376" width="9.140625" style="309"/>
    <col min="5377" max="5377" width="19.28515625" style="309" customWidth="1"/>
    <col min="5378" max="5378" width="54.5703125" style="309" customWidth="1"/>
    <col min="5379" max="5379" width="14.7109375" style="309" bestFit="1" customWidth="1"/>
    <col min="5380" max="5380" width="12.140625" style="309" customWidth="1"/>
    <col min="5381" max="5381" width="14.7109375" style="309" bestFit="1" customWidth="1"/>
    <col min="5382" max="5383" width="9.140625" style="309"/>
    <col min="5384" max="5384" width="12" style="309" bestFit="1" customWidth="1"/>
    <col min="5385" max="5632" width="9.140625" style="309"/>
    <col min="5633" max="5633" width="19.28515625" style="309" customWidth="1"/>
    <col min="5634" max="5634" width="54.5703125" style="309" customWidth="1"/>
    <col min="5635" max="5635" width="14.7109375" style="309" bestFit="1" customWidth="1"/>
    <col min="5636" max="5636" width="12.140625" style="309" customWidth="1"/>
    <col min="5637" max="5637" width="14.7109375" style="309" bestFit="1" customWidth="1"/>
    <col min="5638" max="5639" width="9.140625" style="309"/>
    <col min="5640" max="5640" width="12" style="309" bestFit="1" customWidth="1"/>
    <col min="5641" max="5888" width="9.140625" style="309"/>
    <col min="5889" max="5889" width="19.28515625" style="309" customWidth="1"/>
    <col min="5890" max="5890" width="54.5703125" style="309" customWidth="1"/>
    <col min="5891" max="5891" width="14.7109375" style="309" bestFit="1" customWidth="1"/>
    <col min="5892" max="5892" width="12.140625" style="309" customWidth="1"/>
    <col min="5893" max="5893" width="14.7109375" style="309" bestFit="1" customWidth="1"/>
    <col min="5894" max="5895" width="9.140625" style="309"/>
    <col min="5896" max="5896" width="12" style="309" bestFit="1" customWidth="1"/>
    <col min="5897" max="6144" width="9.140625" style="309"/>
    <col min="6145" max="6145" width="19.28515625" style="309" customWidth="1"/>
    <col min="6146" max="6146" width="54.5703125" style="309" customWidth="1"/>
    <col min="6147" max="6147" width="14.7109375" style="309" bestFit="1" customWidth="1"/>
    <col min="6148" max="6148" width="12.140625" style="309" customWidth="1"/>
    <col min="6149" max="6149" width="14.7109375" style="309" bestFit="1" customWidth="1"/>
    <col min="6150" max="6151" width="9.140625" style="309"/>
    <col min="6152" max="6152" width="12" style="309" bestFit="1" customWidth="1"/>
    <col min="6153" max="6400" width="9.140625" style="309"/>
    <col min="6401" max="6401" width="19.28515625" style="309" customWidth="1"/>
    <col min="6402" max="6402" width="54.5703125" style="309" customWidth="1"/>
    <col min="6403" max="6403" width="14.7109375" style="309" bestFit="1" customWidth="1"/>
    <col min="6404" max="6404" width="12.140625" style="309" customWidth="1"/>
    <col min="6405" max="6405" width="14.7109375" style="309" bestFit="1" customWidth="1"/>
    <col min="6406" max="6407" width="9.140625" style="309"/>
    <col min="6408" max="6408" width="12" style="309" bestFit="1" customWidth="1"/>
    <col min="6409" max="6656" width="9.140625" style="309"/>
    <col min="6657" max="6657" width="19.28515625" style="309" customWidth="1"/>
    <col min="6658" max="6658" width="54.5703125" style="309" customWidth="1"/>
    <col min="6659" max="6659" width="14.7109375" style="309" bestFit="1" customWidth="1"/>
    <col min="6660" max="6660" width="12.140625" style="309" customWidth="1"/>
    <col min="6661" max="6661" width="14.7109375" style="309" bestFit="1" customWidth="1"/>
    <col min="6662" max="6663" width="9.140625" style="309"/>
    <col min="6664" max="6664" width="12" style="309" bestFit="1" customWidth="1"/>
    <col min="6665" max="6912" width="9.140625" style="309"/>
    <col min="6913" max="6913" width="19.28515625" style="309" customWidth="1"/>
    <col min="6914" max="6914" width="54.5703125" style="309" customWidth="1"/>
    <col min="6915" max="6915" width="14.7109375" style="309" bestFit="1" customWidth="1"/>
    <col min="6916" max="6916" width="12.140625" style="309" customWidth="1"/>
    <col min="6917" max="6917" width="14.7109375" style="309" bestFit="1" customWidth="1"/>
    <col min="6918" max="6919" width="9.140625" style="309"/>
    <col min="6920" max="6920" width="12" style="309" bestFit="1" customWidth="1"/>
    <col min="6921" max="7168" width="9.140625" style="309"/>
    <col min="7169" max="7169" width="19.28515625" style="309" customWidth="1"/>
    <col min="7170" max="7170" width="54.5703125" style="309" customWidth="1"/>
    <col min="7171" max="7171" width="14.7109375" style="309" bestFit="1" customWidth="1"/>
    <col min="7172" max="7172" width="12.140625" style="309" customWidth="1"/>
    <col min="7173" max="7173" width="14.7109375" style="309" bestFit="1" customWidth="1"/>
    <col min="7174" max="7175" width="9.140625" style="309"/>
    <col min="7176" max="7176" width="12" style="309" bestFit="1" customWidth="1"/>
    <col min="7177" max="7424" width="9.140625" style="309"/>
    <col min="7425" max="7425" width="19.28515625" style="309" customWidth="1"/>
    <col min="7426" max="7426" width="54.5703125" style="309" customWidth="1"/>
    <col min="7427" max="7427" width="14.7109375" style="309" bestFit="1" customWidth="1"/>
    <col min="7428" max="7428" width="12.140625" style="309" customWidth="1"/>
    <col min="7429" max="7429" width="14.7109375" style="309" bestFit="1" customWidth="1"/>
    <col min="7430" max="7431" width="9.140625" style="309"/>
    <col min="7432" max="7432" width="12" style="309" bestFit="1" customWidth="1"/>
    <col min="7433" max="7680" width="9.140625" style="309"/>
    <col min="7681" max="7681" width="19.28515625" style="309" customWidth="1"/>
    <col min="7682" max="7682" width="54.5703125" style="309" customWidth="1"/>
    <col min="7683" max="7683" width="14.7109375" style="309" bestFit="1" customWidth="1"/>
    <col min="7684" max="7684" width="12.140625" style="309" customWidth="1"/>
    <col min="7685" max="7685" width="14.7109375" style="309" bestFit="1" customWidth="1"/>
    <col min="7686" max="7687" width="9.140625" style="309"/>
    <col min="7688" max="7688" width="12" style="309" bestFit="1" customWidth="1"/>
    <col min="7689" max="7936" width="9.140625" style="309"/>
    <col min="7937" max="7937" width="19.28515625" style="309" customWidth="1"/>
    <col min="7938" max="7938" width="54.5703125" style="309" customWidth="1"/>
    <col min="7939" max="7939" width="14.7109375" style="309" bestFit="1" customWidth="1"/>
    <col min="7940" max="7940" width="12.140625" style="309" customWidth="1"/>
    <col min="7941" max="7941" width="14.7109375" style="309" bestFit="1" customWidth="1"/>
    <col min="7942" max="7943" width="9.140625" style="309"/>
    <col min="7944" max="7944" width="12" style="309" bestFit="1" customWidth="1"/>
    <col min="7945" max="8192" width="9.140625" style="309"/>
    <col min="8193" max="8193" width="19.28515625" style="309" customWidth="1"/>
    <col min="8194" max="8194" width="54.5703125" style="309" customWidth="1"/>
    <col min="8195" max="8195" width="14.7109375" style="309" bestFit="1" customWidth="1"/>
    <col min="8196" max="8196" width="12.140625" style="309" customWidth="1"/>
    <col min="8197" max="8197" width="14.7109375" style="309" bestFit="1" customWidth="1"/>
    <col min="8198" max="8199" width="9.140625" style="309"/>
    <col min="8200" max="8200" width="12" style="309" bestFit="1" customWidth="1"/>
    <col min="8201" max="8448" width="9.140625" style="309"/>
    <col min="8449" max="8449" width="19.28515625" style="309" customWidth="1"/>
    <col min="8450" max="8450" width="54.5703125" style="309" customWidth="1"/>
    <col min="8451" max="8451" width="14.7109375" style="309" bestFit="1" customWidth="1"/>
    <col min="8452" max="8452" width="12.140625" style="309" customWidth="1"/>
    <col min="8453" max="8453" width="14.7109375" style="309" bestFit="1" customWidth="1"/>
    <col min="8454" max="8455" width="9.140625" style="309"/>
    <col min="8456" max="8456" width="12" style="309" bestFit="1" customWidth="1"/>
    <col min="8457" max="8704" width="9.140625" style="309"/>
    <col min="8705" max="8705" width="19.28515625" style="309" customWidth="1"/>
    <col min="8706" max="8706" width="54.5703125" style="309" customWidth="1"/>
    <col min="8707" max="8707" width="14.7109375" style="309" bestFit="1" customWidth="1"/>
    <col min="8708" max="8708" width="12.140625" style="309" customWidth="1"/>
    <col min="8709" max="8709" width="14.7109375" style="309" bestFit="1" customWidth="1"/>
    <col min="8710" max="8711" width="9.140625" style="309"/>
    <col min="8712" max="8712" width="12" style="309" bestFit="1" customWidth="1"/>
    <col min="8713" max="8960" width="9.140625" style="309"/>
    <col min="8961" max="8961" width="19.28515625" style="309" customWidth="1"/>
    <col min="8962" max="8962" width="54.5703125" style="309" customWidth="1"/>
    <col min="8963" max="8963" width="14.7109375" style="309" bestFit="1" customWidth="1"/>
    <col min="8964" max="8964" width="12.140625" style="309" customWidth="1"/>
    <col min="8965" max="8965" width="14.7109375" style="309" bestFit="1" customWidth="1"/>
    <col min="8966" max="8967" width="9.140625" style="309"/>
    <col min="8968" max="8968" width="12" style="309" bestFit="1" customWidth="1"/>
    <col min="8969" max="9216" width="9.140625" style="309"/>
    <col min="9217" max="9217" width="19.28515625" style="309" customWidth="1"/>
    <col min="9218" max="9218" width="54.5703125" style="309" customWidth="1"/>
    <col min="9219" max="9219" width="14.7109375" style="309" bestFit="1" customWidth="1"/>
    <col min="9220" max="9220" width="12.140625" style="309" customWidth="1"/>
    <col min="9221" max="9221" width="14.7109375" style="309" bestFit="1" customWidth="1"/>
    <col min="9222" max="9223" width="9.140625" style="309"/>
    <col min="9224" max="9224" width="12" style="309" bestFit="1" customWidth="1"/>
    <col min="9225" max="9472" width="9.140625" style="309"/>
    <col min="9473" max="9473" width="19.28515625" style="309" customWidth="1"/>
    <col min="9474" max="9474" width="54.5703125" style="309" customWidth="1"/>
    <col min="9475" max="9475" width="14.7109375" style="309" bestFit="1" customWidth="1"/>
    <col min="9476" max="9476" width="12.140625" style="309" customWidth="1"/>
    <col min="9477" max="9477" width="14.7109375" style="309" bestFit="1" customWidth="1"/>
    <col min="9478" max="9479" width="9.140625" style="309"/>
    <col min="9480" max="9480" width="12" style="309" bestFit="1" customWidth="1"/>
    <col min="9481" max="9728" width="9.140625" style="309"/>
    <col min="9729" max="9729" width="19.28515625" style="309" customWidth="1"/>
    <col min="9730" max="9730" width="54.5703125" style="309" customWidth="1"/>
    <col min="9731" max="9731" width="14.7109375" style="309" bestFit="1" customWidth="1"/>
    <col min="9732" max="9732" width="12.140625" style="309" customWidth="1"/>
    <col min="9733" max="9733" width="14.7109375" style="309" bestFit="1" customWidth="1"/>
    <col min="9734" max="9735" width="9.140625" style="309"/>
    <col min="9736" max="9736" width="12" style="309" bestFit="1" customWidth="1"/>
    <col min="9737" max="9984" width="9.140625" style="309"/>
    <col min="9985" max="9985" width="19.28515625" style="309" customWidth="1"/>
    <col min="9986" max="9986" width="54.5703125" style="309" customWidth="1"/>
    <col min="9987" max="9987" width="14.7109375" style="309" bestFit="1" customWidth="1"/>
    <col min="9988" max="9988" width="12.140625" style="309" customWidth="1"/>
    <col min="9989" max="9989" width="14.7109375" style="309" bestFit="1" customWidth="1"/>
    <col min="9990" max="9991" width="9.140625" style="309"/>
    <col min="9992" max="9992" width="12" style="309" bestFit="1" customWidth="1"/>
    <col min="9993" max="10240" width="9.140625" style="309"/>
    <col min="10241" max="10241" width="19.28515625" style="309" customWidth="1"/>
    <col min="10242" max="10242" width="54.5703125" style="309" customWidth="1"/>
    <col min="10243" max="10243" width="14.7109375" style="309" bestFit="1" customWidth="1"/>
    <col min="10244" max="10244" width="12.140625" style="309" customWidth="1"/>
    <col min="10245" max="10245" width="14.7109375" style="309" bestFit="1" customWidth="1"/>
    <col min="10246" max="10247" width="9.140625" style="309"/>
    <col min="10248" max="10248" width="12" style="309" bestFit="1" customWidth="1"/>
    <col min="10249" max="10496" width="9.140625" style="309"/>
    <col min="10497" max="10497" width="19.28515625" style="309" customWidth="1"/>
    <col min="10498" max="10498" width="54.5703125" style="309" customWidth="1"/>
    <col min="10499" max="10499" width="14.7109375" style="309" bestFit="1" customWidth="1"/>
    <col min="10500" max="10500" width="12.140625" style="309" customWidth="1"/>
    <col min="10501" max="10501" width="14.7109375" style="309" bestFit="1" customWidth="1"/>
    <col min="10502" max="10503" width="9.140625" style="309"/>
    <col min="10504" max="10504" width="12" style="309" bestFit="1" customWidth="1"/>
    <col min="10505" max="10752" width="9.140625" style="309"/>
    <col min="10753" max="10753" width="19.28515625" style="309" customWidth="1"/>
    <col min="10754" max="10754" width="54.5703125" style="309" customWidth="1"/>
    <col min="10755" max="10755" width="14.7109375" style="309" bestFit="1" customWidth="1"/>
    <col min="10756" max="10756" width="12.140625" style="309" customWidth="1"/>
    <col min="10757" max="10757" width="14.7109375" style="309" bestFit="1" customWidth="1"/>
    <col min="10758" max="10759" width="9.140625" style="309"/>
    <col min="10760" max="10760" width="12" style="309" bestFit="1" customWidth="1"/>
    <col min="10761" max="11008" width="9.140625" style="309"/>
    <col min="11009" max="11009" width="19.28515625" style="309" customWidth="1"/>
    <col min="11010" max="11010" width="54.5703125" style="309" customWidth="1"/>
    <col min="11011" max="11011" width="14.7109375" style="309" bestFit="1" customWidth="1"/>
    <col min="11012" max="11012" width="12.140625" style="309" customWidth="1"/>
    <col min="11013" max="11013" width="14.7109375" style="309" bestFit="1" customWidth="1"/>
    <col min="11014" max="11015" width="9.140625" style="309"/>
    <col min="11016" max="11016" width="12" style="309" bestFit="1" customWidth="1"/>
    <col min="11017" max="11264" width="9.140625" style="309"/>
    <col min="11265" max="11265" width="19.28515625" style="309" customWidth="1"/>
    <col min="11266" max="11266" width="54.5703125" style="309" customWidth="1"/>
    <col min="11267" max="11267" width="14.7109375" style="309" bestFit="1" customWidth="1"/>
    <col min="11268" max="11268" width="12.140625" style="309" customWidth="1"/>
    <col min="11269" max="11269" width="14.7109375" style="309" bestFit="1" customWidth="1"/>
    <col min="11270" max="11271" width="9.140625" style="309"/>
    <col min="11272" max="11272" width="12" style="309" bestFit="1" customWidth="1"/>
    <col min="11273" max="11520" width="9.140625" style="309"/>
    <col min="11521" max="11521" width="19.28515625" style="309" customWidth="1"/>
    <col min="11522" max="11522" width="54.5703125" style="309" customWidth="1"/>
    <col min="11523" max="11523" width="14.7109375" style="309" bestFit="1" customWidth="1"/>
    <col min="11524" max="11524" width="12.140625" style="309" customWidth="1"/>
    <col min="11525" max="11525" width="14.7109375" style="309" bestFit="1" customWidth="1"/>
    <col min="11526" max="11527" width="9.140625" style="309"/>
    <col min="11528" max="11528" width="12" style="309" bestFit="1" customWidth="1"/>
    <col min="11529" max="11776" width="9.140625" style="309"/>
    <col min="11777" max="11777" width="19.28515625" style="309" customWidth="1"/>
    <col min="11778" max="11778" width="54.5703125" style="309" customWidth="1"/>
    <col min="11779" max="11779" width="14.7109375" style="309" bestFit="1" customWidth="1"/>
    <col min="11780" max="11780" width="12.140625" style="309" customWidth="1"/>
    <col min="11781" max="11781" width="14.7109375" style="309" bestFit="1" customWidth="1"/>
    <col min="11782" max="11783" width="9.140625" style="309"/>
    <col min="11784" max="11784" width="12" style="309" bestFit="1" customWidth="1"/>
    <col min="11785" max="12032" width="9.140625" style="309"/>
    <col min="12033" max="12033" width="19.28515625" style="309" customWidth="1"/>
    <col min="12034" max="12034" width="54.5703125" style="309" customWidth="1"/>
    <col min="12035" max="12035" width="14.7109375" style="309" bestFit="1" customWidth="1"/>
    <col min="12036" max="12036" width="12.140625" style="309" customWidth="1"/>
    <col min="12037" max="12037" width="14.7109375" style="309" bestFit="1" customWidth="1"/>
    <col min="12038" max="12039" width="9.140625" style="309"/>
    <col min="12040" max="12040" width="12" style="309" bestFit="1" customWidth="1"/>
    <col min="12041" max="12288" width="9.140625" style="309"/>
    <col min="12289" max="12289" width="19.28515625" style="309" customWidth="1"/>
    <col min="12290" max="12290" width="54.5703125" style="309" customWidth="1"/>
    <col min="12291" max="12291" width="14.7109375" style="309" bestFit="1" customWidth="1"/>
    <col min="12292" max="12292" width="12.140625" style="309" customWidth="1"/>
    <col min="12293" max="12293" width="14.7109375" style="309" bestFit="1" customWidth="1"/>
    <col min="12294" max="12295" width="9.140625" style="309"/>
    <col min="12296" max="12296" width="12" style="309" bestFit="1" customWidth="1"/>
    <col min="12297" max="12544" width="9.140625" style="309"/>
    <col min="12545" max="12545" width="19.28515625" style="309" customWidth="1"/>
    <col min="12546" max="12546" width="54.5703125" style="309" customWidth="1"/>
    <col min="12547" max="12547" width="14.7109375" style="309" bestFit="1" customWidth="1"/>
    <col min="12548" max="12548" width="12.140625" style="309" customWidth="1"/>
    <col min="12549" max="12549" width="14.7109375" style="309" bestFit="1" customWidth="1"/>
    <col min="12550" max="12551" width="9.140625" style="309"/>
    <col min="12552" max="12552" width="12" style="309" bestFit="1" customWidth="1"/>
    <col min="12553" max="12800" width="9.140625" style="309"/>
    <col min="12801" max="12801" width="19.28515625" style="309" customWidth="1"/>
    <col min="12802" max="12802" width="54.5703125" style="309" customWidth="1"/>
    <col min="12803" max="12803" width="14.7109375" style="309" bestFit="1" customWidth="1"/>
    <col min="12804" max="12804" width="12.140625" style="309" customWidth="1"/>
    <col min="12805" max="12805" width="14.7109375" style="309" bestFit="1" customWidth="1"/>
    <col min="12806" max="12807" width="9.140625" style="309"/>
    <col min="12808" max="12808" width="12" style="309" bestFit="1" customWidth="1"/>
    <col min="12809" max="13056" width="9.140625" style="309"/>
    <col min="13057" max="13057" width="19.28515625" style="309" customWidth="1"/>
    <col min="13058" max="13058" width="54.5703125" style="309" customWidth="1"/>
    <col min="13059" max="13059" width="14.7109375" style="309" bestFit="1" customWidth="1"/>
    <col min="13060" max="13060" width="12.140625" style="309" customWidth="1"/>
    <col min="13061" max="13061" width="14.7109375" style="309" bestFit="1" customWidth="1"/>
    <col min="13062" max="13063" width="9.140625" style="309"/>
    <col min="13064" max="13064" width="12" style="309" bestFit="1" customWidth="1"/>
    <col min="13065" max="13312" width="9.140625" style="309"/>
    <col min="13313" max="13313" width="19.28515625" style="309" customWidth="1"/>
    <col min="13314" max="13314" width="54.5703125" style="309" customWidth="1"/>
    <col min="13315" max="13315" width="14.7109375" style="309" bestFit="1" customWidth="1"/>
    <col min="13316" max="13316" width="12.140625" style="309" customWidth="1"/>
    <col min="13317" max="13317" width="14.7109375" style="309" bestFit="1" customWidth="1"/>
    <col min="13318" max="13319" width="9.140625" style="309"/>
    <col min="13320" max="13320" width="12" style="309" bestFit="1" customWidth="1"/>
    <col min="13321" max="13568" width="9.140625" style="309"/>
    <col min="13569" max="13569" width="19.28515625" style="309" customWidth="1"/>
    <col min="13570" max="13570" width="54.5703125" style="309" customWidth="1"/>
    <col min="13571" max="13571" width="14.7109375" style="309" bestFit="1" customWidth="1"/>
    <col min="13572" max="13572" width="12.140625" style="309" customWidth="1"/>
    <col min="13573" max="13573" width="14.7109375" style="309" bestFit="1" customWidth="1"/>
    <col min="13574" max="13575" width="9.140625" style="309"/>
    <col min="13576" max="13576" width="12" style="309" bestFit="1" customWidth="1"/>
    <col min="13577" max="13824" width="9.140625" style="309"/>
    <col min="13825" max="13825" width="19.28515625" style="309" customWidth="1"/>
    <col min="13826" max="13826" width="54.5703125" style="309" customWidth="1"/>
    <col min="13827" max="13827" width="14.7109375" style="309" bestFit="1" customWidth="1"/>
    <col min="13828" max="13828" width="12.140625" style="309" customWidth="1"/>
    <col min="13829" max="13829" width="14.7109375" style="309" bestFit="1" customWidth="1"/>
    <col min="13830" max="13831" width="9.140625" style="309"/>
    <col min="13832" max="13832" width="12" style="309" bestFit="1" customWidth="1"/>
    <col min="13833" max="14080" width="9.140625" style="309"/>
    <col min="14081" max="14081" width="19.28515625" style="309" customWidth="1"/>
    <col min="14082" max="14082" width="54.5703125" style="309" customWidth="1"/>
    <col min="14083" max="14083" width="14.7109375" style="309" bestFit="1" customWidth="1"/>
    <col min="14084" max="14084" width="12.140625" style="309" customWidth="1"/>
    <col min="14085" max="14085" width="14.7109375" style="309" bestFit="1" customWidth="1"/>
    <col min="14086" max="14087" width="9.140625" style="309"/>
    <col min="14088" max="14088" width="12" style="309" bestFit="1" customWidth="1"/>
    <col min="14089" max="14336" width="9.140625" style="309"/>
    <col min="14337" max="14337" width="19.28515625" style="309" customWidth="1"/>
    <col min="14338" max="14338" width="54.5703125" style="309" customWidth="1"/>
    <col min="14339" max="14339" width="14.7109375" style="309" bestFit="1" customWidth="1"/>
    <col min="14340" max="14340" width="12.140625" style="309" customWidth="1"/>
    <col min="14341" max="14341" width="14.7109375" style="309" bestFit="1" customWidth="1"/>
    <col min="14342" max="14343" width="9.140625" style="309"/>
    <col min="14344" max="14344" width="12" style="309" bestFit="1" customWidth="1"/>
    <col min="14345" max="14592" width="9.140625" style="309"/>
    <col min="14593" max="14593" width="19.28515625" style="309" customWidth="1"/>
    <col min="14594" max="14594" width="54.5703125" style="309" customWidth="1"/>
    <col min="14595" max="14595" width="14.7109375" style="309" bestFit="1" customWidth="1"/>
    <col min="14596" max="14596" width="12.140625" style="309" customWidth="1"/>
    <col min="14597" max="14597" width="14.7109375" style="309" bestFit="1" customWidth="1"/>
    <col min="14598" max="14599" width="9.140625" style="309"/>
    <col min="14600" max="14600" width="12" style="309" bestFit="1" customWidth="1"/>
    <col min="14601" max="14848" width="9.140625" style="309"/>
    <col min="14849" max="14849" width="19.28515625" style="309" customWidth="1"/>
    <col min="14850" max="14850" width="54.5703125" style="309" customWidth="1"/>
    <col min="14851" max="14851" width="14.7109375" style="309" bestFit="1" customWidth="1"/>
    <col min="14852" max="14852" width="12.140625" style="309" customWidth="1"/>
    <col min="14853" max="14853" width="14.7109375" style="309" bestFit="1" customWidth="1"/>
    <col min="14854" max="14855" width="9.140625" style="309"/>
    <col min="14856" max="14856" width="12" style="309" bestFit="1" customWidth="1"/>
    <col min="14857" max="15104" width="9.140625" style="309"/>
    <col min="15105" max="15105" width="19.28515625" style="309" customWidth="1"/>
    <col min="15106" max="15106" width="54.5703125" style="309" customWidth="1"/>
    <col min="15107" max="15107" width="14.7109375" style="309" bestFit="1" customWidth="1"/>
    <col min="15108" max="15108" width="12.140625" style="309" customWidth="1"/>
    <col min="15109" max="15109" width="14.7109375" style="309" bestFit="1" customWidth="1"/>
    <col min="15110" max="15111" width="9.140625" style="309"/>
    <col min="15112" max="15112" width="12" style="309" bestFit="1" customWidth="1"/>
    <col min="15113" max="15360" width="9.140625" style="309"/>
    <col min="15361" max="15361" width="19.28515625" style="309" customWidth="1"/>
    <col min="15362" max="15362" width="54.5703125" style="309" customWidth="1"/>
    <col min="15363" max="15363" width="14.7109375" style="309" bestFit="1" customWidth="1"/>
    <col min="15364" max="15364" width="12.140625" style="309" customWidth="1"/>
    <col min="15365" max="15365" width="14.7109375" style="309" bestFit="1" customWidth="1"/>
    <col min="15366" max="15367" width="9.140625" style="309"/>
    <col min="15368" max="15368" width="12" style="309" bestFit="1" customWidth="1"/>
    <col min="15369" max="15616" width="9.140625" style="309"/>
    <col min="15617" max="15617" width="19.28515625" style="309" customWidth="1"/>
    <col min="15618" max="15618" width="54.5703125" style="309" customWidth="1"/>
    <col min="15619" max="15619" width="14.7109375" style="309" bestFit="1" customWidth="1"/>
    <col min="15620" max="15620" width="12.140625" style="309" customWidth="1"/>
    <col min="15621" max="15621" width="14.7109375" style="309" bestFit="1" customWidth="1"/>
    <col min="15622" max="15623" width="9.140625" style="309"/>
    <col min="15624" max="15624" width="12" style="309" bestFit="1" customWidth="1"/>
    <col min="15625" max="15872" width="9.140625" style="309"/>
    <col min="15873" max="15873" width="19.28515625" style="309" customWidth="1"/>
    <col min="15874" max="15874" width="54.5703125" style="309" customWidth="1"/>
    <col min="15875" max="15875" width="14.7109375" style="309" bestFit="1" customWidth="1"/>
    <col min="15876" max="15876" width="12.140625" style="309" customWidth="1"/>
    <col min="15877" max="15877" width="14.7109375" style="309" bestFit="1" customWidth="1"/>
    <col min="15878" max="15879" width="9.140625" style="309"/>
    <col min="15880" max="15880" width="12" style="309" bestFit="1" customWidth="1"/>
    <col min="15881" max="16128" width="9.140625" style="309"/>
    <col min="16129" max="16129" width="19.28515625" style="309" customWidth="1"/>
    <col min="16130" max="16130" width="54.5703125" style="309" customWidth="1"/>
    <col min="16131" max="16131" width="14.7109375" style="309" bestFit="1" customWidth="1"/>
    <col min="16132" max="16132" width="12.140625" style="309" customWidth="1"/>
    <col min="16133" max="16133" width="14.7109375" style="309" bestFit="1" customWidth="1"/>
    <col min="16134" max="16135" width="9.140625" style="309"/>
    <col min="16136" max="16136" width="12" style="309" bestFit="1" customWidth="1"/>
    <col min="16137" max="16384" width="9.140625" style="309"/>
  </cols>
  <sheetData>
    <row r="1" spans="1:8" x14ac:dyDescent="0.2">
      <c r="A1" s="449" t="s">
        <v>93</v>
      </c>
      <c r="B1" s="449"/>
      <c r="C1" s="449"/>
      <c r="D1" s="449"/>
      <c r="E1" s="449"/>
    </row>
    <row r="2" spans="1:8" x14ac:dyDescent="0.2">
      <c r="A2" s="449" t="s">
        <v>1</v>
      </c>
      <c r="B2" s="449"/>
      <c r="C2" s="449"/>
      <c r="D2" s="449"/>
      <c r="E2" s="449"/>
    </row>
    <row r="3" spans="1:8" x14ac:dyDescent="0.2">
      <c r="A3" s="449" t="s">
        <v>1736</v>
      </c>
      <c r="B3" s="449"/>
      <c r="C3" s="449"/>
      <c r="D3" s="449"/>
      <c r="E3" s="449"/>
    </row>
    <row r="4" spans="1:8" ht="30" customHeight="1" x14ac:dyDescent="0.2">
      <c r="A4" s="450" t="s">
        <v>1431</v>
      </c>
      <c r="B4" s="451"/>
      <c r="C4" s="451"/>
      <c r="D4" s="451"/>
      <c r="E4" s="451"/>
    </row>
    <row r="5" spans="1:8" ht="24.75" thickBot="1" x14ac:dyDescent="0.25">
      <c r="A5" s="310" t="s">
        <v>94</v>
      </c>
      <c r="B5" s="310" t="s">
        <v>1432</v>
      </c>
      <c r="C5" s="311" t="s">
        <v>1433</v>
      </c>
      <c r="D5" s="311" t="s">
        <v>1434</v>
      </c>
      <c r="E5" s="311" t="s">
        <v>5</v>
      </c>
    </row>
    <row r="6" spans="1:8" ht="23.25" thickBot="1" x14ac:dyDescent="0.25">
      <c r="A6" s="312" t="s">
        <v>95</v>
      </c>
      <c r="B6" s="313" t="s">
        <v>96</v>
      </c>
      <c r="C6" s="314">
        <f>SUM(C7,C9,C11,C16,C21,C24,C25,C37,C39,C46,C52,C82,C91)</f>
        <v>5550659.7000000002</v>
      </c>
      <c r="D6" s="314">
        <f>SUM(D7,D9,D11,D16,D21,D24,D25,D37,D39,D46,D52,D82,D91)</f>
        <v>90839.999999999985</v>
      </c>
      <c r="E6" s="314">
        <f>SUM(E7,E9,E11,E16,E21,E24,E25,E37,E39,E46,E52,E82,E91)</f>
        <v>5641499.7000000011</v>
      </c>
    </row>
    <row r="7" spans="1:8" ht="22.5" x14ac:dyDescent="0.2">
      <c r="A7" s="315" t="s">
        <v>97</v>
      </c>
      <c r="B7" s="316" t="s">
        <v>98</v>
      </c>
      <c r="C7" s="317">
        <f>SUM(C8:C8)</f>
        <v>1689990</v>
      </c>
      <c r="D7" s="317">
        <f>SUM(D8:D8)</f>
        <v>0</v>
      </c>
      <c r="E7" s="317">
        <f>SUM(C7:D7)</f>
        <v>1689990</v>
      </c>
    </row>
    <row r="8" spans="1:8" s="321" customFormat="1" ht="22.5" x14ac:dyDescent="0.2">
      <c r="A8" s="318" t="s">
        <v>99</v>
      </c>
      <c r="B8" s="319" t="s">
        <v>100</v>
      </c>
      <c r="C8" s="320">
        <v>1689990</v>
      </c>
      <c r="D8" s="320">
        <v>0</v>
      </c>
      <c r="E8" s="320">
        <f>SUM(C8:D8)</f>
        <v>1689990</v>
      </c>
      <c r="H8" s="322"/>
    </row>
    <row r="9" spans="1:8" s="321" customFormat="1" ht="25.5" x14ac:dyDescent="0.2">
      <c r="A9" s="323" t="s">
        <v>101</v>
      </c>
      <c r="B9" s="324" t="s">
        <v>102</v>
      </c>
      <c r="C9" s="325">
        <f>SUM(C10)</f>
        <v>42492</v>
      </c>
      <c r="D9" s="325">
        <f>SUM(D10)</f>
        <v>0</v>
      </c>
      <c r="E9" s="325">
        <f>E10</f>
        <v>42492</v>
      </c>
    </row>
    <row r="10" spans="1:8" s="321" customFormat="1" ht="25.5" x14ac:dyDescent="0.2">
      <c r="A10" s="318" t="s">
        <v>103</v>
      </c>
      <c r="B10" s="319" t="s">
        <v>104</v>
      </c>
      <c r="C10" s="320">
        <v>42492</v>
      </c>
      <c r="D10" s="320">
        <v>0</v>
      </c>
      <c r="E10" s="320">
        <f t="shared" ref="E10:E45" si="0">SUM(C10:D10)</f>
        <v>42492</v>
      </c>
    </row>
    <row r="11" spans="1:8" ht="22.5" x14ac:dyDescent="0.2">
      <c r="A11" s="323" t="s">
        <v>105</v>
      </c>
      <c r="B11" s="324" t="s">
        <v>106</v>
      </c>
      <c r="C11" s="325">
        <f>SUM(C12:C15)</f>
        <v>1058930</v>
      </c>
      <c r="D11" s="325">
        <f>SUM(D12:D15)</f>
        <v>426.5</v>
      </c>
      <c r="E11" s="325">
        <f t="shared" si="0"/>
        <v>1059356.5</v>
      </c>
    </row>
    <row r="12" spans="1:8" s="321" customFormat="1" ht="25.5" collapsed="1" x14ac:dyDescent="0.2">
      <c r="A12" s="318" t="s">
        <v>107</v>
      </c>
      <c r="B12" s="319" t="s">
        <v>108</v>
      </c>
      <c r="C12" s="320">
        <v>872550</v>
      </c>
      <c r="D12" s="326">
        <v>0</v>
      </c>
      <c r="E12" s="320">
        <f t="shared" si="0"/>
        <v>872550</v>
      </c>
    </row>
    <row r="13" spans="1:8" s="321" customFormat="1" ht="25.5" x14ac:dyDescent="0.2">
      <c r="A13" s="318" t="s">
        <v>109</v>
      </c>
      <c r="B13" s="319" t="s">
        <v>110</v>
      </c>
      <c r="C13" s="320">
        <v>113280</v>
      </c>
      <c r="D13" s="326">
        <v>0</v>
      </c>
      <c r="E13" s="320">
        <f t="shared" si="0"/>
        <v>113280</v>
      </c>
    </row>
    <row r="14" spans="1:8" s="321" customFormat="1" ht="22.5" outlineLevel="1" collapsed="1" x14ac:dyDescent="0.2">
      <c r="A14" s="318" t="s">
        <v>111</v>
      </c>
      <c r="B14" s="319" t="s">
        <v>112</v>
      </c>
      <c r="C14" s="320">
        <v>0</v>
      </c>
      <c r="D14" s="326">
        <v>426.5</v>
      </c>
      <c r="E14" s="320">
        <f t="shared" si="0"/>
        <v>426.5</v>
      </c>
    </row>
    <row r="15" spans="1:8" ht="25.5" x14ac:dyDescent="0.2">
      <c r="A15" s="318" t="s">
        <v>113</v>
      </c>
      <c r="B15" s="319" t="s">
        <v>114</v>
      </c>
      <c r="C15" s="320">
        <v>73100</v>
      </c>
      <c r="D15" s="320">
        <v>0</v>
      </c>
      <c r="E15" s="320">
        <f t="shared" si="0"/>
        <v>73100</v>
      </c>
    </row>
    <row r="16" spans="1:8" ht="22.5" x14ac:dyDescent="0.2">
      <c r="A16" s="323" t="s">
        <v>115</v>
      </c>
      <c r="B16" s="324" t="s">
        <v>116</v>
      </c>
      <c r="C16" s="325">
        <f>SUM(C17:C18)</f>
        <v>2140000</v>
      </c>
      <c r="D16" s="325">
        <f>SUM(D17:D18)</f>
        <v>0</v>
      </c>
      <c r="E16" s="325">
        <f t="shared" si="0"/>
        <v>2140000</v>
      </c>
    </row>
    <row r="17" spans="1:6" s="321" customFormat="1" ht="22.5" x14ac:dyDescent="0.2">
      <c r="A17" s="318" t="s">
        <v>117</v>
      </c>
      <c r="B17" s="319" t="s">
        <v>118</v>
      </c>
      <c r="C17" s="320">
        <v>330000</v>
      </c>
      <c r="D17" s="320">
        <v>0</v>
      </c>
      <c r="E17" s="320">
        <f t="shared" si="0"/>
        <v>330000</v>
      </c>
    </row>
    <row r="18" spans="1:6" s="321" customFormat="1" ht="22.5" x14ac:dyDescent="0.2">
      <c r="A18" s="327" t="s">
        <v>119</v>
      </c>
      <c r="B18" s="328" t="s">
        <v>120</v>
      </c>
      <c r="C18" s="320">
        <f>SUM(C19:C20)</f>
        <v>1810000</v>
      </c>
      <c r="D18" s="320">
        <f>SUM(D19:D20)</f>
        <v>0</v>
      </c>
      <c r="E18" s="320">
        <f t="shared" si="0"/>
        <v>1810000</v>
      </c>
    </row>
    <row r="19" spans="1:6" s="321" customFormat="1" ht="15" customHeight="1" x14ac:dyDescent="0.2">
      <c r="A19" s="329" t="s">
        <v>121</v>
      </c>
      <c r="B19" s="330" t="s">
        <v>122</v>
      </c>
      <c r="C19" s="331">
        <v>1390000</v>
      </c>
      <c r="D19" s="331">
        <v>0</v>
      </c>
      <c r="E19" s="331">
        <f t="shared" si="0"/>
        <v>1390000</v>
      </c>
    </row>
    <row r="20" spans="1:6" s="321" customFormat="1" ht="15" customHeight="1" x14ac:dyDescent="0.2">
      <c r="A20" s="329" t="s">
        <v>123</v>
      </c>
      <c r="B20" s="330" t="s">
        <v>124</v>
      </c>
      <c r="C20" s="331">
        <v>420000</v>
      </c>
      <c r="D20" s="331">
        <v>0</v>
      </c>
      <c r="E20" s="331">
        <f t="shared" si="0"/>
        <v>420000</v>
      </c>
    </row>
    <row r="21" spans="1:6" ht="22.5" x14ac:dyDescent="0.2">
      <c r="A21" s="323" t="s">
        <v>125</v>
      </c>
      <c r="B21" s="324" t="s">
        <v>126</v>
      </c>
      <c r="C21" s="325">
        <f>SUM(C22:C23)</f>
        <v>45155</v>
      </c>
      <c r="D21" s="325">
        <f>SUM(D22:D23)</f>
        <v>145</v>
      </c>
      <c r="E21" s="325">
        <f t="shared" si="0"/>
        <v>45300</v>
      </c>
    </row>
    <row r="22" spans="1:6" s="321" customFormat="1" ht="38.25" x14ac:dyDescent="0.2">
      <c r="A22" s="318" t="s">
        <v>127</v>
      </c>
      <c r="B22" s="319" t="s">
        <v>128</v>
      </c>
      <c r="C22" s="320">
        <v>45000</v>
      </c>
      <c r="D22" s="320">
        <v>0</v>
      </c>
      <c r="E22" s="320">
        <f t="shared" si="0"/>
        <v>45000</v>
      </c>
    </row>
    <row r="23" spans="1:6" ht="25.5" x14ac:dyDescent="0.2">
      <c r="A23" s="318" t="s">
        <v>1435</v>
      </c>
      <c r="B23" s="319" t="s">
        <v>129</v>
      </c>
      <c r="C23" s="320">
        <v>155</v>
      </c>
      <c r="D23" s="320">
        <v>145</v>
      </c>
      <c r="E23" s="320">
        <f t="shared" si="0"/>
        <v>300</v>
      </c>
    </row>
    <row r="24" spans="1:6" ht="25.5" hidden="1" outlineLevel="1" x14ac:dyDescent="0.2">
      <c r="A24" s="323" t="s">
        <v>130</v>
      </c>
      <c r="B24" s="324" t="s">
        <v>131</v>
      </c>
      <c r="C24" s="325">
        <v>0</v>
      </c>
      <c r="D24" s="325">
        <v>0</v>
      </c>
      <c r="E24" s="325">
        <f t="shared" si="0"/>
        <v>0</v>
      </c>
      <c r="F24" s="332"/>
    </row>
    <row r="25" spans="1:6" ht="25.5" collapsed="1" x14ac:dyDescent="0.2">
      <c r="A25" s="323" t="s">
        <v>132</v>
      </c>
      <c r="B25" s="324" t="s">
        <v>133</v>
      </c>
      <c r="C25" s="325">
        <f>SUM(C26:C33)</f>
        <v>462733.8</v>
      </c>
      <c r="D25" s="325">
        <f>SUM(D26:D33)</f>
        <v>58498.2</v>
      </c>
      <c r="E25" s="325">
        <f>SUM(C25:D25)</f>
        <v>521232</v>
      </c>
    </row>
    <row r="26" spans="1:6" ht="51" hidden="1" outlineLevel="1" x14ac:dyDescent="0.2">
      <c r="A26" s="318" t="s">
        <v>134</v>
      </c>
      <c r="B26" s="319" t="s">
        <v>135</v>
      </c>
      <c r="C26" s="320">
        <v>0</v>
      </c>
      <c r="D26" s="320"/>
      <c r="E26" s="320">
        <f t="shared" si="0"/>
        <v>0</v>
      </c>
    </row>
    <row r="27" spans="1:6" s="321" customFormat="1" ht="63.75" collapsed="1" x14ac:dyDescent="0.2">
      <c r="A27" s="318" t="s">
        <v>136</v>
      </c>
      <c r="B27" s="319" t="s">
        <v>137</v>
      </c>
      <c r="C27" s="320">
        <v>365254.8</v>
      </c>
      <c r="D27" s="320">
        <v>52370</v>
      </c>
      <c r="E27" s="320">
        <f t="shared" si="0"/>
        <v>417624.8</v>
      </c>
    </row>
    <row r="28" spans="1:6" s="321" customFormat="1" ht="63.75" x14ac:dyDescent="0.2">
      <c r="A28" s="318" t="s">
        <v>138</v>
      </c>
      <c r="B28" s="319" t="s">
        <v>139</v>
      </c>
      <c r="C28" s="320">
        <v>9135</v>
      </c>
      <c r="D28" s="320">
        <v>4905.7</v>
      </c>
      <c r="E28" s="320">
        <f t="shared" si="0"/>
        <v>14040.7</v>
      </c>
    </row>
    <row r="29" spans="1:6" s="321" customFormat="1" ht="38.25" collapsed="1" x14ac:dyDescent="0.2">
      <c r="A29" s="318" t="s">
        <v>140</v>
      </c>
      <c r="B29" s="319" t="s">
        <v>141</v>
      </c>
      <c r="C29" s="320">
        <v>25500</v>
      </c>
      <c r="D29" s="320">
        <v>0</v>
      </c>
      <c r="E29" s="320">
        <f t="shared" si="0"/>
        <v>25500</v>
      </c>
    </row>
    <row r="30" spans="1:6" s="321" customFormat="1" ht="102" x14ac:dyDescent="0.2">
      <c r="A30" s="318" t="s">
        <v>142</v>
      </c>
      <c r="B30" s="319" t="s">
        <v>143</v>
      </c>
      <c r="C30" s="320">
        <v>70</v>
      </c>
      <c r="D30" s="320">
        <v>110</v>
      </c>
      <c r="E30" s="320">
        <f t="shared" si="0"/>
        <v>180</v>
      </c>
    </row>
    <row r="31" spans="1:6" s="321" customFormat="1" ht="89.25" x14ac:dyDescent="0.2">
      <c r="A31" s="318" t="s">
        <v>144</v>
      </c>
      <c r="B31" s="319" t="s">
        <v>145</v>
      </c>
      <c r="C31" s="320">
        <v>2227</v>
      </c>
      <c r="D31" s="320">
        <v>573</v>
      </c>
      <c r="E31" s="320">
        <f t="shared" si="0"/>
        <v>2800</v>
      </c>
    </row>
    <row r="32" spans="1:6" s="321" customFormat="1" ht="51" x14ac:dyDescent="0.2">
      <c r="A32" s="318" t="s">
        <v>146</v>
      </c>
      <c r="B32" s="319" t="s">
        <v>147</v>
      </c>
      <c r="C32" s="320">
        <v>0</v>
      </c>
      <c r="D32" s="320">
        <v>60.5</v>
      </c>
      <c r="E32" s="320">
        <f t="shared" si="0"/>
        <v>60.5</v>
      </c>
    </row>
    <row r="33" spans="1:6" s="321" customFormat="1" ht="76.5" x14ac:dyDescent="0.2">
      <c r="A33" s="318" t="s">
        <v>148</v>
      </c>
      <c r="B33" s="319" t="s">
        <v>149</v>
      </c>
      <c r="C33" s="320">
        <f>SUM(C34:C36)</f>
        <v>60547</v>
      </c>
      <c r="D33" s="320">
        <f>SUM(D34:D36)</f>
        <v>479</v>
      </c>
      <c r="E33" s="320">
        <f t="shared" si="0"/>
        <v>61026</v>
      </c>
    </row>
    <row r="34" spans="1:6" s="321" customFormat="1" ht="22.5" x14ac:dyDescent="0.2">
      <c r="A34" s="333" t="s">
        <v>150</v>
      </c>
      <c r="B34" s="330" t="s">
        <v>151</v>
      </c>
      <c r="C34" s="331">
        <v>34650</v>
      </c>
      <c r="D34" s="334">
        <v>0</v>
      </c>
      <c r="E34" s="331">
        <f t="shared" si="0"/>
        <v>34650</v>
      </c>
    </row>
    <row r="35" spans="1:6" s="321" customFormat="1" ht="24" x14ac:dyDescent="0.2">
      <c r="A35" s="333" t="s">
        <v>152</v>
      </c>
      <c r="B35" s="330" t="s">
        <v>153</v>
      </c>
      <c r="C35" s="331">
        <v>24057</v>
      </c>
      <c r="D35" s="331">
        <v>0</v>
      </c>
      <c r="E35" s="331">
        <f t="shared" si="0"/>
        <v>24057</v>
      </c>
    </row>
    <row r="36" spans="1:6" ht="22.5" x14ac:dyDescent="0.2">
      <c r="A36" s="333" t="s">
        <v>154</v>
      </c>
      <c r="B36" s="330" t="s">
        <v>155</v>
      </c>
      <c r="C36" s="331">
        <v>1840</v>
      </c>
      <c r="D36" s="331">
        <v>479</v>
      </c>
      <c r="E36" s="331">
        <f t="shared" si="0"/>
        <v>2319</v>
      </c>
      <c r="F36" s="332"/>
    </row>
    <row r="37" spans="1:6" ht="22.5" x14ac:dyDescent="0.2">
      <c r="A37" s="323" t="s">
        <v>156</v>
      </c>
      <c r="B37" s="324" t="s">
        <v>157</v>
      </c>
      <c r="C37" s="325">
        <f>SUM(C38)</f>
        <v>4500</v>
      </c>
      <c r="D37" s="325">
        <f>SUM(D38)</f>
        <v>0</v>
      </c>
      <c r="E37" s="325">
        <f t="shared" si="0"/>
        <v>4500</v>
      </c>
    </row>
    <row r="38" spans="1:6" s="321" customFormat="1" ht="22.5" collapsed="1" x14ac:dyDescent="0.2">
      <c r="A38" s="318" t="s">
        <v>158</v>
      </c>
      <c r="B38" s="319" t="s">
        <v>159</v>
      </c>
      <c r="C38" s="320">
        <v>4500</v>
      </c>
      <c r="D38" s="326">
        <v>0</v>
      </c>
      <c r="E38" s="326">
        <f t="shared" si="0"/>
        <v>4500</v>
      </c>
    </row>
    <row r="39" spans="1:6" ht="25.5" x14ac:dyDescent="0.2">
      <c r="A39" s="323" t="s">
        <v>160</v>
      </c>
      <c r="B39" s="324" t="s">
        <v>1344</v>
      </c>
      <c r="C39" s="325">
        <f>SUM(C40,C45,C41)</f>
        <v>28930.9</v>
      </c>
      <c r="D39" s="325">
        <f>SUM(D40,D45,D41)</f>
        <v>4200</v>
      </c>
      <c r="E39" s="325">
        <f>SUM(E40,E45,E41)</f>
        <v>33130.9</v>
      </c>
    </row>
    <row r="40" spans="1:6" ht="51" outlineLevel="1" x14ac:dyDescent="0.2">
      <c r="A40" s="318" t="s">
        <v>161</v>
      </c>
      <c r="B40" s="319" t="s">
        <v>162</v>
      </c>
      <c r="C40" s="320">
        <v>0</v>
      </c>
      <c r="D40" s="320">
        <v>200</v>
      </c>
      <c r="E40" s="320">
        <f t="shared" si="0"/>
        <v>200</v>
      </c>
    </row>
    <row r="41" spans="1:6" s="321" customFormat="1" ht="25.5" x14ac:dyDescent="0.2">
      <c r="A41" s="318" t="s">
        <v>163</v>
      </c>
      <c r="B41" s="319" t="s">
        <v>164</v>
      </c>
      <c r="C41" s="320">
        <f>SUM(C42:C44)</f>
        <v>28930.9</v>
      </c>
      <c r="D41" s="320">
        <f>SUM(D42:D44)</f>
        <v>0</v>
      </c>
      <c r="E41" s="320">
        <f t="shared" si="0"/>
        <v>28930.9</v>
      </c>
    </row>
    <row r="42" spans="1:6" s="321" customFormat="1" ht="12" x14ac:dyDescent="0.2">
      <c r="A42" s="329" t="s">
        <v>165</v>
      </c>
      <c r="B42" s="330" t="s">
        <v>166</v>
      </c>
      <c r="C42" s="331">
        <v>6500</v>
      </c>
      <c r="D42" s="331">
        <v>0</v>
      </c>
      <c r="E42" s="331">
        <f t="shared" si="0"/>
        <v>6500</v>
      </c>
      <c r="F42" s="335"/>
    </row>
    <row r="43" spans="1:6" s="321" customFormat="1" ht="12" x14ac:dyDescent="0.2">
      <c r="A43" s="329" t="s">
        <v>167</v>
      </c>
      <c r="B43" s="330" t="s">
        <v>168</v>
      </c>
      <c r="C43" s="331">
        <v>230.90000000000009</v>
      </c>
      <c r="D43" s="334">
        <v>0</v>
      </c>
      <c r="E43" s="331">
        <f t="shared" si="0"/>
        <v>230.90000000000009</v>
      </c>
      <c r="F43" s="335"/>
    </row>
    <row r="44" spans="1:6" s="321" customFormat="1" ht="12" x14ac:dyDescent="0.2">
      <c r="A44" s="329" t="s">
        <v>169</v>
      </c>
      <c r="B44" s="330" t="s">
        <v>170</v>
      </c>
      <c r="C44" s="331">
        <v>22200</v>
      </c>
      <c r="D44" s="334">
        <v>0</v>
      </c>
      <c r="E44" s="331">
        <f t="shared" si="0"/>
        <v>22200</v>
      </c>
      <c r="F44" s="335"/>
    </row>
    <row r="45" spans="1:6" s="321" customFormat="1" ht="25.5" outlineLevel="1" x14ac:dyDescent="0.2">
      <c r="A45" s="327" t="s">
        <v>171</v>
      </c>
      <c r="B45" s="328" t="s">
        <v>172</v>
      </c>
      <c r="C45" s="336">
        <v>0</v>
      </c>
      <c r="D45" s="445">
        <v>4000</v>
      </c>
      <c r="E45" s="320">
        <f t="shared" si="0"/>
        <v>4000</v>
      </c>
      <c r="F45" s="335"/>
    </row>
    <row r="46" spans="1:6" ht="25.5" x14ac:dyDescent="0.2">
      <c r="A46" s="323" t="s">
        <v>173</v>
      </c>
      <c r="B46" s="324" t="s">
        <v>174</v>
      </c>
      <c r="C46" s="325">
        <f>SUM(C47:C51)</f>
        <v>52028</v>
      </c>
      <c r="D46" s="325">
        <f>SUM(D47:D51)</f>
        <v>13041</v>
      </c>
      <c r="E46" s="325">
        <f>E47+E48+E49+E51</f>
        <v>65069</v>
      </c>
    </row>
    <row r="47" spans="1:6" ht="25.5" x14ac:dyDescent="0.2">
      <c r="A47" s="327" t="s">
        <v>175</v>
      </c>
      <c r="B47" s="328" t="s">
        <v>176</v>
      </c>
      <c r="C47" s="337">
        <v>1420</v>
      </c>
      <c r="D47" s="337">
        <v>41</v>
      </c>
      <c r="E47" s="337">
        <f t="shared" ref="E47:E82" si="1">SUM(C47:D47)</f>
        <v>1461</v>
      </c>
    </row>
    <row r="48" spans="1:6" ht="76.5" x14ac:dyDescent="0.2">
      <c r="A48" s="338" t="s">
        <v>177</v>
      </c>
      <c r="B48" s="339" t="s">
        <v>178</v>
      </c>
      <c r="C48" s="340">
        <v>3608</v>
      </c>
      <c r="D48" s="340">
        <v>0</v>
      </c>
      <c r="E48" s="340">
        <f t="shared" si="1"/>
        <v>3608</v>
      </c>
    </row>
    <row r="49" spans="1:6" ht="38.25" x14ac:dyDescent="0.2">
      <c r="A49" s="341" t="s">
        <v>179</v>
      </c>
      <c r="B49" s="342" t="s">
        <v>180</v>
      </c>
      <c r="C49" s="340">
        <v>30000</v>
      </c>
      <c r="D49" s="340">
        <v>2000</v>
      </c>
      <c r="E49" s="340">
        <f t="shared" si="1"/>
        <v>32000</v>
      </c>
      <c r="F49" s="332"/>
    </row>
    <row r="50" spans="1:6" ht="51" hidden="1" outlineLevel="1" x14ac:dyDescent="0.2">
      <c r="A50" s="341" t="s">
        <v>181</v>
      </c>
      <c r="B50" s="342" t="s">
        <v>182</v>
      </c>
      <c r="C50" s="343">
        <v>0</v>
      </c>
      <c r="D50" s="343">
        <v>0</v>
      </c>
      <c r="E50" s="340">
        <f t="shared" si="1"/>
        <v>0</v>
      </c>
      <c r="F50" s="332"/>
    </row>
    <row r="51" spans="1:6" ht="76.5" collapsed="1" x14ac:dyDescent="0.2">
      <c r="A51" s="341" t="s">
        <v>183</v>
      </c>
      <c r="B51" s="342" t="s">
        <v>184</v>
      </c>
      <c r="C51" s="343">
        <v>17000</v>
      </c>
      <c r="D51" s="407">
        <v>11000</v>
      </c>
      <c r="E51" s="340">
        <f t="shared" si="1"/>
        <v>28000</v>
      </c>
      <c r="F51" s="332"/>
    </row>
    <row r="52" spans="1:6" ht="22.5" x14ac:dyDescent="0.2">
      <c r="A52" s="323" t="s">
        <v>185</v>
      </c>
      <c r="B52" s="324" t="s">
        <v>186</v>
      </c>
      <c r="C52" s="325">
        <f>SUM(C53:C81)</f>
        <v>0</v>
      </c>
      <c r="D52" s="325">
        <f>SUM(D53:D81)</f>
        <v>9102.9</v>
      </c>
      <c r="E52" s="325">
        <f t="shared" si="1"/>
        <v>9102.9</v>
      </c>
    </row>
    <row r="53" spans="1:6" s="335" customFormat="1" ht="76.5" x14ac:dyDescent="0.2">
      <c r="A53" s="318" t="s">
        <v>1663</v>
      </c>
      <c r="B53" s="319" t="s">
        <v>1664</v>
      </c>
      <c r="C53" s="344">
        <v>0</v>
      </c>
      <c r="D53" s="344">
        <v>50</v>
      </c>
      <c r="E53" s="344">
        <f t="shared" si="1"/>
        <v>50</v>
      </c>
    </row>
    <row r="54" spans="1:6" s="335" customFormat="1" ht="89.25" x14ac:dyDescent="0.2">
      <c r="A54" s="318" t="s">
        <v>1665</v>
      </c>
      <c r="B54" s="319" t="s">
        <v>1666</v>
      </c>
      <c r="C54" s="344">
        <v>0</v>
      </c>
      <c r="D54" s="326">
        <v>6</v>
      </c>
      <c r="E54" s="344">
        <f t="shared" si="1"/>
        <v>6</v>
      </c>
    </row>
    <row r="55" spans="1:6" s="335" customFormat="1" ht="76.5" x14ac:dyDescent="0.2">
      <c r="A55" s="318" t="s">
        <v>1667</v>
      </c>
      <c r="B55" s="346" t="s">
        <v>1668</v>
      </c>
      <c r="C55" s="344">
        <v>0</v>
      </c>
      <c r="D55" s="326">
        <v>45</v>
      </c>
      <c r="E55" s="344">
        <f t="shared" si="1"/>
        <v>45</v>
      </c>
    </row>
    <row r="56" spans="1:6" s="335" customFormat="1" ht="63.75" x14ac:dyDescent="0.2">
      <c r="A56" s="318" t="s">
        <v>1669</v>
      </c>
      <c r="B56" s="346" t="s">
        <v>1670</v>
      </c>
      <c r="C56" s="344">
        <v>0</v>
      </c>
      <c r="D56" s="326">
        <v>100</v>
      </c>
      <c r="E56" s="344">
        <f t="shared" si="1"/>
        <v>100</v>
      </c>
    </row>
    <row r="57" spans="1:6" s="335" customFormat="1" ht="89.25" x14ac:dyDescent="0.2">
      <c r="A57" s="318" t="s">
        <v>1671</v>
      </c>
      <c r="B57" s="346" t="s">
        <v>1672</v>
      </c>
      <c r="C57" s="344">
        <v>0</v>
      </c>
      <c r="D57" s="326">
        <f>50+2</f>
        <v>52</v>
      </c>
      <c r="E57" s="344">
        <f t="shared" si="1"/>
        <v>52</v>
      </c>
    </row>
    <row r="58" spans="1:6" s="335" customFormat="1" ht="76.5" x14ac:dyDescent="0.2">
      <c r="A58" s="318" t="s">
        <v>1673</v>
      </c>
      <c r="B58" s="346" t="s">
        <v>1674</v>
      </c>
      <c r="C58" s="344">
        <v>0</v>
      </c>
      <c r="D58" s="326">
        <v>100</v>
      </c>
      <c r="E58" s="344">
        <f t="shared" si="1"/>
        <v>100</v>
      </c>
    </row>
    <row r="59" spans="1:6" s="335" customFormat="1" ht="76.5" x14ac:dyDescent="0.2">
      <c r="A59" s="318" t="s">
        <v>1675</v>
      </c>
      <c r="B59" s="346" t="s">
        <v>1676</v>
      </c>
      <c r="C59" s="344">
        <v>0</v>
      </c>
      <c r="D59" s="326">
        <v>0.5</v>
      </c>
      <c r="E59" s="344">
        <f t="shared" si="1"/>
        <v>0.5</v>
      </c>
    </row>
    <row r="60" spans="1:6" s="335" customFormat="1" ht="76.5" x14ac:dyDescent="0.2">
      <c r="A60" s="318" t="s">
        <v>1677</v>
      </c>
      <c r="B60" s="346" t="s">
        <v>1678</v>
      </c>
      <c r="C60" s="344">
        <v>0</v>
      </c>
      <c r="D60" s="326">
        <v>27.5</v>
      </c>
      <c r="E60" s="344">
        <f t="shared" si="1"/>
        <v>27.5</v>
      </c>
    </row>
    <row r="61" spans="1:6" s="335" customFormat="1" ht="89.25" x14ac:dyDescent="0.2">
      <c r="A61" s="318" t="s">
        <v>1679</v>
      </c>
      <c r="B61" s="346" t="s">
        <v>1680</v>
      </c>
      <c r="C61" s="344">
        <v>0</v>
      </c>
      <c r="D61" s="326">
        <v>4.2</v>
      </c>
      <c r="E61" s="344">
        <f t="shared" si="1"/>
        <v>4.2</v>
      </c>
    </row>
    <row r="62" spans="1:6" s="335" customFormat="1" ht="102" x14ac:dyDescent="0.2">
      <c r="A62" s="318" t="s">
        <v>1681</v>
      </c>
      <c r="B62" s="346" t="s">
        <v>1581</v>
      </c>
      <c r="C62" s="344">
        <v>0</v>
      </c>
      <c r="D62" s="326">
        <v>55</v>
      </c>
      <c r="E62" s="344">
        <f t="shared" si="1"/>
        <v>55</v>
      </c>
    </row>
    <row r="63" spans="1:6" s="335" customFormat="1" ht="102" x14ac:dyDescent="0.2">
      <c r="A63" s="318" t="s">
        <v>1682</v>
      </c>
      <c r="B63" s="346" t="s">
        <v>1683</v>
      </c>
      <c r="C63" s="344">
        <v>0</v>
      </c>
      <c r="D63" s="326">
        <v>20</v>
      </c>
      <c r="E63" s="344">
        <f t="shared" si="1"/>
        <v>20</v>
      </c>
    </row>
    <row r="64" spans="1:6" s="335" customFormat="1" ht="114.75" x14ac:dyDescent="0.2">
      <c r="A64" s="318" t="s">
        <v>1684</v>
      </c>
      <c r="B64" s="346" t="s">
        <v>1565</v>
      </c>
      <c r="C64" s="344">
        <v>0</v>
      </c>
      <c r="D64" s="326">
        <v>3.5</v>
      </c>
      <c r="E64" s="344">
        <f t="shared" si="1"/>
        <v>3.5</v>
      </c>
    </row>
    <row r="65" spans="1:5" s="335" customFormat="1" ht="76.5" x14ac:dyDescent="0.2">
      <c r="A65" s="318" t="s">
        <v>1685</v>
      </c>
      <c r="B65" s="346" t="s">
        <v>1686</v>
      </c>
      <c r="C65" s="344">
        <v>0</v>
      </c>
      <c r="D65" s="326">
        <v>135</v>
      </c>
      <c r="E65" s="344">
        <f t="shared" si="1"/>
        <v>135</v>
      </c>
    </row>
    <row r="66" spans="1:5" s="335" customFormat="1" ht="76.5" x14ac:dyDescent="0.2">
      <c r="A66" s="318" t="s">
        <v>1687</v>
      </c>
      <c r="B66" s="346" t="s">
        <v>1688</v>
      </c>
      <c r="C66" s="344">
        <v>0</v>
      </c>
      <c r="D66" s="326">
        <v>2331</v>
      </c>
      <c r="E66" s="344">
        <f t="shared" si="1"/>
        <v>2331</v>
      </c>
    </row>
    <row r="67" spans="1:5" s="335" customFormat="1" ht="63.75" x14ac:dyDescent="0.2">
      <c r="A67" s="318" t="s">
        <v>1689</v>
      </c>
      <c r="B67" s="346" t="s">
        <v>275</v>
      </c>
      <c r="C67" s="344">
        <v>0</v>
      </c>
      <c r="D67" s="326">
        <v>34.799999999999997</v>
      </c>
      <c r="E67" s="344">
        <f t="shared" si="1"/>
        <v>34.799999999999997</v>
      </c>
    </row>
    <row r="68" spans="1:5" s="335" customFormat="1" ht="63.75" x14ac:dyDescent="0.2">
      <c r="A68" s="318" t="s">
        <v>1690</v>
      </c>
      <c r="B68" s="346" t="s">
        <v>277</v>
      </c>
      <c r="C68" s="344">
        <v>0</v>
      </c>
      <c r="D68" s="326">
        <v>899</v>
      </c>
      <c r="E68" s="344">
        <f t="shared" si="1"/>
        <v>899</v>
      </c>
    </row>
    <row r="69" spans="1:5" s="335" customFormat="1" ht="38.25" x14ac:dyDescent="0.2">
      <c r="A69" s="345" t="s">
        <v>1691</v>
      </c>
      <c r="B69" s="346" t="s">
        <v>281</v>
      </c>
      <c r="C69" s="344">
        <v>0</v>
      </c>
      <c r="D69" s="326">
        <v>114.8</v>
      </c>
      <c r="E69" s="344">
        <f t="shared" si="1"/>
        <v>114.8</v>
      </c>
    </row>
    <row r="70" spans="1:5" s="335" customFormat="1" ht="63.75" x14ac:dyDescent="0.2">
      <c r="A70" s="345" t="s">
        <v>1692</v>
      </c>
      <c r="B70" s="346" t="s">
        <v>1693</v>
      </c>
      <c r="C70" s="344">
        <v>0</v>
      </c>
      <c r="D70" s="326">
        <v>4768.5</v>
      </c>
      <c r="E70" s="344">
        <f t="shared" si="1"/>
        <v>4768.5</v>
      </c>
    </row>
    <row r="71" spans="1:5" s="335" customFormat="1" ht="63.75" x14ac:dyDescent="0.2">
      <c r="A71" s="345" t="s">
        <v>1694</v>
      </c>
      <c r="B71" s="346" t="s">
        <v>1695</v>
      </c>
      <c r="C71" s="344">
        <v>0</v>
      </c>
      <c r="D71" s="326">
        <v>354.2</v>
      </c>
      <c r="E71" s="344">
        <f t="shared" si="1"/>
        <v>354.2</v>
      </c>
    </row>
    <row r="72" spans="1:5" s="335" customFormat="1" ht="89.25" x14ac:dyDescent="0.2">
      <c r="A72" s="345" t="s">
        <v>1696</v>
      </c>
      <c r="B72" s="346" t="s">
        <v>1697</v>
      </c>
      <c r="C72" s="344">
        <v>0</v>
      </c>
      <c r="D72" s="326">
        <v>1.9</v>
      </c>
      <c r="E72" s="344">
        <f t="shared" si="1"/>
        <v>1.9</v>
      </c>
    </row>
    <row r="73" spans="1:5" s="335" customFormat="1" ht="51" hidden="1" x14ac:dyDescent="0.2">
      <c r="A73" s="345" t="s">
        <v>1698</v>
      </c>
      <c r="B73" s="346" t="s">
        <v>291</v>
      </c>
      <c r="C73" s="326">
        <v>0</v>
      </c>
      <c r="D73" s="326"/>
      <c r="E73" s="326">
        <f t="shared" si="1"/>
        <v>0</v>
      </c>
    </row>
    <row r="74" spans="1:5" s="335" customFormat="1" hidden="1" outlineLevel="1" x14ac:dyDescent="0.2">
      <c r="A74" s="318"/>
      <c r="B74" s="319"/>
      <c r="C74" s="326">
        <v>0</v>
      </c>
      <c r="D74" s="326"/>
      <c r="E74" s="326">
        <f t="shared" si="1"/>
        <v>0</v>
      </c>
    </row>
    <row r="75" spans="1:5" s="335" customFormat="1" hidden="1" outlineLevel="1" x14ac:dyDescent="0.2">
      <c r="A75" s="318"/>
      <c r="B75" s="319"/>
      <c r="C75" s="326">
        <v>0</v>
      </c>
      <c r="D75" s="326"/>
      <c r="E75" s="326">
        <f t="shared" si="1"/>
        <v>0</v>
      </c>
    </row>
    <row r="76" spans="1:5" s="335" customFormat="1" hidden="1" outlineLevel="1" x14ac:dyDescent="0.2">
      <c r="A76" s="318"/>
      <c r="B76" s="319"/>
      <c r="C76" s="326">
        <v>0</v>
      </c>
      <c r="D76" s="326"/>
      <c r="E76" s="326">
        <f t="shared" si="1"/>
        <v>0</v>
      </c>
    </row>
    <row r="77" spans="1:5" s="335" customFormat="1" hidden="1" outlineLevel="1" x14ac:dyDescent="0.2">
      <c r="A77" s="318"/>
      <c r="B77" s="319"/>
      <c r="C77" s="326">
        <v>0</v>
      </c>
      <c r="D77" s="326"/>
      <c r="E77" s="326">
        <f t="shared" si="1"/>
        <v>0</v>
      </c>
    </row>
    <row r="78" spans="1:5" s="335" customFormat="1" hidden="1" outlineLevel="1" x14ac:dyDescent="0.2">
      <c r="A78" s="318"/>
      <c r="B78" s="319"/>
      <c r="C78" s="326">
        <v>0</v>
      </c>
      <c r="D78" s="326"/>
      <c r="E78" s="326">
        <f t="shared" si="1"/>
        <v>0</v>
      </c>
    </row>
    <row r="79" spans="1:5" s="335" customFormat="1" hidden="1" outlineLevel="1" x14ac:dyDescent="0.2">
      <c r="A79" s="318"/>
      <c r="B79" s="319"/>
      <c r="C79" s="344">
        <v>0</v>
      </c>
      <c r="D79" s="326"/>
      <c r="E79" s="344">
        <f t="shared" si="1"/>
        <v>0</v>
      </c>
    </row>
    <row r="80" spans="1:5" s="335" customFormat="1" hidden="1" outlineLevel="1" x14ac:dyDescent="0.2">
      <c r="A80" s="318"/>
      <c r="B80" s="319"/>
      <c r="C80" s="344">
        <v>0</v>
      </c>
      <c r="D80" s="344"/>
      <c r="E80" s="344">
        <f t="shared" si="1"/>
        <v>0</v>
      </c>
    </row>
    <row r="81" spans="1:7" s="335" customFormat="1" hidden="1" outlineLevel="1" x14ac:dyDescent="0.2">
      <c r="A81" s="318"/>
      <c r="B81" s="319"/>
      <c r="C81" s="344">
        <v>0</v>
      </c>
      <c r="D81" s="344"/>
      <c r="E81" s="344">
        <f t="shared" si="1"/>
        <v>0</v>
      </c>
    </row>
    <row r="82" spans="1:7" s="335" customFormat="1" ht="22.5" collapsed="1" x14ac:dyDescent="0.2">
      <c r="A82" s="323" t="s">
        <v>187</v>
      </c>
      <c r="B82" s="324" t="s">
        <v>188</v>
      </c>
      <c r="C82" s="325">
        <f>C83+C84</f>
        <v>25900</v>
      </c>
      <c r="D82" s="325">
        <f>D83+D84</f>
        <v>5426.4</v>
      </c>
      <c r="E82" s="325">
        <f t="shared" si="1"/>
        <v>31326.400000000001</v>
      </c>
    </row>
    <row r="83" spans="1:7" s="335" customFormat="1" ht="25.5" hidden="1" outlineLevel="1" x14ac:dyDescent="0.2">
      <c r="A83" s="327" t="s">
        <v>189</v>
      </c>
      <c r="B83" s="328" t="s">
        <v>190</v>
      </c>
      <c r="C83" s="347">
        <v>0</v>
      </c>
      <c r="D83" s="347"/>
      <c r="E83" s="347">
        <f t="shared" ref="E83:E95" si="2">SUM(C83:D83)</f>
        <v>0</v>
      </c>
    </row>
    <row r="84" spans="1:7" s="335" customFormat="1" ht="22.5" collapsed="1" x14ac:dyDescent="0.2">
      <c r="A84" s="348" t="s">
        <v>191</v>
      </c>
      <c r="B84" s="349" t="s">
        <v>192</v>
      </c>
      <c r="C84" s="350">
        <f>SUM(C85:C90)</f>
        <v>25900</v>
      </c>
      <c r="D84" s="350">
        <f>SUM(D85:D90)</f>
        <v>5426.4</v>
      </c>
      <c r="E84" s="350">
        <f t="shared" si="2"/>
        <v>31326.400000000001</v>
      </c>
    </row>
    <row r="85" spans="1:7" s="335" customFormat="1" ht="12" hidden="1" x14ac:dyDescent="0.2">
      <c r="A85" s="329" t="s">
        <v>193</v>
      </c>
      <c r="B85" s="351" t="s">
        <v>194</v>
      </c>
      <c r="C85" s="352">
        <v>0</v>
      </c>
      <c r="D85" s="352"/>
      <c r="E85" s="352">
        <f t="shared" si="2"/>
        <v>0</v>
      </c>
    </row>
    <row r="86" spans="1:7" s="335" customFormat="1" ht="36" x14ac:dyDescent="0.2">
      <c r="A86" s="329" t="s">
        <v>1436</v>
      </c>
      <c r="B86" s="351" t="s">
        <v>1437</v>
      </c>
      <c r="C86" s="352">
        <v>900</v>
      </c>
      <c r="D86" s="352">
        <v>1500</v>
      </c>
      <c r="E86" s="352">
        <f t="shared" si="2"/>
        <v>2400</v>
      </c>
    </row>
    <row r="87" spans="1:7" s="335" customFormat="1" ht="24" x14ac:dyDescent="0.2">
      <c r="A87" s="329" t="s">
        <v>195</v>
      </c>
      <c r="B87" s="330" t="s">
        <v>296</v>
      </c>
      <c r="C87" s="331">
        <v>5000</v>
      </c>
      <c r="D87" s="331">
        <v>0</v>
      </c>
      <c r="E87" s="331">
        <f t="shared" si="2"/>
        <v>5000</v>
      </c>
      <c r="G87" s="353"/>
    </row>
    <row r="88" spans="1:7" s="335" customFormat="1" ht="12" x14ac:dyDescent="0.2">
      <c r="A88" s="329" t="s">
        <v>196</v>
      </c>
      <c r="B88" s="330" t="s">
        <v>298</v>
      </c>
      <c r="C88" s="331">
        <v>0</v>
      </c>
      <c r="D88" s="331">
        <v>2500</v>
      </c>
      <c r="E88" s="331">
        <f t="shared" si="2"/>
        <v>2500</v>
      </c>
    </row>
    <row r="89" spans="1:7" s="335" customFormat="1" ht="12" x14ac:dyDescent="0.2">
      <c r="A89" s="329" t="s">
        <v>197</v>
      </c>
      <c r="B89" s="330" t="s">
        <v>198</v>
      </c>
      <c r="C89" s="331">
        <v>20000</v>
      </c>
      <c r="D89" s="331">
        <v>0</v>
      </c>
      <c r="E89" s="331">
        <f t="shared" si="2"/>
        <v>20000</v>
      </c>
      <c r="G89" s="353"/>
    </row>
    <row r="90" spans="1:7" s="335" customFormat="1" ht="24.75" thickBot="1" x14ac:dyDescent="0.25">
      <c r="A90" s="329" t="s">
        <v>199</v>
      </c>
      <c r="B90" s="330" t="s">
        <v>200</v>
      </c>
      <c r="C90" s="331">
        <v>0</v>
      </c>
      <c r="D90" s="331">
        <v>1426.4</v>
      </c>
      <c r="E90" s="331">
        <f t="shared" si="2"/>
        <v>1426.4</v>
      </c>
    </row>
    <row r="91" spans="1:7" s="335" customFormat="1" ht="39" hidden="1" outlineLevel="1" thickBot="1" x14ac:dyDescent="0.25">
      <c r="A91" s="323" t="s">
        <v>1438</v>
      </c>
      <c r="B91" s="324" t="s">
        <v>1439</v>
      </c>
      <c r="C91" s="325">
        <v>0</v>
      </c>
      <c r="D91" s="325">
        <f>D92</f>
        <v>0</v>
      </c>
      <c r="E91" s="325">
        <f t="shared" si="2"/>
        <v>0</v>
      </c>
    </row>
    <row r="92" spans="1:7" ht="51.75" hidden="1" outlineLevel="1" thickBot="1" x14ac:dyDescent="0.25">
      <c r="A92" s="354" t="s">
        <v>1440</v>
      </c>
      <c r="B92" s="355" t="s">
        <v>302</v>
      </c>
      <c r="C92" s="356">
        <v>0</v>
      </c>
      <c r="D92" s="356"/>
      <c r="E92" s="356">
        <f t="shared" si="2"/>
        <v>0</v>
      </c>
    </row>
    <row r="93" spans="1:7" s="335" customFormat="1" ht="23.25" collapsed="1" thickBot="1" x14ac:dyDescent="0.25">
      <c r="A93" s="312" t="s">
        <v>201</v>
      </c>
      <c r="B93" s="313" t="s">
        <v>202</v>
      </c>
      <c r="C93" s="314">
        <f>SUM(C94:C100)</f>
        <v>5307537.8999999994</v>
      </c>
      <c r="D93" s="314">
        <f>SUM(D94:D100)</f>
        <v>131515.1</v>
      </c>
      <c r="E93" s="314">
        <f t="shared" si="2"/>
        <v>5439052.9999999991</v>
      </c>
    </row>
    <row r="94" spans="1:7" s="335" customFormat="1" ht="25.5" hidden="1" outlineLevel="1" x14ac:dyDescent="0.2">
      <c r="A94" s="318" t="s">
        <v>203</v>
      </c>
      <c r="B94" s="319" t="s">
        <v>204</v>
      </c>
      <c r="C94" s="344">
        <v>0</v>
      </c>
      <c r="D94" s="344"/>
      <c r="E94" s="344">
        <f t="shared" si="2"/>
        <v>0</v>
      </c>
      <c r="F94" s="353"/>
    </row>
    <row r="95" spans="1:7" s="335" customFormat="1" ht="25.5" collapsed="1" x14ac:dyDescent="0.2">
      <c r="A95" s="318" t="s">
        <v>205</v>
      </c>
      <c r="B95" s="319" t="s">
        <v>206</v>
      </c>
      <c r="C95" s="344">
        <v>843676.3</v>
      </c>
      <c r="D95" s="344">
        <v>-86370</v>
      </c>
      <c r="E95" s="326">
        <f t="shared" si="2"/>
        <v>757306.3</v>
      </c>
    </row>
    <row r="96" spans="1:7" s="335" customFormat="1" ht="25.5" x14ac:dyDescent="0.2">
      <c r="A96" s="318" t="s">
        <v>207</v>
      </c>
      <c r="B96" s="319" t="s">
        <v>208</v>
      </c>
      <c r="C96" s="344">
        <v>4472322</v>
      </c>
      <c r="D96" s="344">
        <v>216848.4</v>
      </c>
      <c r="E96" s="326">
        <f t="shared" ref="E96:E101" si="3">SUM(C96:D96)</f>
        <v>4689170.4000000004</v>
      </c>
    </row>
    <row r="97" spans="1:6" ht="22.5" x14ac:dyDescent="0.2">
      <c r="A97" s="318" t="s">
        <v>209</v>
      </c>
      <c r="B97" s="319" t="s">
        <v>210</v>
      </c>
      <c r="C97" s="344">
        <v>0</v>
      </c>
      <c r="D97" s="344">
        <v>1036.7</v>
      </c>
      <c r="E97" s="344">
        <f t="shared" si="3"/>
        <v>1036.7</v>
      </c>
      <c r="F97" s="332"/>
    </row>
    <row r="98" spans="1:6" ht="25.5" hidden="1" outlineLevel="1" x14ac:dyDescent="0.2">
      <c r="A98" s="318" t="s">
        <v>1441</v>
      </c>
      <c r="B98" s="319" t="s">
        <v>1442</v>
      </c>
      <c r="C98" s="344">
        <v>0</v>
      </c>
      <c r="D98" s="344"/>
      <c r="E98" s="344">
        <f t="shared" si="3"/>
        <v>0</v>
      </c>
    </row>
    <row r="99" spans="1:6" ht="76.5" hidden="1" outlineLevel="1" x14ac:dyDescent="0.2">
      <c r="A99" s="318" t="s">
        <v>1443</v>
      </c>
      <c r="B99" s="319" t="s">
        <v>1444</v>
      </c>
      <c r="C99" s="344">
        <v>0</v>
      </c>
      <c r="D99" s="344"/>
      <c r="E99" s="344">
        <f t="shared" si="3"/>
        <v>0</v>
      </c>
    </row>
    <row r="100" spans="1:6" ht="39" collapsed="1" thickBot="1" x14ac:dyDescent="0.25">
      <c r="A100" s="318" t="s">
        <v>211</v>
      </c>
      <c r="B100" s="357" t="s">
        <v>212</v>
      </c>
      <c r="C100" s="344">
        <v>-8460.4</v>
      </c>
      <c r="D100" s="344">
        <v>0</v>
      </c>
      <c r="E100" s="344">
        <f t="shared" si="3"/>
        <v>-8460.4</v>
      </c>
    </row>
    <row r="101" spans="1:6" ht="18.75" thickBot="1" x14ac:dyDescent="0.25">
      <c r="A101" s="358"/>
      <c r="B101" s="359" t="s">
        <v>213</v>
      </c>
      <c r="C101" s="314">
        <f>SUM(C93,C6)</f>
        <v>10858197.6</v>
      </c>
      <c r="D101" s="314">
        <f>SUM(D93,D6)</f>
        <v>222355.09999999998</v>
      </c>
      <c r="E101" s="314">
        <f t="shared" si="3"/>
        <v>11080552.699999999</v>
      </c>
    </row>
    <row r="103" spans="1:6" x14ac:dyDescent="0.2">
      <c r="D103" s="363"/>
      <c r="E103" s="363"/>
    </row>
    <row r="104" spans="1:6" x14ac:dyDescent="0.2">
      <c r="D104" s="363"/>
      <c r="E104" s="363"/>
    </row>
    <row r="105" spans="1:6" x14ac:dyDescent="0.2">
      <c r="D105" s="363"/>
      <c r="E105" s="363"/>
    </row>
    <row r="106" spans="1:6" x14ac:dyDescent="0.2">
      <c r="D106" s="363"/>
      <c r="E106" s="363"/>
    </row>
    <row r="107" spans="1:6" x14ac:dyDescent="0.2">
      <c r="D107" s="363"/>
      <c r="E107" s="363"/>
    </row>
    <row r="108" spans="1:6" x14ac:dyDescent="0.2">
      <c r="D108" s="363"/>
      <c r="E108" s="363"/>
    </row>
    <row r="109" spans="1:6" x14ac:dyDescent="0.2">
      <c r="D109" s="363"/>
      <c r="E109" s="363"/>
    </row>
  </sheetData>
  <mergeCells count="4">
    <mergeCell ref="A1:E1"/>
    <mergeCell ref="A2:E2"/>
    <mergeCell ref="A3:E3"/>
    <mergeCell ref="A4:E4"/>
  </mergeCells>
  <pageMargins left="0.78740157480314965" right="0.43307086614173229" top="0.47244094488188981" bottom="0.51181102362204722" header="0.19685039370078741" footer="0.23622047244094491"/>
  <pageSetup paperSize="9" scale="87" firstPageNumber="6" fitToHeight="4" orientation="portrait" useFirstPageNumber="1" r:id="rId1"/>
  <headerFooter alignWithMargins="0"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7"/>
  <sheetViews>
    <sheetView zoomScaleNormal="100" zoomScaleSheetLayoutView="100" workbookViewId="0">
      <selection activeCell="A3" sqref="A3:C3"/>
    </sheetView>
  </sheetViews>
  <sheetFormatPr defaultRowHeight="12" x14ac:dyDescent="0.2"/>
  <cols>
    <col min="1" max="1" width="8.7109375" style="368" customWidth="1"/>
    <col min="2" max="2" width="24" style="364" customWidth="1"/>
    <col min="3" max="3" width="72.5703125" style="369" customWidth="1"/>
    <col min="4" max="256" width="9.140625" style="364"/>
    <col min="257" max="257" width="8.7109375" style="364" customWidth="1"/>
    <col min="258" max="258" width="24" style="364" customWidth="1"/>
    <col min="259" max="259" width="72.5703125" style="364" customWidth="1"/>
    <col min="260" max="512" width="9.140625" style="364"/>
    <col min="513" max="513" width="8.7109375" style="364" customWidth="1"/>
    <col min="514" max="514" width="24" style="364" customWidth="1"/>
    <col min="515" max="515" width="72.5703125" style="364" customWidth="1"/>
    <col min="516" max="768" width="9.140625" style="364"/>
    <col min="769" max="769" width="8.7109375" style="364" customWidth="1"/>
    <col min="770" max="770" width="24" style="364" customWidth="1"/>
    <col min="771" max="771" width="72.5703125" style="364" customWidth="1"/>
    <col min="772" max="1024" width="9.140625" style="364"/>
    <col min="1025" max="1025" width="8.7109375" style="364" customWidth="1"/>
    <col min="1026" max="1026" width="24" style="364" customWidth="1"/>
    <col min="1027" max="1027" width="72.5703125" style="364" customWidth="1"/>
    <col min="1028" max="1280" width="9.140625" style="364"/>
    <col min="1281" max="1281" width="8.7109375" style="364" customWidth="1"/>
    <col min="1282" max="1282" width="24" style="364" customWidth="1"/>
    <col min="1283" max="1283" width="72.5703125" style="364" customWidth="1"/>
    <col min="1284" max="1536" width="9.140625" style="364"/>
    <col min="1537" max="1537" width="8.7109375" style="364" customWidth="1"/>
    <col min="1538" max="1538" width="24" style="364" customWidth="1"/>
    <col min="1539" max="1539" width="72.5703125" style="364" customWidth="1"/>
    <col min="1540" max="1792" width="9.140625" style="364"/>
    <col min="1793" max="1793" width="8.7109375" style="364" customWidth="1"/>
    <col min="1794" max="1794" width="24" style="364" customWidth="1"/>
    <col min="1795" max="1795" width="72.5703125" style="364" customWidth="1"/>
    <col min="1796" max="2048" width="9.140625" style="364"/>
    <col min="2049" max="2049" width="8.7109375" style="364" customWidth="1"/>
    <col min="2050" max="2050" width="24" style="364" customWidth="1"/>
    <col min="2051" max="2051" width="72.5703125" style="364" customWidth="1"/>
    <col min="2052" max="2304" width="9.140625" style="364"/>
    <col min="2305" max="2305" width="8.7109375" style="364" customWidth="1"/>
    <col min="2306" max="2306" width="24" style="364" customWidth="1"/>
    <col min="2307" max="2307" width="72.5703125" style="364" customWidth="1"/>
    <col min="2308" max="2560" width="9.140625" style="364"/>
    <col min="2561" max="2561" width="8.7109375" style="364" customWidth="1"/>
    <col min="2562" max="2562" width="24" style="364" customWidth="1"/>
    <col min="2563" max="2563" width="72.5703125" style="364" customWidth="1"/>
    <col min="2564" max="2816" width="9.140625" style="364"/>
    <col min="2817" max="2817" width="8.7109375" style="364" customWidth="1"/>
    <col min="2818" max="2818" width="24" style="364" customWidth="1"/>
    <col min="2819" max="2819" width="72.5703125" style="364" customWidth="1"/>
    <col min="2820" max="3072" width="9.140625" style="364"/>
    <col min="3073" max="3073" width="8.7109375" style="364" customWidth="1"/>
    <col min="3074" max="3074" width="24" style="364" customWidth="1"/>
    <col min="3075" max="3075" width="72.5703125" style="364" customWidth="1"/>
    <col min="3076" max="3328" width="9.140625" style="364"/>
    <col min="3329" max="3329" width="8.7109375" style="364" customWidth="1"/>
    <col min="3330" max="3330" width="24" style="364" customWidth="1"/>
    <col min="3331" max="3331" width="72.5703125" style="364" customWidth="1"/>
    <col min="3332" max="3584" width="9.140625" style="364"/>
    <col min="3585" max="3585" width="8.7109375" style="364" customWidth="1"/>
    <col min="3586" max="3586" width="24" style="364" customWidth="1"/>
    <col min="3587" max="3587" width="72.5703125" style="364" customWidth="1"/>
    <col min="3588" max="3840" width="9.140625" style="364"/>
    <col min="3841" max="3841" width="8.7109375" style="364" customWidth="1"/>
    <col min="3842" max="3842" width="24" style="364" customWidth="1"/>
    <col min="3843" max="3843" width="72.5703125" style="364" customWidth="1"/>
    <col min="3844" max="4096" width="9.140625" style="364"/>
    <col min="4097" max="4097" width="8.7109375" style="364" customWidth="1"/>
    <col min="4098" max="4098" width="24" style="364" customWidth="1"/>
    <col min="4099" max="4099" width="72.5703125" style="364" customWidth="1"/>
    <col min="4100" max="4352" width="9.140625" style="364"/>
    <col min="4353" max="4353" width="8.7109375" style="364" customWidth="1"/>
    <col min="4354" max="4354" width="24" style="364" customWidth="1"/>
    <col min="4355" max="4355" width="72.5703125" style="364" customWidth="1"/>
    <col min="4356" max="4608" width="9.140625" style="364"/>
    <col min="4609" max="4609" width="8.7109375" style="364" customWidth="1"/>
    <col min="4610" max="4610" width="24" style="364" customWidth="1"/>
    <col min="4611" max="4611" width="72.5703125" style="364" customWidth="1"/>
    <col min="4612" max="4864" width="9.140625" style="364"/>
    <col min="4865" max="4865" width="8.7109375" style="364" customWidth="1"/>
    <col min="4866" max="4866" width="24" style="364" customWidth="1"/>
    <col min="4867" max="4867" width="72.5703125" style="364" customWidth="1"/>
    <col min="4868" max="5120" width="9.140625" style="364"/>
    <col min="5121" max="5121" width="8.7109375" style="364" customWidth="1"/>
    <col min="5122" max="5122" width="24" style="364" customWidth="1"/>
    <col min="5123" max="5123" width="72.5703125" style="364" customWidth="1"/>
    <col min="5124" max="5376" width="9.140625" style="364"/>
    <col min="5377" max="5377" width="8.7109375" style="364" customWidth="1"/>
    <col min="5378" max="5378" width="24" style="364" customWidth="1"/>
    <col min="5379" max="5379" width="72.5703125" style="364" customWidth="1"/>
    <col min="5380" max="5632" width="9.140625" style="364"/>
    <col min="5633" max="5633" width="8.7109375" style="364" customWidth="1"/>
    <col min="5634" max="5634" width="24" style="364" customWidth="1"/>
    <col min="5635" max="5635" width="72.5703125" style="364" customWidth="1"/>
    <col min="5636" max="5888" width="9.140625" style="364"/>
    <col min="5889" max="5889" width="8.7109375" style="364" customWidth="1"/>
    <col min="5890" max="5890" width="24" style="364" customWidth="1"/>
    <col min="5891" max="5891" width="72.5703125" style="364" customWidth="1"/>
    <col min="5892" max="6144" width="9.140625" style="364"/>
    <col min="6145" max="6145" width="8.7109375" style="364" customWidth="1"/>
    <col min="6146" max="6146" width="24" style="364" customWidth="1"/>
    <col min="6147" max="6147" width="72.5703125" style="364" customWidth="1"/>
    <col min="6148" max="6400" width="9.140625" style="364"/>
    <col min="6401" max="6401" width="8.7109375" style="364" customWidth="1"/>
    <col min="6402" max="6402" width="24" style="364" customWidth="1"/>
    <col min="6403" max="6403" width="72.5703125" style="364" customWidth="1"/>
    <col min="6404" max="6656" width="9.140625" style="364"/>
    <col min="6657" max="6657" width="8.7109375" style="364" customWidth="1"/>
    <col min="6658" max="6658" width="24" style="364" customWidth="1"/>
    <col min="6659" max="6659" width="72.5703125" style="364" customWidth="1"/>
    <col min="6660" max="6912" width="9.140625" style="364"/>
    <col min="6913" max="6913" width="8.7109375" style="364" customWidth="1"/>
    <col min="6914" max="6914" width="24" style="364" customWidth="1"/>
    <col min="6915" max="6915" width="72.5703125" style="364" customWidth="1"/>
    <col min="6916" max="7168" width="9.140625" style="364"/>
    <col min="7169" max="7169" width="8.7109375" style="364" customWidth="1"/>
    <col min="7170" max="7170" width="24" style="364" customWidth="1"/>
    <col min="7171" max="7171" width="72.5703125" style="364" customWidth="1"/>
    <col min="7172" max="7424" width="9.140625" style="364"/>
    <col min="7425" max="7425" width="8.7109375" style="364" customWidth="1"/>
    <col min="7426" max="7426" width="24" style="364" customWidth="1"/>
    <col min="7427" max="7427" width="72.5703125" style="364" customWidth="1"/>
    <col min="7428" max="7680" width="9.140625" style="364"/>
    <col min="7681" max="7681" width="8.7109375" style="364" customWidth="1"/>
    <col min="7682" max="7682" width="24" style="364" customWidth="1"/>
    <col min="7683" max="7683" width="72.5703125" style="364" customWidth="1"/>
    <col min="7684" max="7936" width="9.140625" style="364"/>
    <col min="7937" max="7937" width="8.7109375" style="364" customWidth="1"/>
    <col min="7938" max="7938" width="24" style="364" customWidth="1"/>
    <col min="7939" max="7939" width="72.5703125" style="364" customWidth="1"/>
    <col min="7940" max="8192" width="9.140625" style="364"/>
    <col min="8193" max="8193" width="8.7109375" style="364" customWidth="1"/>
    <col min="8194" max="8194" width="24" style="364" customWidth="1"/>
    <col min="8195" max="8195" width="72.5703125" style="364" customWidth="1"/>
    <col min="8196" max="8448" width="9.140625" style="364"/>
    <col min="8449" max="8449" width="8.7109375" style="364" customWidth="1"/>
    <col min="8450" max="8450" width="24" style="364" customWidth="1"/>
    <col min="8451" max="8451" width="72.5703125" style="364" customWidth="1"/>
    <col min="8452" max="8704" width="9.140625" style="364"/>
    <col min="8705" max="8705" width="8.7109375" style="364" customWidth="1"/>
    <col min="8706" max="8706" width="24" style="364" customWidth="1"/>
    <col min="8707" max="8707" width="72.5703125" style="364" customWidth="1"/>
    <col min="8708" max="8960" width="9.140625" style="364"/>
    <col min="8961" max="8961" width="8.7109375" style="364" customWidth="1"/>
    <col min="8962" max="8962" width="24" style="364" customWidth="1"/>
    <col min="8963" max="8963" width="72.5703125" style="364" customWidth="1"/>
    <col min="8964" max="9216" width="9.140625" style="364"/>
    <col min="9217" max="9217" width="8.7109375" style="364" customWidth="1"/>
    <col min="9218" max="9218" width="24" style="364" customWidth="1"/>
    <col min="9219" max="9219" width="72.5703125" style="364" customWidth="1"/>
    <col min="9220" max="9472" width="9.140625" style="364"/>
    <col min="9473" max="9473" width="8.7109375" style="364" customWidth="1"/>
    <col min="9474" max="9474" width="24" style="364" customWidth="1"/>
    <col min="9475" max="9475" width="72.5703125" style="364" customWidth="1"/>
    <col min="9476" max="9728" width="9.140625" style="364"/>
    <col min="9729" max="9729" width="8.7109375" style="364" customWidth="1"/>
    <col min="9730" max="9730" width="24" style="364" customWidth="1"/>
    <col min="9731" max="9731" width="72.5703125" style="364" customWidth="1"/>
    <col min="9732" max="9984" width="9.140625" style="364"/>
    <col min="9985" max="9985" width="8.7109375" style="364" customWidth="1"/>
    <col min="9986" max="9986" width="24" style="364" customWidth="1"/>
    <col min="9987" max="9987" width="72.5703125" style="364" customWidth="1"/>
    <col min="9988" max="10240" width="9.140625" style="364"/>
    <col min="10241" max="10241" width="8.7109375" style="364" customWidth="1"/>
    <col min="10242" max="10242" width="24" style="364" customWidth="1"/>
    <col min="10243" max="10243" width="72.5703125" style="364" customWidth="1"/>
    <col min="10244" max="10496" width="9.140625" style="364"/>
    <col min="10497" max="10497" width="8.7109375" style="364" customWidth="1"/>
    <col min="10498" max="10498" width="24" style="364" customWidth="1"/>
    <col min="10499" max="10499" width="72.5703125" style="364" customWidth="1"/>
    <col min="10500" max="10752" width="9.140625" style="364"/>
    <col min="10753" max="10753" width="8.7109375" style="364" customWidth="1"/>
    <col min="10754" max="10754" width="24" style="364" customWidth="1"/>
    <col min="10755" max="10755" width="72.5703125" style="364" customWidth="1"/>
    <col min="10756" max="11008" width="9.140625" style="364"/>
    <col min="11009" max="11009" width="8.7109375" style="364" customWidth="1"/>
    <col min="11010" max="11010" width="24" style="364" customWidth="1"/>
    <col min="11011" max="11011" width="72.5703125" style="364" customWidth="1"/>
    <col min="11012" max="11264" width="9.140625" style="364"/>
    <col min="11265" max="11265" width="8.7109375" style="364" customWidth="1"/>
    <col min="11266" max="11266" width="24" style="364" customWidth="1"/>
    <col min="11267" max="11267" width="72.5703125" style="364" customWidth="1"/>
    <col min="11268" max="11520" width="9.140625" style="364"/>
    <col min="11521" max="11521" width="8.7109375" style="364" customWidth="1"/>
    <col min="11522" max="11522" width="24" style="364" customWidth="1"/>
    <col min="11523" max="11523" width="72.5703125" style="364" customWidth="1"/>
    <col min="11524" max="11776" width="9.140625" style="364"/>
    <col min="11777" max="11777" width="8.7109375" style="364" customWidth="1"/>
    <col min="11778" max="11778" width="24" style="364" customWidth="1"/>
    <col min="11779" max="11779" width="72.5703125" style="364" customWidth="1"/>
    <col min="11780" max="12032" width="9.140625" style="364"/>
    <col min="12033" max="12033" width="8.7109375" style="364" customWidth="1"/>
    <col min="12034" max="12034" width="24" style="364" customWidth="1"/>
    <col min="12035" max="12035" width="72.5703125" style="364" customWidth="1"/>
    <col min="12036" max="12288" width="9.140625" style="364"/>
    <col min="12289" max="12289" width="8.7109375" style="364" customWidth="1"/>
    <col min="12290" max="12290" width="24" style="364" customWidth="1"/>
    <col min="12291" max="12291" width="72.5703125" style="364" customWidth="1"/>
    <col min="12292" max="12544" width="9.140625" style="364"/>
    <col min="12545" max="12545" width="8.7109375" style="364" customWidth="1"/>
    <col min="12546" max="12546" width="24" style="364" customWidth="1"/>
    <col min="12547" max="12547" width="72.5703125" style="364" customWidth="1"/>
    <col min="12548" max="12800" width="9.140625" style="364"/>
    <col min="12801" max="12801" width="8.7109375" style="364" customWidth="1"/>
    <col min="12802" max="12802" width="24" style="364" customWidth="1"/>
    <col min="12803" max="12803" width="72.5703125" style="364" customWidth="1"/>
    <col min="12804" max="13056" width="9.140625" style="364"/>
    <col min="13057" max="13057" width="8.7109375" style="364" customWidth="1"/>
    <col min="13058" max="13058" width="24" style="364" customWidth="1"/>
    <col min="13059" max="13059" width="72.5703125" style="364" customWidth="1"/>
    <col min="13060" max="13312" width="9.140625" style="364"/>
    <col min="13313" max="13313" width="8.7109375" style="364" customWidth="1"/>
    <col min="13314" max="13314" width="24" style="364" customWidth="1"/>
    <col min="13315" max="13315" width="72.5703125" style="364" customWidth="1"/>
    <col min="13316" max="13568" width="9.140625" style="364"/>
    <col min="13569" max="13569" width="8.7109375" style="364" customWidth="1"/>
    <col min="13570" max="13570" width="24" style="364" customWidth="1"/>
    <col min="13571" max="13571" width="72.5703125" style="364" customWidth="1"/>
    <col min="13572" max="13824" width="9.140625" style="364"/>
    <col min="13825" max="13825" width="8.7109375" style="364" customWidth="1"/>
    <col min="13826" max="13826" width="24" style="364" customWidth="1"/>
    <col min="13827" max="13827" width="72.5703125" style="364" customWidth="1"/>
    <col min="13828" max="14080" width="9.140625" style="364"/>
    <col min="14081" max="14081" width="8.7109375" style="364" customWidth="1"/>
    <col min="14082" max="14082" width="24" style="364" customWidth="1"/>
    <col min="14083" max="14083" width="72.5703125" style="364" customWidth="1"/>
    <col min="14084" max="14336" width="9.140625" style="364"/>
    <col min="14337" max="14337" width="8.7109375" style="364" customWidth="1"/>
    <col min="14338" max="14338" width="24" style="364" customWidth="1"/>
    <col min="14339" max="14339" width="72.5703125" style="364" customWidth="1"/>
    <col min="14340" max="14592" width="9.140625" style="364"/>
    <col min="14593" max="14593" width="8.7109375" style="364" customWidth="1"/>
    <col min="14594" max="14594" width="24" style="364" customWidth="1"/>
    <col min="14595" max="14595" width="72.5703125" style="364" customWidth="1"/>
    <col min="14596" max="14848" width="9.140625" style="364"/>
    <col min="14849" max="14849" width="8.7109375" style="364" customWidth="1"/>
    <col min="14850" max="14850" width="24" style="364" customWidth="1"/>
    <col min="14851" max="14851" width="72.5703125" style="364" customWidth="1"/>
    <col min="14852" max="15104" width="9.140625" style="364"/>
    <col min="15105" max="15105" width="8.7109375" style="364" customWidth="1"/>
    <col min="15106" max="15106" width="24" style="364" customWidth="1"/>
    <col min="15107" max="15107" width="72.5703125" style="364" customWidth="1"/>
    <col min="15108" max="15360" width="9.140625" style="364"/>
    <col min="15361" max="15361" width="8.7109375" style="364" customWidth="1"/>
    <col min="15362" max="15362" width="24" style="364" customWidth="1"/>
    <col min="15363" max="15363" width="72.5703125" style="364" customWidth="1"/>
    <col min="15364" max="15616" width="9.140625" style="364"/>
    <col min="15617" max="15617" width="8.7109375" style="364" customWidth="1"/>
    <col min="15618" max="15618" width="24" style="364" customWidth="1"/>
    <col min="15619" max="15619" width="72.5703125" style="364" customWidth="1"/>
    <col min="15620" max="15872" width="9.140625" style="364"/>
    <col min="15873" max="15873" width="8.7109375" style="364" customWidth="1"/>
    <col min="15874" max="15874" width="24" style="364" customWidth="1"/>
    <col min="15875" max="15875" width="72.5703125" style="364" customWidth="1"/>
    <col min="15876" max="16128" width="9.140625" style="364"/>
    <col min="16129" max="16129" width="8.7109375" style="364" customWidth="1"/>
    <col min="16130" max="16130" width="24" style="364" customWidth="1"/>
    <col min="16131" max="16131" width="72.5703125" style="364" customWidth="1"/>
    <col min="16132" max="16384" width="9.140625" style="364"/>
  </cols>
  <sheetData>
    <row r="1" spans="1:3" ht="12.75" x14ac:dyDescent="0.2">
      <c r="A1" s="455" t="s">
        <v>214</v>
      </c>
      <c r="B1" s="455"/>
      <c r="C1" s="455"/>
    </row>
    <row r="2" spans="1:3" ht="12.75" x14ac:dyDescent="0.2">
      <c r="A2" s="455" t="s">
        <v>1</v>
      </c>
      <c r="B2" s="455"/>
      <c r="C2" s="455"/>
    </row>
    <row r="3" spans="1:3" ht="12.75" x14ac:dyDescent="0.2">
      <c r="A3" s="456" t="s">
        <v>1737</v>
      </c>
      <c r="B3" s="456"/>
      <c r="C3" s="456"/>
    </row>
    <row r="4" spans="1:3" ht="15" x14ac:dyDescent="0.2">
      <c r="A4" s="365"/>
      <c r="B4" s="366"/>
      <c r="C4" s="367"/>
    </row>
    <row r="5" spans="1:3" ht="45" customHeight="1" x14ac:dyDescent="0.2">
      <c r="A5" s="457" t="s">
        <v>215</v>
      </c>
      <c r="B5" s="457"/>
      <c r="C5" s="457"/>
    </row>
    <row r="6" spans="1:3" ht="36" x14ac:dyDescent="0.2">
      <c r="A6" s="28" t="s">
        <v>216</v>
      </c>
      <c r="B6" s="29" t="s">
        <v>217</v>
      </c>
      <c r="C6" s="29" t="s">
        <v>218</v>
      </c>
    </row>
    <row r="7" spans="1:3" ht="29.25" customHeight="1" x14ac:dyDescent="0.2">
      <c r="A7" s="452" t="s">
        <v>219</v>
      </c>
      <c r="B7" s="453"/>
      <c r="C7" s="454"/>
    </row>
    <row r="8" spans="1:3" ht="15.75" x14ac:dyDescent="0.2">
      <c r="A8" s="30">
        <v>901</v>
      </c>
      <c r="B8" s="31"/>
      <c r="C8" s="31" t="s">
        <v>220</v>
      </c>
    </row>
    <row r="9" spans="1:3" ht="25.5" x14ac:dyDescent="0.2">
      <c r="A9" s="32">
        <v>901</v>
      </c>
      <c r="B9" s="33" t="s">
        <v>221</v>
      </c>
      <c r="C9" s="34" t="s">
        <v>129</v>
      </c>
    </row>
    <row r="10" spans="1:3" ht="63.75" x14ac:dyDescent="0.2">
      <c r="A10" s="32">
        <v>901</v>
      </c>
      <c r="B10" s="33" t="s">
        <v>222</v>
      </c>
      <c r="C10" s="34" t="s">
        <v>223</v>
      </c>
    </row>
    <row r="11" spans="1:3" ht="38.25" x14ac:dyDescent="0.2">
      <c r="A11" s="32">
        <v>901</v>
      </c>
      <c r="B11" s="33" t="s">
        <v>224</v>
      </c>
      <c r="C11" s="34" t="s">
        <v>135</v>
      </c>
    </row>
    <row r="12" spans="1:3" ht="25.5" x14ac:dyDescent="0.2">
      <c r="A12" s="32">
        <v>901</v>
      </c>
      <c r="B12" s="33" t="s">
        <v>225</v>
      </c>
      <c r="C12" s="34" t="s">
        <v>226</v>
      </c>
    </row>
    <row r="13" spans="1:3" ht="51" x14ac:dyDescent="0.2">
      <c r="A13" s="32">
        <v>901</v>
      </c>
      <c r="B13" s="33" t="s">
        <v>227</v>
      </c>
      <c r="C13" s="34" t="s">
        <v>137</v>
      </c>
    </row>
    <row r="14" spans="1:3" ht="51" x14ac:dyDescent="0.2">
      <c r="A14" s="32">
        <v>901</v>
      </c>
      <c r="B14" s="33" t="s">
        <v>228</v>
      </c>
      <c r="C14" s="34" t="s">
        <v>139</v>
      </c>
    </row>
    <row r="15" spans="1:3" ht="38.25" x14ac:dyDescent="0.2">
      <c r="A15" s="32">
        <v>901</v>
      </c>
      <c r="B15" s="33" t="s">
        <v>229</v>
      </c>
      <c r="C15" s="34" t="s">
        <v>230</v>
      </c>
    </row>
    <row r="16" spans="1:3" ht="51" x14ac:dyDescent="0.2">
      <c r="A16" s="32">
        <v>901</v>
      </c>
      <c r="B16" s="33" t="s">
        <v>231</v>
      </c>
      <c r="C16" s="34" t="s">
        <v>232</v>
      </c>
    </row>
    <row r="17" spans="1:3" ht="25.5" x14ac:dyDescent="0.2">
      <c r="A17" s="32">
        <v>901</v>
      </c>
      <c r="B17" s="33" t="s">
        <v>233</v>
      </c>
      <c r="C17" s="34" t="s">
        <v>141</v>
      </c>
    </row>
    <row r="18" spans="1:3" ht="51" x14ac:dyDescent="0.2">
      <c r="A18" s="32">
        <v>901</v>
      </c>
      <c r="B18" s="33" t="s">
        <v>234</v>
      </c>
      <c r="C18" s="34" t="s">
        <v>235</v>
      </c>
    </row>
    <row r="19" spans="1:3" ht="76.5" x14ac:dyDescent="0.2">
      <c r="A19" s="32">
        <v>901</v>
      </c>
      <c r="B19" s="33" t="s">
        <v>236</v>
      </c>
      <c r="C19" s="34" t="s">
        <v>143</v>
      </c>
    </row>
    <row r="20" spans="1:3" ht="63.75" x14ac:dyDescent="0.2">
      <c r="A20" s="32">
        <v>901</v>
      </c>
      <c r="B20" s="33" t="s">
        <v>237</v>
      </c>
      <c r="C20" s="34" t="s">
        <v>145</v>
      </c>
    </row>
    <row r="21" spans="1:3" ht="127.5" x14ac:dyDescent="0.2">
      <c r="A21" s="32">
        <v>901</v>
      </c>
      <c r="B21" s="33" t="s">
        <v>1445</v>
      </c>
      <c r="C21" s="34" t="s">
        <v>1550</v>
      </c>
    </row>
    <row r="22" spans="1:3" ht="102" x14ac:dyDescent="0.2">
      <c r="A22" s="32">
        <v>901</v>
      </c>
      <c r="B22" s="33" t="s">
        <v>1446</v>
      </c>
      <c r="C22" s="34" t="s">
        <v>1551</v>
      </c>
    </row>
    <row r="23" spans="1:3" ht="127.5" x14ac:dyDescent="0.2">
      <c r="A23" s="32">
        <v>901</v>
      </c>
      <c r="B23" s="33" t="s">
        <v>1447</v>
      </c>
      <c r="C23" s="34" t="s">
        <v>1552</v>
      </c>
    </row>
    <row r="24" spans="1:3" ht="38.25" x14ac:dyDescent="0.2">
      <c r="A24" s="32">
        <v>901</v>
      </c>
      <c r="B24" s="33" t="s">
        <v>238</v>
      </c>
      <c r="C24" s="34" t="s">
        <v>147</v>
      </c>
    </row>
    <row r="25" spans="1:3" ht="25.5" x14ac:dyDescent="0.2">
      <c r="A25" s="32">
        <v>901</v>
      </c>
      <c r="B25" s="33" t="s">
        <v>239</v>
      </c>
      <c r="C25" s="34" t="s">
        <v>240</v>
      </c>
    </row>
    <row r="26" spans="1:3" ht="51" x14ac:dyDescent="0.2">
      <c r="A26" s="32">
        <v>901</v>
      </c>
      <c r="B26" s="33" t="s">
        <v>241</v>
      </c>
      <c r="C26" s="34" t="s">
        <v>149</v>
      </c>
    </row>
    <row r="27" spans="1:3" ht="12.75" x14ac:dyDescent="0.2">
      <c r="A27" s="32">
        <v>901</v>
      </c>
      <c r="B27" s="33" t="s">
        <v>242</v>
      </c>
      <c r="C27" s="34" t="s">
        <v>151</v>
      </c>
    </row>
    <row r="28" spans="1:3" ht="12.75" x14ac:dyDescent="0.2">
      <c r="A28" s="32">
        <v>901</v>
      </c>
      <c r="B28" s="33" t="s">
        <v>243</v>
      </c>
      <c r="C28" s="34" t="s">
        <v>153</v>
      </c>
    </row>
    <row r="29" spans="1:3" ht="12.75" x14ac:dyDescent="0.2">
      <c r="A29" s="32">
        <v>901</v>
      </c>
      <c r="B29" s="33" t="s">
        <v>244</v>
      </c>
      <c r="C29" s="34" t="s">
        <v>155</v>
      </c>
    </row>
    <row r="30" spans="1:3" ht="38.25" x14ac:dyDescent="0.2">
      <c r="A30" s="32">
        <v>901</v>
      </c>
      <c r="B30" s="33" t="s">
        <v>245</v>
      </c>
      <c r="C30" s="34" t="s">
        <v>162</v>
      </c>
    </row>
    <row r="31" spans="1:3" ht="25.5" x14ac:dyDescent="0.2">
      <c r="A31" s="32">
        <v>901</v>
      </c>
      <c r="B31" s="33" t="s">
        <v>246</v>
      </c>
      <c r="C31" s="34" t="s">
        <v>164</v>
      </c>
    </row>
    <row r="32" spans="1:3" ht="12.75" x14ac:dyDescent="0.2">
      <c r="A32" s="32">
        <v>901</v>
      </c>
      <c r="B32" s="33" t="s">
        <v>247</v>
      </c>
      <c r="C32" s="34" t="s">
        <v>166</v>
      </c>
    </row>
    <row r="33" spans="1:3" ht="12.75" x14ac:dyDescent="0.2">
      <c r="A33" s="32">
        <v>901</v>
      </c>
      <c r="B33" s="33" t="s">
        <v>248</v>
      </c>
      <c r="C33" s="34" t="s">
        <v>168</v>
      </c>
    </row>
    <row r="34" spans="1:3" ht="12.75" x14ac:dyDescent="0.2">
      <c r="A34" s="32">
        <v>901</v>
      </c>
      <c r="B34" s="33" t="s">
        <v>249</v>
      </c>
      <c r="C34" s="34" t="s">
        <v>170</v>
      </c>
    </row>
    <row r="35" spans="1:3" ht="25.5" x14ac:dyDescent="0.2">
      <c r="A35" s="32">
        <v>901</v>
      </c>
      <c r="B35" s="33" t="s">
        <v>250</v>
      </c>
      <c r="C35" s="34" t="s">
        <v>251</v>
      </c>
    </row>
    <row r="36" spans="1:3" ht="12.75" x14ac:dyDescent="0.2">
      <c r="A36" s="32">
        <v>901</v>
      </c>
      <c r="B36" s="33" t="s">
        <v>252</v>
      </c>
      <c r="C36" s="34" t="s">
        <v>172</v>
      </c>
    </row>
    <row r="37" spans="1:3" ht="12.75" x14ac:dyDescent="0.2">
      <c r="A37" s="32">
        <v>901</v>
      </c>
      <c r="B37" s="33" t="s">
        <v>253</v>
      </c>
      <c r="C37" s="34" t="s">
        <v>176</v>
      </c>
    </row>
    <row r="38" spans="1:3" ht="51" x14ac:dyDescent="0.2">
      <c r="A38" s="32">
        <v>901</v>
      </c>
      <c r="B38" s="33" t="s">
        <v>254</v>
      </c>
      <c r="C38" s="34" t="s">
        <v>255</v>
      </c>
    </row>
    <row r="39" spans="1:3" ht="63.75" x14ac:dyDescent="0.2">
      <c r="A39" s="32">
        <v>901</v>
      </c>
      <c r="B39" s="33" t="s">
        <v>256</v>
      </c>
      <c r="C39" s="34" t="s">
        <v>178</v>
      </c>
    </row>
    <row r="40" spans="1:3" ht="38.25" x14ac:dyDescent="0.2">
      <c r="A40" s="32">
        <v>901</v>
      </c>
      <c r="B40" s="33" t="s">
        <v>257</v>
      </c>
      <c r="C40" s="34" t="s">
        <v>258</v>
      </c>
    </row>
    <row r="41" spans="1:3" ht="63.75" x14ac:dyDescent="0.2">
      <c r="A41" s="32">
        <v>901</v>
      </c>
      <c r="B41" s="33" t="s">
        <v>259</v>
      </c>
      <c r="C41" s="34" t="s">
        <v>260</v>
      </c>
    </row>
    <row r="42" spans="1:3" ht="63.75" x14ac:dyDescent="0.2">
      <c r="A42" s="32">
        <v>901</v>
      </c>
      <c r="B42" s="33" t="s">
        <v>261</v>
      </c>
      <c r="C42" s="34" t="s">
        <v>262</v>
      </c>
    </row>
    <row r="43" spans="1:3" ht="38.25" x14ac:dyDescent="0.2">
      <c r="A43" s="32">
        <v>901</v>
      </c>
      <c r="B43" s="33" t="s">
        <v>263</v>
      </c>
      <c r="C43" s="34" t="s">
        <v>1448</v>
      </c>
    </row>
    <row r="44" spans="1:3" ht="38.25" x14ac:dyDescent="0.2">
      <c r="A44" s="32">
        <v>901</v>
      </c>
      <c r="B44" s="33" t="s">
        <v>264</v>
      </c>
      <c r="C44" s="34" t="s">
        <v>1449</v>
      </c>
    </row>
    <row r="45" spans="1:3" ht="25.5" x14ac:dyDescent="0.2">
      <c r="A45" s="32">
        <v>901</v>
      </c>
      <c r="B45" s="33" t="s">
        <v>265</v>
      </c>
      <c r="C45" s="34" t="s">
        <v>266</v>
      </c>
    </row>
    <row r="46" spans="1:3" ht="25.5" x14ac:dyDescent="0.2">
      <c r="A46" s="32">
        <v>901</v>
      </c>
      <c r="B46" s="33" t="s">
        <v>267</v>
      </c>
      <c r="C46" s="34" t="s">
        <v>180</v>
      </c>
    </row>
    <row r="47" spans="1:3" ht="38.25" x14ac:dyDescent="0.2">
      <c r="A47" s="32">
        <v>901</v>
      </c>
      <c r="B47" s="33" t="s">
        <v>268</v>
      </c>
      <c r="C47" s="34" t="s">
        <v>182</v>
      </c>
    </row>
    <row r="48" spans="1:3" ht="38.25" x14ac:dyDescent="0.2">
      <c r="A48" s="32">
        <v>901</v>
      </c>
      <c r="B48" s="33" t="s">
        <v>269</v>
      </c>
      <c r="C48" s="34" t="s">
        <v>270</v>
      </c>
    </row>
    <row r="49" spans="1:3" ht="51" x14ac:dyDescent="0.2">
      <c r="A49" s="32">
        <v>901</v>
      </c>
      <c r="B49" s="33" t="s">
        <v>271</v>
      </c>
      <c r="C49" s="34" t="s">
        <v>184</v>
      </c>
    </row>
    <row r="50" spans="1:3" ht="38.25" x14ac:dyDescent="0.2">
      <c r="A50" s="32">
        <v>901</v>
      </c>
      <c r="B50" s="33" t="s">
        <v>272</v>
      </c>
      <c r="C50" s="34" t="s">
        <v>273</v>
      </c>
    </row>
    <row r="51" spans="1:3" ht="51" x14ac:dyDescent="0.2">
      <c r="A51" s="32">
        <v>901</v>
      </c>
      <c r="B51" s="33" t="s">
        <v>413</v>
      </c>
      <c r="C51" s="34" t="s">
        <v>414</v>
      </c>
    </row>
    <row r="52" spans="1:3" ht="51" x14ac:dyDescent="0.2">
      <c r="A52" s="32">
        <v>901</v>
      </c>
      <c r="B52" s="33" t="s">
        <v>1553</v>
      </c>
      <c r="C52" s="34" t="s">
        <v>1450</v>
      </c>
    </row>
    <row r="53" spans="1:3" ht="51" x14ac:dyDescent="0.2">
      <c r="A53" s="32">
        <v>901</v>
      </c>
      <c r="B53" s="33" t="s">
        <v>417</v>
      </c>
      <c r="C53" s="34" t="s">
        <v>418</v>
      </c>
    </row>
    <row r="54" spans="1:3" ht="51" x14ac:dyDescent="0.2">
      <c r="A54" s="32">
        <v>901</v>
      </c>
      <c r="B54" s="33" t="s">
        <v>274</v>
      </c>
      <c r="C54" s="34" t="s">
        <v>275</v>
      </c>
    </row>
    <row r="55" spans="1:3" ht="51" x14ac:dyDescent="0.2">
      <c r="A55" s="32">
        <v>901</v>
      </c>
      <c r="B55" s="33" t="s">
        <v>276</v>
      </c>
      <c r="C55" s="34" t="s">
        <v>277</v>
      </c>
    </row>
    <row r="56" spans="1:3" ht="38.25" x14ac:dyDescent="0.2">
      <c r="A56" s="32">
        <v>901</v>
      </c>
      <c r="B56" s="33" t="s">
        <v>278</v>
      </c>
      <c r="C56" s="34" t="s">
        <v>279</v>
      </c>
    </row>
    <row r="57" spans="1:3" ht="38.25" x14ac:dyDescent="0.2">
      <c r="A57" s="32">
        <v>901</v>
      </c>
      <c r="B57" s="33" t="s">
        <v>280</v>
      </c>
      <c r="C57" s="34" t="s">
        <v>281</v>
      </c>
    </row>
    <row r="58" spans="1:3" ht="51" x14ac:dyDescent="0.2">
      <c r="A58" s="32">
        <v>901</v>
      </c>
      <c r="B58" s="33" t="s">
        <v>282</v>
      </c>
      <c r="C58" s="34" t="s">
        <v>283</v>
      </c>
    </row>
    <row r="59" spans="1:3" ht="102" x14ac:dyDescent="0.2">
      <c r="A59" s="32">
        <v>901</v>
      </c>
      <c r="B59" s="33" t="s">
        <v>284</v>
      </c>
      <c r="C59" s="34" t="s">
        <v>285</v>
      </c>
    </row>
    <row r="60" spans="1:3" ht="63.75" x14ac:dyDescent="0.2">
      <c r="A60" s="32">
        <v>901</v>
      </c>
      <c r="B60" s="33" t="s">
        <v>286</v>
      </c>
      <c r="C60" s="34" t="s">
        <v>287</v>
      </c>
    </row>
    <row r="61" spans="1:3" ht="38.25" x14ac:dyDescent="0.2">
      <c r="A61" s="32">
        <v>901</v>
      </c>
      <c r="B61" s="33" t="s">
        <v>288</v>
      </c>
      <c r="C61" s="34" t="s">
        <v>289</v>
      </c>
    </row>
    <row r="62" spans="1:3" ht="51" x14ac:dyDescent="0.2">
      <c r="A62" s="32">
        <v>901</v>
      </c>
      <c r="B62" s="33" t="s">
        <v>1451</v>
      </c>
      <c r="C62" s="34" t="s">
        <v>1452</v>
      </c>
    </row>
    <row r="63" spans="1:3" ht="102" x14ac:dyDescent="0.2">
      <c r="A63" s="32">
        <v>901</v>
      </c>
      <c r="B63" s="33" t="s">
        <v>1480</v>
      </c>
      <c r="C63" s="34" t="s">
        <v>1481</v>
      </c>
    </row>
    <row r="64" spans="1:3" ht="38.25" x14ac:dyDescent="0.2">
      <c r="A64" s="32">
        <v>901</v>
      </c>
      <c r="B64" s="33" t="s">
        <v>290</v>
      </c>
      <c r="C64" s="34" t="s">
        <v>291</v>
      </c>
    </row>
    <row r="65" spans="1:3" ht="12.75" x14ac:dyDescent="0.2">
      <c r="A65" s="32">
        <v>901</v>
      </c>
      <c r="B65" s="33" t="s">
        <v>292</v>
      </c>
      <c r="C65" s="34" t="s">
        <v>190</v>
      </c>
    </row>
    <row r="66" spans="1:3" ht="12.75" x14ac:dyDescent="0.2">
      <c r="A66" s="32">
        <v>901</v>
      </c>
      <c r="B66" s="33" t="s">
        <v>293</v>
      </c>
      <c r="C66" s="34" t="s">
        <v>192</v>
      </c>
    </row>
    <row r="67" spans="1:3" ht="12.75" x14ac:dyDescent="0.2">
      <c r="A67" s="32">
        <v>901</v>
      </c>
      <c r="B67" s="33" t="s">
        <v>294</v>
      </c>
      <c r="C67" s="34" t="s">
        <v>194</v>
      </c>
    </row>
    <row r="68" spans="1:3" ht="25.5" x14ac:dyDescent="0.2">
      <c r="A68" s="32" t="s">
        <v>506</v>
      </c>
      <c r="B68" s="33" t="s">
        <v>1453</v>
      </c>
      <c r="C68" s="34" t="s">
        <v>1437</v>
      </c>
    </row>
    <row r="69" spans="1:3" ht="12.75" x14ac:dyDescent="0.2">
      <c r="A69" s="32">
        <v>901</v>
      </c>
      <c r="B69" s="33" t="s">
        <v>295</v>
      </c>
      <c r="C69" s="34" t="s">
        <v>296</v>
      </c>
    </row>
    <row r="70" spans="1:3" ht="12.75" x14ac:dyDescent="0.2">
      <c r="A70" s="32">
        <v>901</v>
      </c>
      <c r="B70" s="33" t="s">
        <v>297</v>
      </c>
      <c r="C70" s="34" t="s">
        <v>298</v>
      </c>
    </row>
    <row r="71" spans="1:3" ht="12.75" x14ac:dyDescent="0.2">
      <c r="A71" s="32">
        <v>901</v>
      </c>
      <c r="B71" s="33" t="s">
        <v>299</v>
      </c>
      <c r="C71" s="34" t="s">
        <v>198</v>
      </c>
    </row>
    <row r="72" spans="1:3" ht="12.75" x14ac:dyDescent="0.2">
      <c r="A72" s="32">
        <v>901</v>
      </c>
      <c r="B72" s="33" t="s">
        <v>300</v>
      </c>
      <c r="C72" s="34" t="s">
        <v>200</v>
      </c>
    </row>
    <row r="73" spans="1:3" ht="38.25" x14ac:dyDescent="0.2">
      <c r="A73" s="32">
        <v>901</v>
      </c>
      <c r="B73" s="33" t="s">
        <v>301</v>
      </c>
      <c r="C73" s="34" t="s">
        <v>302</v>
      </c>
    </row>
    <row r="74" spans="1:3" ht="25.5" x14ac:dyDescent="0.2">
      <c r="A74" s="32">
        <v>901</v>
      </c>
      <c r="B74" s="33" t="s">
        <v>303</v>
      </c>
      <c r="C74" s="34" t="s">
        <v>1454</v>
      </c>
    </row>
    <row r="75" spans="1:3" ht="25.5" x14ac:dyDescent="0.2">
      <c r="A75" s="32">
        <v>901</v>
      </c>
      <c r="B75" s="33" t="s">
        <v>304</v>
      </c>
      <c r="C75" s="34" t="s">
        <v>305</v>
      </c>
    </row>
    <row r="76" spans="1:3" ht="12.75" x14ac:dyDescent="0.2">
      <c r="A76" s="32">
        <v>901</v>
      </c>
      <c r="B76" s="33" t="s">
        <v>306</v>
      </c>
      <c r="C76" s="34" t="s">
        <v>307</v>
      </c>
    </row>
    <row r="77" spans="1:3" ht="51" x14ac:dyDescent="0.2">
      <c r="A77" s="32">
        <v>901</v>
      </c>
      <c r="B77" s="33" t="s">
        <v>308</v>
      </c>
      <c r="C77" s="34" t="s">
        <v>309</v>
      </c>
    </row>
    <row r="78" spans="1:3" ht="25.5" x14ac:dyDescent="0.2">
      <c r="A78" s="32">
        <v>901</v>
      </c>
      <c r="B78" s="33" t="s">
        <v>310</v>
      </c>
      <c r="C78" s="34" t="s">
        <v>311</v>
      </c>
    </row>
    <row r="79" spans="1:3" ht="38.25" x14ac:dyDescent="0.2">
      <c r="A79" s="32">
        <v>901</v>
      </c>
      <c r="B79" s="33" t="s">
        <v>312</v>
      </c>
      <c r="C79" s="34" t="s">
        <v>313</v>
      </c>
    </row>
    <row r="80" spans="1:3" ht="51" x14ac:dyDescent="0.2">
      <c r="A80" s="32">
        <v>901</v>
      </c>
      <c r="B80" s="33" t="s">
        <v>314</v>
      </c>
      <c r="C80" s="34" t="s">
        <v>315</v>
      </c>
    </row>
    <row r="81" spans="1:3" ht="25.5" x14ac:dyDescent="0.2">
      <c r="A81" s="32">
        <v>901</v>
      </c>
      <c r="B81" s="33" t="s">
        <v>1699</v>
      </c>
      <c r="C81" s="34" t="s">
        <v>1700</v>
      </c>
    </row>
    <row r="82" spans="1:3" ht="28.5" customHeight="1" x14ac:dyDescent="0.2">
      <c r="A82" s="32">
        <v>901</v>
      </c>
      <c r="B82" s="33" t="s">
        <v>1455</v>
      </c>
      <c r="C82" s="34" t="s">
        <v>1456</v>
      </c>
    </row>
    <row r="83" spans="1:3" ht="63.75" x14ac:dyDescent="0.2">
      <c r="A83" s="32">
        <v>901</v>
      </c>
      <c r="B83" s="33" t="s">
        <v>1457</v>
      </c>
      <c r="C83" s="34" t="s">
        <v>1458</v>
      </c>
    </row>
    <row r="84" spans="1:3" ht="51" x14ac:dyDescent="0.2">
      <c r="A84" s="32">
        <v>901</v>
      </c>
      <c r="B84" s="33" t="s">
        <v>316</v>
      </c>
      <c r="C84" s="34" t="s">
        <v>1459</v>
      </c>
    </row>
    <row r="85" spans="1:3" ht="38.25" x14ac:dyDescent="0.2">
      <c r="A85" s="32">
        <v>901</v>
      </c>
      <c r="B85" s="33" t="s">
        <v>317</v>
      </c>
      <c r="C85" s="34" t="s">
        <v>318</v>
      </c>
    </row>
    <row r="86" spans="1:3" ht="25.5" x14ac:dyDescent="0.2">
      <c r="A86" s="32">
        <v>901</v>
      </c>
      <c r="B86" s="33" t="s">
        <v>319</v>
      </c>
      <c r="C86" s="34" t="s">
        <v>320</v>
      </c>
    </row>
    <row r="87" spans="1:3" ht="38.25" x14ac:dyDescent="0.2">
      <c r="A87" s="32">
        <v>901</v>
      </c>
      <c r="B87" s="33" t="s">
        <v>321</v>
      </c>
      <c r="C87" s="34" t="s">
        <v>322</v>
      </c>
    </row>
    <row r="88" spans="1:3" ht="89.25" x14ac:dyDescent="0.2">
      <c r="A88" s="32">
        <v>901</v>
      </c>
      <c r="B88" s="33" t="s">
        <v>1460</v>
      </c>
      <c r="C88" s="34" t="s">
        <v>1461</v>
      </c>
    </row>
    <row r="89" spans="1:3" ht="51" x14ac:dyDescent="0.2">
      <c r="A89" s="32">
        <v>901</v>
      </c>
      <c r="B89" s="33" t="s">
        <v>1462</v>
      </c>
      <c r="C89" s="34" t="s">
        <v>1463</v>
      </c>
    </row>
    <row r="90" spans="1:3" ht="38.25" x14ac:dyDescent="0.2">
      <c r="A90" s="32" t="s">
        <v>506</v>
      </c>
      <c r="B90" s="33" t="s">
        <v>1701</v>
      </c>
      <c r="C90" s="34" t="s">
        <v>1702</v>
      </c>
    </row>
    <row r="91" spans="1:3" ht="38.25" x14ac:dyDescent="0.2">
      <c r="A91" s="32">
        <v>901</v>
      </c>
      <c r="B91" s="33" t="s">
        <v>323</v>
      </c>
      <c r="C91" s="34" t="s">
        <v>324</v>
      </c>
    </row>
    <row r="92" spans="1:3" ht="38.25" x14ac:dyDescent="0.2">
      <c r="A92" s="32">
        <v>901</v>
      </c>
      <c r="B92" s="33" t="s">
        <v>325</v>
      </c>
      <c r="C92" s="34" t="s">
        <v>326</v>
      </c>
    </row>
    <row r="93" spans="1:3" ht="25.5" x14ac:dyDescent="0.2">
      <c r="A93" s="32">
        <v>901</v>
      </c>
      <c r="B93" s="33" t="s">
        <v>327</v>
      </c>
      <c r="C93" s="34" t="s">
        <v>328</v>
      </c>
    </row>
    <row r="94" spans="1:3" ht="25.5" x14ac:dyDescent="0.2">
      <c r="A94" s="32">
        <v>901</v>
      </c>
      <c r="B94" s="33" t="s">
        <v>329</v>
      </c>
      <c r="C94" s="34" t="s">
        <v>330</v>
      </c>
    </row>
    <row r="95" spans="1:3" ht="12.75" x14ac:dyDescent="0.2">
      <c r="A95" s="32">
        <v>901</v>
      </c>
      <c r="B95" s="33" t="s">
        <v>331</v>
      </c>
      <c r="C95" s="34" t="s">
        <v>1464</v>
      </c>
    </row>
    <row r="96" spans="1:3" ht="51" x14ac:dyDescent="0.2">
      <c r="A96" s="32">
        <v>901</v>
      </c>
      <c r="B96" s="33" t="s">
        <v>332</v>
      </c>
      <c r="C96" s="34" t="s">
        <v>333</v>
      </c>
    </row>
    <row r="97" spans="1:3" ht="25.5" x14ac:dyDescent="0.2">
      <c r="A97" s="32">
        <v>901</v>
      </c>
      <c r="B97" s="33" t="s">
        <v>1465</v>
      </c>
      <c r="C97" s="34" t="s">
        <v>1466</v>
      </c>
    </row>
    <row r="98" spans="1:3" ht="38.25" x14ac:dyDescent="0.2">
      <c r="A98" s="32">
        <v>901</v>
      </c>
      <c r="B98" s="33" t="s">
        <v>334</v>
      </c>
      <c r="C98" s="34" t="s">
        <v>335</v>
      </c>
    </row>
    <row r="99" spans="1:3" ht="51" x14ac:dyDescent="0.2">
      <c r="A99" s="32">
        <v>901</v>
      </c>
      <c r="B99" s="33" t="s">
        <v>336</v>
      </c>
      <c r="C99" s="34" t="s">
        <v>337</v>
      </c>
    </row>
    <row r="100" spans="1:3" ht="12.75" x14ac:dyDescent="0.2">
      <c r="A100" s="32">
        <v>901</v>
      </c>
      <c r="B100" s="33" t="s">
        <v>338</v>
      </c>
      <c r="C100" s="34" t="s">
        <v>339</v>
      </c>
    </row>
    <row r="101" spans="1:3" ht="25.5" x14ac:dyDescent="0.2">
      <c r="A101" s="32">
        <v>901</v>
      </c>
      <c r="B101" s="33" t="s">
        <v>340</v>
      </c>
      <c r="C101" s="34" t="s">
        <v>341</v>
      </c>
    </row>
    <row r="102" spans="1:3" ht="25.5" x14ac:dyDescent="0.2">
      <c r="A102" s="32">
        <v>901</v>
      </c>
      <c r="B102" s="33" t="s">
        <v>342</v>
      </c>
      <c r="C102" s="34" t="s">
        <v>343</v>
      </c>
    </row>
    <row r="103" spans="1:3" ht="25.5" x14ac:dyDescent="0.2">
      <c r="A103" s="32">
        <v>901</v>
      </c>
      <c r="B103" s="33" t="s">
        <v>344</v>
      </c>
      <c r="C103" s="34" t="s">
        <v>345</v>
      </c>
    </row>
    <row r="104" spans="1:3" ht="51" x14ac:dyDescent="0.2">
      <c r="A104" s="32">
        <v>901</v>
      </c>
      <c r="B104" s="33" t="s">
        <v>346</v>
      </c>
      <c r="C104" s="34" t="s">
        <v>347</v>
      </c>
    </row>
    <row r="105" spans="1:3" ht="38.25" x14ac:dyDescent="0.2">
      <c r="A105" s="32">
        <v>901</v>
      </c>
      <c r="B105" s="33" t="s">
        <v>348</v>
      </c>
      <c r="C105" s="34" t="s">
        <v>349</v>
      </c>
    </row>
    <row r="106" spans="1:3" ht="38.25" x14ac:dyDescent="0.2">
      <c r="A106" s="32">
        <v>901</v>
      </c>
      <c r="B106" s="33" t="s">
        <v>350</v>
      </c>
      <c r="C106" s="34" t="s">
        <v>351</v>
      </c>
    </row>
    <row r="107" spans="1:3" ht="76.5" x14ac:dyDescent="0.2">
      <c r="A107" s="32">
        <v>901</v>
      </c>
      <c r="B107" s="33" t="s">
        <v>1703</v>
      </c>
      <c r="C107" s="34" t="s">
        <v>1704</v>
      </c>
    </row>
    <row r="108" spans="1:3" ht="38.25" x14ac:dyDescent="0.2">
      <c r="A108" s="32">
        <v>901</v>
      </c>
      <c r="B108" s="33" t="s">
        <v>352</v>
      </c>
      <c r="C108" s="34" t="s">
        <v>353</v>
      </c>
    </row>
    <row r="109" spans="1:3" ht="51" x14ac:dyDescent="0.2">
      <c r="A109" s="32">
        <v>901</v>
      </c>
      <c r="B109" s="33" t="s">
        <v>354</v>
      </c>
      <c r="C109" s="34" t="s">
        <v>355</v>
      </c>
    </row>
    <row r="110" spans="1:3" ht="38.25" x14ac:dyDescent="0.2">
      <c r="A110" s="32">
        <v>901</v>
      </c>
      <c r="B110" s="33" t="s">
        <v>1705</v>
      </c>
      <c r="C110" s="34" t="s">
        <v>1706</v>
      </c>
    </row>
    <row r="111" spans="1:3" ht="25.5" x14ac:dyDescent="0.2">
      <c r="A111" s="32">
        <v>901</v>
      </c>
      <c r="B111" s="33" t="s">
        <v>356</v>
      </c>
      <c r="C111" s="34" t="s">
        <v>357</v>
      </c>
    </row>
    <row r="112" spans="1:3" ht="12.75" x14ac:dyDescent="0.2">
      <c r="A112" s="32">
        <v>901</v>
      </c>
      <c r="B112" s="33" t="s">
        <v>358</v>
      </c>
      <c r="C112" s="34" t="s">
        <v>359</v>
      </c>
    </row>
    <row r="113" spans="1:3" ht="12.75" x14ac:dyDescent="0.2">
      <c r="A113" s="32">
        <v>901</v>
      </c>
      <c r="B113" s="33" t="s">
        <v>360</v>
      </c>
      <c r="C113" s="34" t="s">
        <v>361</v>
      </c>
    </row>
    <row r="114" spans="1:3" ht="38.25" x14ac:dyDescent="0.2">
      <c r="A114" s="32">
        <v>901</v>
      </c>
      <c r="B114" s="33" t="s">
        <v>362</v>
      </c>
      <c r="C114" s="34" t="s">
        <v>363</v>
      </c>
    </row>
    <row r="115" spans="1:3" ht="51" x14ac:dyDescent="0.2">
      <c r="A115" s="32">
        <v>901</v>
      </c>
      <c r="B115" s="33" t="s">
        <v>1707</v>
      </c>
      <c r="C115" s="34" t="s">
        <v>1708</v>
      </c>
    </row>
    <row r="116" spans="1:3" ht="25.5" x14ac:dyDescent="0.2">
      <c r="A116" s="32">
        <v>901</v>
      </c>
      <c r="B116" s="33" t="s">
        <v>364</v>
      </c>
      <c r="C116" s="34" t="s">
        <v>365</v>
      </c>
    </row>
    <row r="117" spans="1:3" ht="25.5" x14ac:dyDescent="0.2">
      <c r="A117" s="32">
        <v>901</v>
      </c>
      <c r="B117" s="33" t="s">
        <v>366</v>
      </c>
      <c r="C117" s="34" t="s">
        <v>367</v>
      </c>
    </row>
    <row r="118" spans="1:3" ht="63.75" x14ac:dyDescent="0.2">
      <c r="A118" s="32">
        <v>901</v>
      </c>
      <c r="B118" s="33" t="s">
        <v>368</v>
      </c>
      <c r="C118" s="34" t="s">
        <v>369</v>
      </c>
    </row>
    <row r="119" spans="1:3" ht="25.5" x14ac:dyDescent="0.2">
      <c r="A119" s="32">
        <v>901</v>
      </c>
      <c r="B119" s="33" t="s">
        <v>370</v>
      </c>
      <c r="C119" s="34" t="s">
        <v>371</v>
      </c>
    </row>
    <row r="120" spans="1:3" ht="25.5" x14ac:dyDescent="0.2">
      <c r="A120" s="32">
        <v>901</v>
      </c>
      <c r="B120" s="33" t="s">
        <v>372</v>
      </c>
      <c r="C120" s="34" t="s">
        <v>373</v>
      </c>
    </row>
    <row r="121" spans="1:3" ht="25.5" x14ac:dyDescent="0.2">
      <c r="A121" s="32">
        <v>901</v>
      </c>
      <c r="B121" s="33" t="s">
        <v>374</v>
      </c>
      <c r="C121" s="34" t="s">
        <v>375</v>
      </c>
    </row>
    <row r="122" spans="1:3" ht="38.25" x14ac:dyDescent="0.2">
      <c r="A122" s="32">
        <v>901</v>
      </c>
      <c r="B122" s="33" t="s">
        <v>376</v>
      </c>
      <c r="C122" s="34" t="s">
        <v>377</v>
      </c>
    </row>
    <row r="123" spans="1:3" ht="38.25" x14ac:dyDescent="0.2">
      <c r="A123" s="32">
        <v>901</v>
      </c>
      <c r="B123" s="33" t="s">
        <v>378</v>
      </c>
      <c r="C123" s="34" t="s">
        <v>379</v>
      </c>
    </row>
    <row r="124" spans="1:3" ht="38.25" x14ac:dyDescent="0.2">
      <c r="A124" s="32">
        <v>901</v>
      </c>
      <c r="B124" s="33" t="s">
        <v>380</v>
      </c>
      <c r="C124" s="34" t="s">
        <v>381</v>
      </c>
    </row>
    <row r="125" spans="1:3" ht="25.5" x14ac:dyDescent="0.2">
      <c r="A125" s="32">
        <v>901</v>
      </c>
      <c r="B125" s="33" t="s">
        <v>382</v>
      </c>
      <c r="C125" s="34" t="s">
        <v>383</v>
      </c>
    </row>
    <row r="126" spans="1:3" ht="51" x14ac:dyDescent="0.2">
      <c r="A126" s="32">
        <v>901</v>
      </c>
      <c r="B126" s="33" t="s">
        <v>384</v>
      </c>
      <c r="C126" s="34" t="s">
        <v>385</v>
      </c>
    </row>
    <row r="127" spans="1:3" ht="38.25" x14ac:dyDescent="0.2">
      <c r="A127" s="32">
        <v>901</v>
      </c>
      <c r="B127" s="33" t="s">
        <v>386</v>
      </c>
      <c r="C127" s="34" t="s">
        <v>387</v>
      </c>
    </row>
    <row r="128" spans="1:3" ht="25.5" x14ac:dyDescent="0.2">
      <c r="A128" s="32">
        <v>901</v>
      </c>
      <c r="B128" s="33" t="s">
        <v>388</v>
      </c>
      <c r="C128" s="34" t="s">
        <v>389</v>
      </c>
    </row>
    <row r="129" spans="1:3" ht="38.25" x14ac:dyDescent="0.2">
      <c r="A129" s="32">
        <v>901</v>
      </c>
      <c r="B129" s="33" t="s">
        <v>390</v>
      </c>
      <c r="C129" s="34" t="s">
        <v>391</v>
      </c>
    </row>
    <row r="130" spans="1:3" ht="25.5" x14ac:dyDescent="0.2">
      <c r="A130" s="32">
        <v>901</v>
      </c>
      <c r="B130" s="33" t="s">
        <v>392</v>
      </c>
      <c r="C130" s="34" t="s">
        <v>393</v>
      </c>
    </row>
    <row r="131" spans="1:3" ht="51" x14ac:dyDescent="0.2">
      <c r="A131" s="32">
        <v>901</v>
      </c>
      <c r="B131" s="33" t="s">
        <v>394</v>
      </c>
      <c r="C131" s="34" t="s">
        <v>395</v>
      </c>
    </row>
    <row r="132" spans="1:3" ht="51" x14ac:dyDescent="0.2">
      <c r="A132" s="32">
        <v>901</v>
      </c>
      <c r="B132" s="33" t="s">
        <v>396</v>
      </c>
      <c r="C132" s="34" t="s">
        <v>397</v>
      </c>
    </row>
    <row r="133" spans="1:3" ht="38.25" x14ac:dyDescent="0.2">
      <c r="A133" s="32">
        <v>901</v>
      </c>
      <c r="B133" s="33" t="s">
        <v>398</v>
      </c>
      <c r="C133" s="34" t="s">
        <v>399</v>
      </c>
    </row>
    <row r="134" spans="1:3" ht="63.75" x14ac:dyDescent="0.2">
      <c r="A134" s="32">
        <v>901</v>
      </c>
      <c r="B134" s="33" t="s">
        <v>400</v>
      </c>
      <c r="C134" s="34" t="s">
        <v>401</v>
      </c>
    </row>
    <row r="135" spans="1:3" ht="51" x14ac:dyDescent="0.2">
      <c r="A135" s="32">
        <v>901</v>
      </c>
      <c r="B135" s="33" t="s">
        <v>402</v>
      </c>
      <c r="C135" s="34" t="s">
        <v>403</v>
      </c>
    </row>
    <row r="136" spans="1:3" ht="38.25" x14ac:dyDescent="0.2">
      <c r="A136" s="32">
        <v>901</v>
      </c>
      <c r="B136" s="33" t="s">
        <v>404</v>
      </c>
      <c r="C136" s="34" t="s">
        <v>405</v>
      </c>
    </row>
    <row r="137" spans="1:3" ht="38.25" x14ac:dyDescent="0.2">
      <c r="A137" s="32">
        <v>901</v>
      </c>
      <c r="B137" s="33" t="s">
        <v>406</v>
      </c>
      <c r="C137" s="34" t="s">
        <v>407</v>
      </c>
    </row>
    <row r="138" spans="1:3" ht="38.25" x14ac:dyDescent="0.2">
      <c r="A138" s="32">
        <v>901</v>
      </c>
      <c r="B138" s="33" t="s">
        <v>408</v>
      </c>
      <c r="C138" s="34" t="s">
        <v>409</v>
      </c>
    </row>
    <row r="139" spans="1:3" ht="18" x14ac:dyDescent="0.2">
      <c r="A139" s="36">
        <v>904</v>
      </c>
      <c r="B139" s="31"/>
      <c r="C139" s="31" t="s">
        <v>410</v>
      </c>
    </row>
    <row r="140" spans="1:3" ht="51" x14ac:dyDescent="0.2">
      <c r="A140" s="32">
        <v>904</v>
      </c>
      <c r="B140" s="33" t="s">
        <v>411</v>
      </c>
      <c r="C140" s="34" t="s">
        <v>412</v>
      </c>
    </row>
    <row r="141" spans="1:3" ht="51" x14ac:dyDescent="0.2">
      <c r="A141" s="32">
        <v>904</v>
      </c>
      <c r="B141" s="33" t="s">
        <v>413</v>
      </c>
      <c r="C141" s="34" t="s">
        <v>414</v>
      </c>
    </row>
    <row r="142" spans="1:3" ht="76.5" x14ac:dyDescent="0.2">
      <c r="A142" s="32">
        <v>904</v>
      </c>
      <c r="B142" s="33" t="s">
        <v>415</v>
      </c>
      <c r="C142" s="34" t="s">
        <v>416</v>
      </c>
    </row>
    <row r="143" spans="1:3" ht="51" x14ac:dyDescent="0.2">
      <c r="A143" s="32">
        <v>904</v>
      </c>
      <c r="B143" s="33" t="s">
        <v>417</v>
      </c>
      <c r="C143" s="34" t="s">
        <v>418</v>
      </c>
    </row>
    <row r="144" spans="1:3" ht="38.25" x14ac:dyDescent="0.2">
      <c r="A144" s="32">
        <v>904</v>
      </c>
      <c r="B144" s="33" t="s">
        <v>288</v>
      </c>
      <c r="C144" s="34" t="s">
        <v>289</v>
      </c>
    </row>
    <row r="145" spans="1:3" ht="26.25" customHeight="1" x14ac:dyDescent="0.2">
      <c r="A145" s="452" t="s">
        <v>419</v>
      </c>
      <c r="B145" s="453"/>
      <c r="C145" s="454"/>
    </row>
    <row r="146" spans="1:3" ht="26.25" customHeight="1" x14ac:dyDescent="0.2">
      <c r="A146" s="36" t="s">
        <v>1554</v>
      </c>
      <c r="B146" s="31"/>
      <c r="C146" s="31" t="s">
        <v>1555</v>
      </c>
    </row>
    <row r="147" spans="1:3" ht="102" x14ac:dyDescent="0.2">
      <c r="A147" s="32" t="s">
        <v>1554</v>
      </c>
      <c r="B147" s="33" t="s">
        <v>1480</v>
      </c>
      <c r="C147" s="34" t="s">
        <v>1481</v>
      </c>
    </row>
    <row r="148" spans="1:3" ht="26.25" customHeight="1" x14ac:dyDescent="0.2">
      <c r="A148" s="36" t="s">
        <v>1556</v>
      </c>
      <c r="B148" s="31"/>
      <c r="C148" s="31" t="s">
        <v>1557</v>
      </c>
    </row>
    <row r="149" spans="1:3" ht="89.25" x14ac:dyDescent="0.2">
      <c r="A149" s="32" t="s">
        <v>1556</v>
      </c>
      <c r="B149" s="33" t="s">
        <v>1558</v>
      </c>
      <c r="C149" s="34" t="s">
        <v>1559</v>
      </c>
    </row>
    <row r="150" spans="1:3" ht="76.5" x14ac:dyDescent="0.2">
      <c r="A150" s="32" t="s">
        <v>1556</v>
      </c>
      <c r="B150" s="33" t="s">
        <v>1560</v>
      </c>
      <c r="C150" s="34" t="s">
        <v>1561</v>
      </c>
    </row>
    <row r="151" spans="1:3" ht="76.5" x14ac:dyDescent="0.2">
      <c r="A151" s="32" t="s">
        <v>1556</v>
      </c>
      <c r="B151" s="33" t="s">
        <v>1562</v>
      </c>
      <c r="C151" s="34" t="s">
        <v>1563</v>
      </c>
    </row>
    <row r="152" spans="1:3" ht="63.75" x14ac:dyDescent="0.2">
      <c r="A152" s="32" t="s">
        <v>1556</v>
      </c>
      <c r="B152" s="33" t="s">
        <v>1470</v>
      </c>
      <c r="C152" s="34" t="s">
        <v>1471</v>
      </c>
    </row>
    <row r="153" spans="1:3" ht="51" x14ac:dyDescent="0.2">
      <c r="A153" s="32" t="s">
        <v>1556</v>
      </c>
      <c r="B153" s="33" t="s">
        <v>1709</v>
      </c>
      <c r="C153" s="34" t="s">
        <v>1710</v>
      </c>
    </row>
    <row r="154" spans="1:3" ht="76.5" x14ac:dyDescent="0.2">
      <c r="A154" s="32" t="s">
        <v>1556</v>
      </c>
      <c r="B154" s="33" t="s">
        <v>1564</v>
      </c>
      <c r="C154" s="34" t="s">
        <v>1565</v>
      </c>
    </row>
    <row r="155" spans="1:3" ht="76.5" x14ac:dyDescent="0.2">
      <c r="A155" s="32" t="s">
        <v>1556</v>
      </c>
      <c r="B155" s="33" t="s">
        <v>1566</v>
      </c>
      <c r="C155" s="34" t="s">
        <v>1567</v>
      </c>
    </row>
    <row r="156" spans="1:3" ht="63.75" x14ac:dyDescent="0.2">
      <c r="A156" s="32" t="s">
        <v>1556</v>
      </c>
      <c r="B156" s="33" t="s">
        <v>1476</v>
      </c>
      <c r="C156" s="34" t="s">
        <v>1477</v>
      </c>
    </row>
    <row r="157" spans="1:3" ht="26.25" customHeight="1" x14ac:dyDescent="0.2">
      <c r="A157" s="36" t="s">
        <v>511</v>
      </c>
      <c r="B157" s="31"/>
      <c r="C157" s="31" t="s">
        <v>1467</v>
      </c>
    </row>
    <row r="158" spans="1:3" ht="102" x14ac:dyDescent="0.2">
      <c r="A158" s="32" t="s">
        <v>511</v>
      </c>
      <c r="B158" s="33" t="s">
        <v>1480</v>
      </c>
      <c r="C158" s="34" t="s">
        <v>1481</v>
      </c>
    </row>
    <row r="159" spans="1:3" ht="24" x14ac:dyDescent="0.2">
      <c r="A159" s="36" t="s">
        <v>1568</v>
      </c>
      <c r="B159" s="31"/>
      <c r="C159" s="31" t="s">
        <v>1569</v>
      </c>
    </row>
    <row r="160" spans="1:3" ht="102" x14ac:dyDescent="0.2">
      <c r="A160" s="32" t="s">
        <v>1568</v>
      </c>
      <c r="B160" s="33" t="s">
        <v>1480</v>
      </c>
      <c r="C160" s="34" t="s">
        <v>1481</v>
      </c>
    </row>
    <row r="161" spans="1:3" ht="18" x14ac:dyDescent="0.2">
      <c r="A161" s="36" t="s">
        <v>420</v>
      </c>
      <c r="B161" s="31"/>
      <c r="C161" s="31" t="s">
        <v>421</v>
      </c>
    </row>
    <row r="162" spans="1:3" ht="25.5" x14ac:dyDescent="0.2">
      <c r="A162" s="32" t="s">
        <v>420</v>
      </c>
      <c r="B162" s="33" t="s">
        <v>246</v>
      </c>
      <c r="C162" s="34" t="s">
        <v>164</v>
      </c>
    </row>
    <row r="163" spans="1:3" ht="18" x14ac:dyDescent="0.2">
      <c r="A163" s="36" t="s">
        <v>1468</v>
      </c>
      <c r="B163" s="31"/>
      <c r="C163" s="31" t="s">
        <v>1469</v>
      </c>
    </row>
    <row r="164" spans="1:3" ht="76.5" x14ac:dyDescent="0.2">
      <c r="A164" s="32" t="s">
        <v>1468</v>
      </c>
      <c r="B164" s="33" t="s">
        <v>1711</v>
      </c>
      <c r="C164" s="34" t="s">
        <v>1712</v>
      </c>
    </row>
    <row r="165" spans="1:3" ht="63.75" x14ac:dyDescent="0.2">
      <c r="A165" s="32" t="s">
        <v>1468</v>
      </c>
      <c r="B165" s="33" t="s">
        <v>1713</v>
      </c>
      <c r="C165" s="34" t="s">
        <v>1714</v>
      </c>
    </row>
    <row r="166" spans="1:3" ht="76.5" x14ac:dyDescent="0.2">
      <c r="A166" s="32" t="s">
        <v>1468</v>
      </c>
      <c r="B166" s="33" t="s">
        <v>1570</v>
      </c>
      <c r="C166" s="34" t="s">
        <v>1571</v>
      </c>
    </row>
    <row r="167" spans="1:3" ht="63.75" x14ac:dyDescent="0.2">
      <c r="A167" s="32" t="s">
        <v>1468</v>
      </c>
      <c r="B167" s="33" t="s">
        <v>1470</v>
      </c>
      <c r="C167" s="34" t="s">
        <v>1471</v>
      </c>
    </row>
    <row r="168" spans="1:3" ht="89.25" x14ac:dyDescent="0.2">
      <c r="A168" s="32" t="s">
        <v>1468</v>
      </c>
      <c r="B168" s="33" t="s">
        <v>1572</v>
      </c>
      <c r="C168" s="34" t="s">
        <v>1573</v>
      </c>
    </row>
    <row r="169" spans="1:3" ht="89.25" x14ac:dyDescent="0.2">
      <c r="A169" s="32" t="s">
        <v>1468</v>
      </c>
      <c r="B169" s="33" t="s">
        <v>1574</v>
      </c>
      <c r="C169" s="34" t="s">
        <v>1575</v>
      </c>
    </row>
    <row r="170" spans="1:3" ht="63.75" x14ac:dyDescent="0.2">
      <c r="A170" s="32" t="s">
        <v>1468</v>
      </c>
      <c r="B170" s="33" t="s">
        <v>1576</v>
      </c>
      <c r="C170" s="34" t="s">
        <v>1577</v>
      </c>
    </row>
    <row r="171" spans="1:3" ht="63.75" x14ac:dyDescent="0.2">
      <c r="A171" s="32" t="s">
        <v>1468</v>
      </c>
      <c r="B171" s="33" t="s">
        <v>1578</v>
      </c>
      <c r="C171" s="34" t="s">
        <v>1579</v>
      </c>
    </row>
    <row r="172" spans="1:3" ht="89.25" x14ac:dyDescent="0.2">
      <c r="A172" s="32" t="s">
        <v>1468</v>
      </c>
      <c r="B172" s="33" t="s">
        <v>1580</v>
      </c>
      <c r="C172" s="34" t="s">
        <v>1715</v>
      </c>
    </row>
    <row r="173" spans="1:3" ht="102" x14ac:dyDescent="0.2">
      <c r="A173" s="32" t="s">
        <v>1468</v>
      </c>
      <c r="B173" s="33" t="s">
        <v>1582</v>
      </c>
      <c r="C173" s="34" t="s">
        <v>1583</v>
      </c>
    </row>
    <row r="174" spans="1:3" ht="102" x14ac:dyDescent="0.2">
      <c r="A174" s="32" t="s">
        <v>1468</v>
      </c>
      <c r="B174" s="33" t="s">
        <v>1584</v>
      </c>
      <c r="C174" s="34" t="s">
        <v>1585</v>
      </c>
    </row>
    <row r="175" spans="1:3" ht="127.5" x14ac:dyDescent="0.2">
      <c r="A175" s="32" t="s">
        <v>1468</v>
      </c>
      <c r="B175" s="33" t="s">
        <v>1716</v>
      </c>
      <c r="C175" s="34" t="s">
        <v>1717</v>
      </c>
    </row>
    <row r="176" spans="1:3" ht="76.5" x14ac:dyDescent="0.2">
      <c r="A176" s="32" t="s">
        <v>1468</v>
      </c>
      <c r="B176" s="33" t="s">
        <v>1472</v>
      </c>
      <c r="C176" s="34" t="s">
        <v>1473</v>
      </c>
    </row>
    <row r="177" spans="1:3" ht="127.5" x14ac:dyDescent="0.2">
      <c r="A177" s="32" t="s">
        <v>1468</v>
      </c>
      <c r="B177" s="33" t="s">
        <v>1586</v>
      </c>
      <c r="C177" s="34" t="s">
        <v>1587</v>
      </c>
    </row>
    <row r="178" spans="1:3" ht="63.75" x14ac:dyDescent="0.2">
      <c r="A178" s="32" t="s">
        <v>1468</v>
      </c>
      <c r="B178" s="33" t="s">
        <v>1474</v>
      </c>
      <c r="C178" s="34" t="s">
        <v>1475</v>
      </c>
    </row>
    <row r="179" spans="1:3" ht="63.75" x14ac:dyDescent="0.2">
      <c r="A179" s="32" t="s">
        <v>1468</v>
      </c>
      <c r="B179" s="33" t="s">
        <v>1588</v>
      </c>
      <c r="C179" s="34" t="s">
        <v>1589</v>
      </c>
    </row>
    <row r="180" spans="1:3" ht="89.25" x14ac:dyDescent="0.2">
      <c r="A180" s="32" t="s">
        <v>1468</v>
      </c>
      <c r="B180" s="33" t="s">
        <v>1718</v>
      </c>
      <c r="C180" s="34" t="s">
        <v>1719</v>
      </c>
    </row>
    <row r="181" spans="1:3" ht="51" x14ac:dyDescent="0.2">
      <c r="A181" s="32" t="s">
        <v>1468</v>
      </c>
      <c r="B181" s="33" t="s">
        <v>1590</v>
      </c>
      <c r="C181" s="34" t="s">
        <v>1591</v>
      </c>
    </row>
    <row r="182" spans="1:3" ht="63.75" x14ac:dyDescent="0.2">
      <c r="A182" s="32" t="s">
        <v>1468</v>
      </c>
      <c r="B182" s="33" t="s">
        <v>1476</v>
      </c>
      <c r="C182" s="34" t="s">
        <v>1477</v>
      </c>
    </row>
    <row r="183" spans="1:3" ht="18" x14ac:dyDescent="0.2">
      <c r="A183" s="36" t="s">
        <v>1720</v>
      </c>
      <c r="B183" s="31"/>
      <c r="C183" s="31" t="s">
        <v>1721</v>
      </c>
    </row>
    <row r="184" spans="1:3" ht="102" x14ac:dyDescent="0.2">
      <c r="A184" s="32" t="s">
        <v>1720</v>
      </c>
      <c r="B184" s="33" t="s">
        <v>1480</v>
      </c>
      <c r="C184" s="34" t="s">
        <v>1592</v>
      </c>
    </row>
    <row r="185" spans="1:3" ht="63.75" x14ac:dyDescent="0.2">
      <c r="A185" s="32" t="s">
        <v>1720</v>
      </c>
      <c r="B185" s="33" t="s">
        <v>1722</v>
      </c>
      <c r="C185" s="34" t="s">
        <v>1697</v>
      </c>
    </row>
    <row r="186" spans="1:3" ht="26.25" customHeight="1" x14ac:dyDescent="0.2">
      <c r="A186" s="452" t="s">
        <v>422</v>
      </c>
      <c r="B186" s="453"/>
      <c r="C186" s="454"/>
    </row>
    <row r="187" spans="1:3" ht="18" x14ac:dyDescent="0.2">
      <c r="A187" s="36" t="s">
        <v>423</v>
      </c>
      <c r="B187" s="31"/>
      <c r="C187" s="31" t="s">
        <v>424</v>
      </c>
    </row>
    <row r="188" spans="1:3" ht="25.5" x14ac:dyDescent="0.2">
      <c r="A188" s="32" t="s">
        <v>423</v>
      </c>
      <c r="B188" s="33" t="s">
        <v>425</v>
      </c>
      <c r="C188" s="34" t="s">
        <v>426</v>
      </c>
    </row>
    <row r="189" spans="1:3" ht="12.75" x14ac:dyDescent="0.2">
      <c r="A189" s="32" t="s">
        <v>423</v>
      </c>
      <c r="B189" s="33" t="s">
        <v>427</v>
      </c>
      <c r="C189" s="34" t="s">
        <v>428</v>
      </c>
    </row>
    <row r="190" spans="1:3" ht="12.75" x14ac:dyDescent="0.2">
      <c r="A190" s="32" t="s">
        <v>423</v>
      </c>
      <c r="B190" s="33" t="s">
        <v>429</v>
      </c>
      <c r="C190" s="37" t="s">
        <v>430</v>
      </c>
    </row>
    <row r="191" spans="1:3" ht="12.75" x14ac:dyDescent="0.2">
      <c r="A191" s="32" t="s">
        <v>423</v>
      </c>
      <c r="B191" s="33" t="s">
        <v>431</v>
      </c>
      <c r="C191" s="37" t="s">
        <v>432</v>
      </c>
    </row>
    <row r="192" spans="1:3" ht="102" x14ac:dyDescent="0.2">
      <c r="A192" s="32" t="s">
        <v>423</v>
      </c>
      <c r="B192" s="33" t="s">
        <v>1480</v>
      </c>
      <c r="C192" s="37" t="s">
        <v>1592</v>
      </c>
    </row>
    <row r="193" spans="1:3" ht="18" x14ac:dyDescent="0.2">
      <c r="A193" s="36">
        <v>100</v>
      </c>
      <c r="B193" s="31"/>
      <c r="C193" s="31" t="s">
        <v>433</v>
      </c>
    </row>
    <row r="194" spans="1:3" ht="76.5" x14ac:dyDescent="0.2">
      <c r="A194" s="32">
        <v>100</v>
      </c>
      <c r="B194" s="33" t="s">
        <v>434</v>
      </c>
      <c r="C194" s="34" t="s">
        <v>435</v>
      </c>
    </row>
    <row r="195" spans="1:3" ht="89.25" x14ac:dyDescent="0.2">
      <c r="A195" s="32">
        <v>100</v>
      </c>
      <c r="B195" s="33" t="s">
        <v>436</v>
      </c>
      <c r="C195" s="34" t="s">
        <v>437</v>
      </c>
    </row>
    <row r="196" spans="1:3" ht="76.5" x14ac:dyDescent="0.2">
      <c r="A196" s="32">
        <v>100</v>
      </c>
      <c r="B196" s="33" t="s">
        <v>438</v>
      </c>
      <c r="C196" s="34" t="s">
        <v>439</v>
      </c>
    </row>
    <row r="197" spans="1:3" ht="76.5" x14ac:dyDescent="0.2">
      <c r="A197" s="32">
        <v>100</v>
      </c>
      <c r="B197" s="33" t="s">
        <v>440</v>
      </c>
      <c r="C197" s="34" t="s">
        <v>441</v>
      </c>
    </row>
    <row r="198" spans="1:3" ht="24" x14ac:dyDescent="0.2">
      <c r="A198" s="36" t="s">
        <v>1478</v>
      </c>
      <c r="B198" s="31"/>
      <c r="C198" s="31" t="s">
        <v>1479</v>
      </c>
    </row>
    <row r="199" spans="1:3" ht="102" x14ac:dyDescent="0.2">
      <c r="A199" s="32" t="s">
        <v>1478</v>
      </c>
      <c r="B199" s="33" t="s">
        <v>1480</v>
      </c>
      <c r="C199" s="34" t="s">
        <v>1592</v>
      </c>
    </row>
    <row r="200" spans="1:3" ht="18" x14ac:dyDescent="0.2">
      <c r="A200" s="36" t="s">
        <v>1723</v>
      </c>
      <c r="B200" s="31"/>
      <c r="C200" s="31" t="s">
        <v>1724</v>
      </c>
    </row>
    <row r="201" spans="1:3" ht="102" x14ac:dyDescent="0.2">
      <c r="A201" s="32" t="s">
        <v>1723</v>
      </c>
      <c r="B201" s="33" t="s">
        <v>1480</v>
      </c>
      <c r="C201" s="34" t="s">
        <v>1592</v>
      </c>
    </row>
    <row r="202" spans="1:3" ht="18" x14ac:dyDescent="0.2">
      <c r="A202" s="36">
        <v>182</v>
      </c>
      <c r="B202" s="31"/>
      <c r="C202" s="31" t="s">
        <v>442</v>
      </c>
    </row>
    <row r="203" spans="1:3" ht="51" x14ac:dyDescent="0.2">
      <c r="A203" s="32">
        <v>182</v>
      </c>
      <c r="B203" s="33" t="s">
        <v>443</v>
      </c>
      <c r="C203" s="34" t="s">
        <v>444</v>
      </c>
    </row>
    <row r="204" spans="1:3" ht="76.5" x14ac:dyDescent="0.2">
      <c r="A204" s="32">
        <v>182</v>
      </c>
      <c r="B204" s="33" t="s">
        <v>445</v>
      </c>
      <c r="C204" s="34" t="s">
        <v>446</v>
      </c>
    </row>
    <row r="205" spans="1:3" ht="25.5" x14ac:dyDescent="0.2">
      <c r="A205" s="32">
        <v>182</v>
      </c>
      <c r="B205" s="33" t="s">
        <v>447</v>
      </c>
      <c r="C205" s="34" t="s">
        <v>448</v>
      </c>
    </row>
    <row r="206" spans="1:3" ht="38.25" x14ac:dyDescent="0.2">
      <c r="A206" s="32">
        <v>182</v>
      </c>
      <c r="B206" s="33" t="s">
        <v>449</v>
      </c>
      <c r="C206" s="34" t="s">
        <v>450</v>
      </c>
    </row>
    <row r="207" spans="1:3" ht="25.5" x14ac:dyDescent="0.2">
      <c r="A207" s="32">
        <v>182</v>
      </c>
      <c r="B207" s="33" t="s">
        <v>451</v>
      </c>
      <c r="C207" s="37" t="s">
        <v>452</v>
      </c>
    </row>
    <row r="208" spans="1:3" ht="38.25" x14ac:dyDescent="0.2">
      <c r="A208" s="32">
        <v>182</v>
      </c>
      <c r="B208" s="33" t="s">
        <v>453</v>
      </c>
      <c r="C208" s="37" t="s">
        <v>454</v>
      </c>
    </row>
    <row r="209" spans="1:3" ht="51" x14ac:dyDescent="0.2">
      <c r="A209" s="32">
        <v>182</v>
      </c>
      <c r="B209" s="33" t="s">
        <v>455</v>
      </c>
      <c r="C209" s="34" t="s">
        <v>456</v>
      </c>
    </row>
    <row r="210" spans="1:3" ht="38.25" x14ac:dyDescent="0.2">
      <c r="A210" s="32">
        <v>182</v>
      </c>
      <c r="B210" s="33" t="s">
        <v>457</v>
      </c>
      <c r="C210" s="34" t="s">
        <v>458</v>
      </c>
    </row>
    <row r="211" spans="1:3" ht="25.5" x14ac:dyDescent="0.2">
      <c r="A211" s="32">
        <v>182</v>
      </c>
      <c r="B211" s="33" t="s">
        <v>459</v>
      </c>
      <c r="C211" s="34" t="s">
        <v>460</v>
      </c>
    </row>
    <row r="212" spans="1:3" ht="12.75" x14ac:dyDescent="0.2">
      <c r="A212" s="32">
        <v>182</v>
      </c>
      <c r="B212" s="33" t="s">
        <v>461</v>
      </c>
      <c r="C212" s="34" t="s">
        <v>110</v>
      </c>
    </row>
    <row r="213" spans="1:3" ht="25.5" x14ac:dyDescent="0.2">
      <c r="A213" s="32">
        <v>182</v>
      </c>
      <c r="B213" s="33" t="s">
        <v>462</v>
      </c>
      <c r="C213" s="34" t="s">
        <v>463</v>
      </c>
    </row>
    <row r="214" spans="1:3" ht="12.75" x14ac:dyDescent="0.2">
      <c r="A214" s="32">
        <v>182</v>
      </c>
      <c r="B214" s="33" t="s">
        <v>464</v>
      </c>
      <c r="C214" s="34" t="s">
        <v>112</v>
      </c>
    </row>
    <row r="215" spans="1:3" ht="25.5" x14ac:dyDescent="0.2">
      <c r="A215" s="32">
        <v>182</v>
      </c>
      <c r="B215" s="33" t="s">
        <v>465</v>
      </c>
      <c r="C215" s="34" t="s">
        <v>466</v>
      </c>
    </row>
    <row r="216" spans="1:3" ht="25.5" x14ac:dyDescent="0.2">
      <c r="A216" s="32">
        <v>182</v>
      </c>
      <c r="B216" s="33" t="s">
        <v>467</v>
      </c>
      <c r="C216" s="34" t="s">
        <v>468</v>
      </c>
    </row>
    <row r="217" spans="1:3" ht="25.5" x14ac:dyDescent="0.2">
      <c r="A217" s="32">
        <v>182</v>
      </c>
      <c r="B217" s="33" t="s">
        <v>469</v>
      </c>
      <c r="C217" s="37" t="s">
        <v>470</v>
      </c>
    </row>
    <row r="218" spans="1:3" ht="25.5" x14ac:dyDescent="0.2">
      <c r="A218" s="32">
        <v>182</v>
      </c>
      <c r="B218" s="33" t="s">
        <v>471</v>
      </c>
      <c r="C218" s="34" t="s">
        <v>472</v>
      </c>
    </row>
    <row r="219" spans="1:3" ht="38.25" x14ac:dyDescent="0.2">
      <c r="A219" s="32">
        <v>182</v>
      </c>
      <c r="B219" s="33" t="s">
        <v>473</v>
      </c>
      <c r="C219" s="34" t="s">
        <v>128</v>
      </c>
    </row>
    <row r="220" spans="1:3" ht="102" x14ac:dyDescent="0.2">
      <c r="A220" s="32">
        <v>182</v>
      </c>
      <c r="B220" s="33" t="s">
        <v>1480</v>
      </c>
      <c r="C220" s="34" t="s">
        <v>1481</v>
      </c>
    </row>
    <row r="221" spans="1:3" ht="63.75" x14ac:dyDescent="0.2">
      <c r="A221" s="32">
        <v>182</v>
      </c>
      <c r="B221" s="33" t="s">
        <v>1482</v>
      </c>
      <c r="C221" s="34" t="s">
        <v>1483</v>
      </c>
    </row>
    <row r="222" spans="1:3" ht="18" x14ac:dyDescent="0.2">
      <c r="A222" s="36" t="s">
        <v>1484</v>
      </c>
      <c r="B222" s="31"/>
      <c r="C222" s="31" t="s">
        <v>1485</v>
      </c>
    </row>
    <row r="223" spans="1:3" ht="102" x14ac:dyDescent="0.2">
      <c r="A223" s="32" t="s">
        <v>1484</v>
      </c>
      <c r="B223" s="33" t="s">
        <v>1480</v>
      </c>
      <c r="C223" s="34" t="s">
        <v>1481</v>
      </c>
    </row>
    <row r="224" spans="1:3" ht="18" x14ac:dyDescent="0.2">
      <c r="A224" s="36" t="s">
        <v>1593</v>
      </c>
      <c r="B224" s="31"/>
      <c r="C224" s="31" t="s">
        <v>1594</v>
      </c>
    </row>
    <row r="225" spans="1:3" ht="102" x14ac:dyDescent="0.2">
      <c r="A225" s="32" t="s">
        <v>1593</v>
      </c>
      <c r="B225" s="33" t="s">
        <v>1480</v>
      </c>
      <c r="C225" s="34" t="s">
        <v>1481</v>
      </c>
    </row>
    <row r="226" spans="1:3" ht="18" x14ac:dyDescent="0.2">
      <c r="A226" s="36" t="s">
        <v>1725</v>
      </c>
      <c r="B226" s="31"/>
      <c r="C226" s="31" t="s">
        <v>1726</v>
      </c>
    </row>
    <row r="227" spans="1:3" ht="102" x14ac:dyDescent="0.2">
      <c r="A227" s="32" t="s">
        <v>1725</v>
      </c>
      <c r="B227" s="33" t="s">
        <v>1480</v>
      </c>
      <c r="C227" s="34" t="s">
        <v>1481</v>
      </c>
    </row>
  </sheetData>
  <mergeCells count="7">
    <mergeCell ref="A186:C186"/>
    <mergeCell ref="A1:C1"/>
    <mergeCell ref="A2:C2"/>
    <mergeCell ref="A3:C3"/>
    <mergeCell ref="A5:C5"/>
    <mergeCell ref="A7:C7"/>
    <mergeCell ref="A145:C145"/>
  </mergeCells>
  <pageMargins left="0.78740157480314965" right="0.39370078740157483" top="0.70866141732283472" bottom="0.47244094488188981" header="0" footer="0"/>
  <pageSetup paperSize="9" scale="95" firstPageNumber="10" fitToHeight="0" orientation="portrait" useFirstPageNumber="1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3"/>
  <sheetViews>
    <sheetView zoomScale="150" zoomScaleNormal="150" workbookViewId="0">
      <selection activeCell="D3" sqref="D3:I3"/>
    </sheetView>
  </sheetViews>
  <sheetFormatPr defaultColWidth="9" defaultRowHeight="12" x14ac:dyDescent="0.2"/>
  <cols>
    <col min="1" max="1" width="79.85546875" style="85" customWidth="1"/>
    <col min="2" max="2" width="7.42578125" style="79" customWidth="1"/>
    <col min="3" max="4" width="5.28515625" style="79" customWidth="1"/>
    <col min="5" max="5" width="14.42578125" style="79" customWidth="1"/>
    <col min="6" max="6" width="5.42578125" style="79" customWidth="1"/>
    <col min="7" max="7" width="15.5703125" style="114" customWidth="1"/>
    <col min="8" max="8" width="15.85546875" style="114" customWidth="1"/>
    <col min="9" max="9" width="14.5703125" style="114" customWidth="1"/>
    <col min="10" max="16384" width="9" style="114"/>
  </cols>
  <sheetData>
    <row r="1" spans="1:9" ht="12.75" x14ac:dyDescent="0.2">
      <c r="A1" s="141"/>
      <c r="D1" s="116"/>
      <c r="E1" s="180"/>
      <c r="F1" s="458" t="s">
        <v>1277</v>
      </c>
      <c r="G1" s="459"/>
      <c r="H1" s="459"/>
      <c r="I1" s="459"/>
    </row>
    <row r="2" spans="1:9" ht="12.75" x14ac:dyDescent="0.2">
      <c r="A2" s="77"/>
      <c r="B2" s="83"/>
      <c r="C2" s="83"/>
      <c r="D2" s="117"/>
      <c r="E2" s="458" t="s">
        <v>1</v>
      </c>
      <c r="F2" s="459"/>
      <c r="G2" s="459"/>
      <c r="H2" s="459"/>
      <c r="I2" s="459"/>
    </row>
    <row r="3" spans="1:9" ht="15.75" customHeight="1" x14ac:dyDescent="0.2">
      <c r="A3" s="77"/>
      <c r="B3" s="83"/>
      <c r="C3" s="83"/>
      <c r="D3" s="458" t="s">
        <v>1738</v>
      </c>
      <c r="E3" s="459"/>
      <c r="F3" s="459"/>
      <c r="G3" s="459"/>
      <c r="H3" s="459"/>
      <c r="I3" s="459"/>
    </row>
    <row r="4" spans="1:9" x14ac:dyDescent="0.2">
      <c r="A4" s="141"/>
      <c r="G4" s="76"/>
    </row>
    <row r="5" spans="1:9" x14ac:dyDescent="0.2">
      <c r="A5" s="460" t="s">
        <v>1278</v>
      </c>
      <c r="B5" s="460"/>
      <c r="C5" s="460"/>
      <c r="D5" s="460"/>
      <c r="E5" s="460"/>
      <c r="F5" s="460"/>
      <c r="G5" s="460"/>
      <c r="H5" s="461"/>
      <c r="I5" s="461"/>
    </row>
    <row r="6" spans="1:9" x14ac:dyDescent="0.2">
      <c r="A6" s="460"/>
      <c r="B6" s="460"/>
      <c r="C6" s="460"/>
      <c r="D6" s="460"/>
      <c r="E6" s="460"/>
      <c r="F6" s="460"/>
      <c r="G6" s="460"/>
      <c r="H6" s="461"/>
      <c r="I6" s="461"/>
    </row>
    <row r="7" spans="1:9" x14ac:dyDescent="0.2">
      <c r="A7" s="141"/>
      <c r="G7" s="76"/>
    </row>
    <row r="8" spans="1:9" ht="12.75" x14ac:dyDescent="0.2">
      <c r="A8" s="141"/>
      <c r="I8" s="94" t="s">
        <v>1280</v>
      </c>
    </row>
    <row r="9" spans="1:9" x14ac:dyDescent="0.2">
      <c r="A9" s="81" t="s">
        <v>1276</v>
      </c>
      <c r="B9" s="118" t="s">
        <v>1275</v>
      </c>
      <c r="C9" s="118" t="s">
        <v>1274</v>
      </c>
      <c r="D9" s="118" t="s">
        <v>1273</v>
      </c>
      <c r="E9" s="118" t="s">
        <v>1272</v>
      </c>
      <c r="F9" s="118" t="s">
        <v>1271</v>
      </c>
      <c r="G9" s="176" t="s">
        <v>4</v>
      </c>
      <c r="H9" s="174" t="s">
        <v>5</v>
      </c>
      <c r="I9" s="177" t="s">
        <v>6</v>
      </c>
    </row>
    <row r="10" spans="1:9" x14ac:dyDescent="0.2">
      <c r="A10" s="81">
        <v>1</v>
      </c>
      <c r="B10" s="118">
        <v>2</v>
      </c>
      <c r="C10" s="118">
        <v>3</v>
      </c>
      <c r="D10" s="118">
        <v>4</v>
      </c>
      <c r="E10" s="118">
        <v>5</v>
      </c>
      <c r="F10" s="118">
        <v>6</v>
      </c>
      <c r="G10" s="174">
        <v>7</v>
      </c>
      <c r="H10" s="174">
        <v>8</v>
      </c>
      <c r="I10" s="175">
        <v>9</v>
      </c>
    </row>
    <row r="11" spans="1:9" x14ac:dyDescent="0.2">
      <c r="A11" s="181" t="s">
        <v>1361</v>
      </c>
      <c r="B11" s="182" t="s">
        <v>506</v>
      </c>
      <c r="C11" s="181"/>
      <c r="D11" s="181"/>
      <c r="E11" s="181"/>
      <c r="F11" s="182"/>
      <c r="G11" s="183">
        <f>G12+G213+G285+G516+G796+G828+G911+G934+G1000+G1064+G989</f>
        <v>4821276.0999999987</v>
      </c>
      <c r="H11" s="183">
        <f>H12+H213+H285+H516+H796+H828+H911+H934+H1000+H1064+H989</f>
        <v>4663418.75</v>
      </c>
      <c r="I11" s="184">
        <f>H11-G11</f>
        <v>-157857.3499999987</v>
      </c>
    </row>
    <row r="12" spans="1:9" s="78" customFormat="1" x14ac:dyDescent="0.2">
      <c r="A12" s="185" t="s">
        <v>606</v>
      </c>
      <c r="B12" s="186"/>
      <c r="C12" s="185" t="s">
        <v>498</v>
      </c>
      <c r="D12" s="185"/>
      <c r="E12" s="185"/>
      <c r="F12" s="186"/>
      <c r="G12" s="187">
        <f>G13+G20+G103+G111</f>
        <v>1215368.3000000003</v>
      </c>
      <c r="H12" s="187">
        <f>H13+H20+H103+H111</f>
        <v>1205504.1000000001</v>
      </c>
      <c r="I12" s="188">
        <f t="shared" ref="I12:I87" si="0">H12-G12</f>
        <v>-9864.2000000001863</v>
      </c>
    </row>
    <row r="13" spans="1:9" ht="24" x14ac:dyDescent="0.2">
      <c r="A13" s="189" t="s">
        <v>1270</v>
      </c>
      <c r="B13" s="190"/>
      <c r="C13" s="189" t="s">
        <v>498</v>
      </c>
      <c r="D13" s="189" t="s">
        <v>502</v>
      </c>
      <c r="E13" s="189"/>
      <c r="F13" s="190"/>
      <c r="G13" s="191">
        <f t="shared" ref="G13:H18" si="1">G14</f>
        <v>3220.9</v>
      </c>
      <c r="H13" s="191">
        <f t="shared" si="1"/>
        <v>3220.9</v>
      </c>
      <c r="I13" s="192">
        <f t="shared" si="0"/>
        <v>0</v>
      </c>
    </row>
    <row r="14" spans="1:9" x14ac:dyDescent="0.2">
      <c r="A14" s="189" t="s">
        <v>604</v>
      </c>
      <c r="B14" s="190"/>
      <c r="C14" s="189" t="s">
        <v>498</v>
      </c>
      <c r="D14" s="189" t="s">
        <v>502</v>
      </c>
      <c r="E14" s="189" t="s">
        <v>603</v>
      </c>
      <c r="F14" s="190"/>
      <c r="G14" s="191">
        <f t="shared" si="1"/>
        <v>3220.9</v>
      </c>
      <c r="H14" s="191">
        <f t="shared" si="1"/>
        <v>3220.9</v>
      </c>
      <c r="I14" s="192">
        <f t="shared" si="0"/>
        <v>0</v>
      </c>
    </row>
    <row r="15" spans="1:9" x14ac:dyDescent="0.2">
      <c r="A15" s="189" t="s">
        <v>602</v>
      </c>
      <c r="B15" s="190"/>
      <c r="C15" s="189" t="s">
        <v>498</v>
      </c>
      <c r="D15" s="189" t="s">
        <v>502</v>
      </c>
      <c r="E15" s="189" t="s">
        <v>601</v>
      </c>
      <c r="F15" s="190"/>
      <c r="G15" s="191">
        <f t="shared" si="1"/>
        <v>3220.9</v>
      </c>
      <c r="H15" s="191">
        <f t="shared" si="1"/>
        <v>3220.9</v>
      </c>
      <c r="I15" s="192">
        <f t="shared" si="0"/>
        <v>0</v>
      </c>
    </row>
    <row r="16" spans="1:9" ht="24" x14ac:dyDescent="0.2">
      <c r="A16" s="189" t="s">
        <v>600</v>
      </c>
      <c r="B16" s="190"/>
      <c r="C16" s="189" t="s">
        <v>498</v>
      </c>
      <c r="D16" s="189" t="s">
        <v>502</v>
      </c>
      <c r="E16" s="189" t="s">
        <v>599</v>
      </c>
      <c r="F16" s="190"/>
      <c r="G16" s="191">
        <f t="shared" si="1"/>
        <v>3220.9</v>
      </c>
      <c r="H16" s="191">
        <f t="shared" si="1"/>
        <v>3220.9</v>
      </c>
      <c r="I16" s="192">
        <f t="shared" si="0"/>
        <v>0</v>
      </c>
    </row>
    <row r="17" spans="1:9" x14ac:dyDescent="0.2">
      <c r="A17" s="189" t="s">
        <v>1269</v>
      </c>
      <c r="B17" s="190"/>
      <c r="C17" s="189" t="s">
        <v>498</v>
      </c>
      <c r="D17" s="189" t="s">
        <v>502</v>
      </c>
      <c r="E17" s="189" t="s">
        <v>1268</v>
      </c>
      <c r="F17" s="190"/>
      <c r="G17" s="191">
        <f t="shared" si="1"/>
        <v>3220.9</v>
      </c>
      <c r="H17" s="191">
        <f t="shared" si="1"/>
        <v>3220.9</v>
      </c>
      <c r="I17" s="192">
        <f t="shared" si="0"/>
        <v>0</v>
      </c>
    </row>
    <row r="18" spans="1:9" ht="36" x14ac:dyDescent="0.2">
      <c r="A18" s="189" t="s">
        <v>1348</v>
      </c>
      <c r="B18" s="190"/>
      <c r="C18" s="189" t="s">
        <v>498</v>
      </c>
      <c r="D18" s="189" t="s">
        <v>502</v>
      </c>
      <c r="E18" s="189" t="s">
        <v>1268</v>
      </c>
      <c r="F18" s="190" t="s">
        <v>556</v>
      </c>
      <c r="G18" s="191">
        <f t="shared" si="1"/>
        <v>3220.9</v>
      </c>
      <c r="H18" s="191">
        <f t="shared" si="1"/>
        <v>3220.9</v>
      </c>
      <c r="I18" s="192">
        <f t="shared" si="0"/>
        <v>0</v>
      </c>
    </row>
    <row r="19" spans="1:9" x14ac:dyDescent="0.2">
      <c r="A19" s="189" t="s">
        <v>749</v>
      </c>
      <c r="B19" s="190"/>
      <c r="C19" s="189" t="s">
        <v>498</v>
      </c>
      <c r="D19" s="189" t="s">
        <v>502</v>
      </c>
      <c r="E19" s="189" t="s">
        <v>1268</v>
      </c>
      <c r="F19" s="190" t="s">
        <v>745</v>
      </c>
      <c r="G19" s="191">
        <f>3683.1-462.2</f>
        <v>3220.9</v>
      </c>
      <c r="H19" s="191">
        <f>3683.1-462.2</f>
        <v>3220.9</v>
      </c>
      <c r="I19" s="192">
        <f t="shared" si="0"/>
        <v>0</v>
      </c>
    </row>
    <row r="20" spans="1:9" ht="24" x14ac:dyDescent="0.2">
      <c r="A20" s="189" t="s">
        <v>605</v>
      </c>
      <c r="B20" s="190"/>
      <c r="C20" s="189" t="s">
        <v>498</v>
      </c>
      <c r="D20" s="189" t="s">
        <v>507</v>
      </c>
      <c r="E20" s="189"/>
      <c r="F20" s="190"/>
      <c r="G20" s="191">
        <f>G21+G36+G44+G52+G60+G76+G99+G68+G93</f>
        <v>436273.80000000005</v>
      </c>
      <c r="H20" s="191">
        <f>H21+H36+H44+H52+H60+H76+H99+H68+H93</f>
        <v>437303.80000000005</v>
      </c>
      <c r="I20" s="192">
        <f t="shared" si="0"/>
        <v>1030</v>
      </c>
    </row>
    <row r="21" spans="1:9" x14ac:dyDescent="0.2">
      <c r="A21" s="189" t="s">
        <v>653</v>
      </c>
      <c r="B21" s="190"/>
      <c r="C21" s="189" t="s">
        <v>498</v>
      </c>
      <c r="D21" s="189" t="s">
        <v>507</v>
      </c>
      <c r="E21" s="189" t="s">
        <v>652</v>
      </c>
      <c r="F21" s="190"/>
      <c r="G21" s="191">
        <f>G22</f>
        <v>4752</v>
      </c>
      <c r="H21" s="191">
        <f>H22</f>
        <v>4752</v>
      </c>
      <c r="I21" s="192">
        <f t="shared" si="0"/>
        <v>0</v>
      </c>
    </row>
    <row r="22" spans="1:9" x14ac:dyDescent="0.2">
      <c r="A22" s="189" t="s">
        <v>1267</v>
      </c>
      <c r="B22" s="190"/>
      <c r="C22" s="189" t="s">
        <v>498</v>
      </c>
      <c r="D22" s="189" t="s">
        <v>507</v>
      </c>
      <c r="E22" s="189" t="s">
        <v>1266</v>
      </c>
      <c r="F22" s="190"/>
      <c r="G22" s="191">
        <f>G23+G27</f>
        <v>4752</v>
      </c>
      <c r="H22" s="191">
        <f>H23+H27</f>
        <v>4752</v>
      </c>
      <c r="I22" s="192">
        <f t="shared" si="0"/>
        <v>0</v>
      </c>
    </row>
    <row r="23" spans="1:9" ht="24" x14ac:dyDescent="0.2">
      <c r="A23" s="189" t="s">
        <v>1265</v>
      </c>
      <c r="B23" s="190"/>
      <c r="C23" s="189" t="s">
        <v>498</v>
      </c>
      <c r="D23" s="189" t="s">
        <v>507</v>
      </c>
      <c r="E23" s="189" t="s">
        <v>1264</v>
      </c>
      <c r="F23" s="190"/>
      <c r="G23" s="191">
        <f t="shared" ref="G23:H25" si="2">G24</f>
        <v>400</v>
      </c>
      <c r="H23" s="191">
        <f t="shared" si="2"/>
        <v>400</v>
      </c>
      <c r="I23" s="192">
        <f t="shared" si="0"/>
        <v>0</v>
      </c>
    </row>
    <row r="24" spans="1:9" x14ac:dyDescent="0.2">
      <c r="A24" s="189" t="s">
        <v>1263</v>
      </c>
      <c r="B24" s="190"/>
      <c r="C24" s="189" t="s">
        <v>498</v>
      </c>
      <c r="D24" s="189" t="s">
        <v>507</v>
      </c>
      <c r="E24" s="189" t="s">
        <v>1262</v>
      </c>
      <c r="F24" s="190"/>
      <c r="G24" s="191">
        <f t="shared" si="2"/>
        <v>400</v>
      </c>
      <c r="H24" s="191">
        <f t="shared" si="2"/>
        <v>400</v>
      </c>
      <c r="I24" s="192">
        <f t="shared" si="0"/>
        <v>0</v>
      </c>
    </row>
    <row r="25" spans="1:9" x14ac:dyDescent="0.2">
      <c r="A25" s="189" t="s">
        <v>1347</v>
      </c>
      <c r="B25" s="190"/>
      <c r="C25" s="189" t="s">
        <v>498</v>
      </c>
      <c r="D25" s="189" t="s">
        <v>507</v>
      </c>
      <c r="E25" s="189" t="s">
        <v>1262</v>
      </c>
      <c r="F25" s="190" t="s">
        <v>535</v>
      </c>
      <c r="G25" s="191">
        <f t="shared" si="2"/>
        <v>400</v>
      </c>
      <c r="H25" s="191">
        <f t="shared" si="2"/>
        <v>400</v>
      </c>
      <c r="I25" s="192">
        <f t="shared" si="0"/>
        <v>0</v>
      </c>
    </row>
    <row r="26" spans="1:9" ht="24" x14ac:dyDescent="0.2">
      <c r="A26" s="189" t="s">
        <v>534</v>
      </c>
      <c r="B26" s="190"/>
      <c r="C26" s="189" t="s">
        <v>498</v>
      </c>
      <c r="D26" s="189" t="s">
        <v>507</v>
      </c>
      <c r="E26" s="189" t="s">
        <v>1262</v>
      </c>
      <c r="F26" s="190" t="s">
        <v>529</v>
      </c>
      <c r="G26" s="191">
        <v>400</v>
      </c>
      <c r="H26" s="191">
        <v>400</v>
      </c>
      <c r="I26" s="192">
        <f t="shared" si="0"/>
        <v>0</v>
      </c>
    </row>
    <row r="27" spans="1:9" ht="36" x14ac:dyDescent="0.2">
      <c r="A27" s="189" t="s">
        <v>1261</v>
      </c>
      <c r="B27" s="190"/>
      <c r="C27" s="189" t="s">
        <v>498</v>
      </c>
      <c r="D27" s="189" t="s">
        <v>507</v>
      </c>
      <c r="E27" s="189" t="s">
        <v>1260</v>
      </c>
      <c r="F27" s="190"/>
      <c r="G27" s="191">
        <f>G28+G33</f>
        <v>4352</v>
      </c>
      <c r="H27" s="191">
        <f>H28+H33</f>
        <v>4352</v>
      </c>
      <c r="I27" s="192">
        <f t="shared" si="0"/>
        <v>0</v>
      </c>
    </row>
    <row r="28" spans="1:9" ht="36" x14ac:dyDescent="0.2">
      <c r="A28" s="189" t="s">
        <v>1259</v>
      </c>
      <c r="B28" s="190"/>
      <c r="C28" s="189" t="s">
        <v>498</v>
      </c>
      <c r="D28" s="189" t="s">
        <v>507</v>
      </c>
      <c r="E28" s="189" t="s">
        <v>1258</v>
      </c>
      <c r="F28" s="190"/>
      <c r="G28" s="191">
        <f>G29+G31</f>
        <v>4277</v>
      </c>
      <c r="H28" s="191">
        <f>H29+H31</f>
        <v>4277</v>
      </c>
      <c r="I28" s="192">
        <f t="shared" si="0"/>
        <v>0</v>
      </c>
    </row>
    <row r="29" spans="1:9" ht="36" x14ac:dyDescent="0.2">
      <c r="A29" s="189" t="s">
        <v>1348</v>
      </c>
      <c r="B29" s="190"/>
      <c r="C29" s="189" t="s">
        <v>498</v>
      </c>
      <c r="D29" s="189" t="s">
        <v>507</v>
      </c>
      <c r="E29" s="189" t="s">
        <v>1258</v>
      </c>
      <c r="F29" s="190" t="s">
        <v>556</v>
      </c>
      <c r="G29" s="191">
        <f>G30</f>
        <v>3977</v>
      </c>
      <c r="H29" s="191">
        <f>H30</f>
        <v>3977</v>
      </c>
      <c r="I29" s="192">
        <f t="shared" si="0"/>
        <v>0</v>
      </c>
    </row>
    <row r="30" spans="1:9" x14ac:dyDescent="0.2">
      <c r="A30" s="189" t="s">
        <v>749</v>
      </c>
      <c r="B30" s="190"/>
      <c r="C30" s="189" t="s">
        <v>498</v>
      </c>
      <c r="D30" s="189" t="s">
        <v>507</v>
      </c>
      <c r="E30" s="189" t="s">
        <v>1258</v>
      </c>
      <c r="F30" s="190" t="s">
        <v>745</v>
      </c>
      <c r="G30" s="191">
        <f>4277-300</f>
        <v>3977</v>
      </c>
      <c r="H30" s="191">
        <f>4277-300</f>
        <v>3977</v>
      </c>
      <c r="I30" s="192">
        <f t="shared" si="0"/>
        <v>0</v>
      </c>
    </row>
    <row r="31" spans="1:9" s="403" customFormat="1" x14ac:dyDescent="0.2">
      <c r="A31" s="189" t="s">
        <v>1347</v>
      </c>
      <c r="B31" s="190"/>
      <c r="C31" s="189" t="s">
        <v>498</v>
      </c>
      <c r="D31" s="189" t="s">
        <v>507</v>
      </c>
      <c r="E31" s="189" t="s">
        <v>1258</v>
      </c>
      <c r="F31" s="190">
        <v>200</v>
      </c>
      <c r="G31" s="191">
        <f>G32</f>
        <v>300</v>
      </c>
      <c r="H31" s="191">
        <f>H32</f>
        <v>300</v>
      </c>
      <c r="I31" s="192">
        <f t="shared" si="0"/>
        <v>0</v>
      </c>
    </row>
    <row r="32" spans="1:9" s="403" customFormat="1" ht="24" x14ac:dyDescent="0.2">
      <c r="A32" s="189" t="s">
        <v>534</v>
      </c>
      <c r="B32" s="190"/>
      <c r="C32" s="189" t="s">
        <v>498</v>
      </c>
      <c r="D32" s="189" t="s">
        <v>507</v>
      </c>
      <c r="E32" s="189" t="s">
        <v>1258</v>
      </c>
      <c r="F32" s="190">
        <v>240</v>
      </c>
      <c r="G32" s="191">
        <v>300</v>
      </c>
      <c r="H32" s="191">
        <v>300</v>
      </c>
      <c r="I32" s="192">
        <f t="shared" si="0"/>
        <v>0</v>
      </c>
    </row>
    <row r="33" spans="1:9" ht="36" x14ac:dyDescent="0.2">
      <c r="A33" s="189" t="s">
        <v>1257</v>
      </c>
      <c r="B33" s="190"/>
      <c r="C33" s="189" t="s">
        <v>498</v>
      </c>
      <c r="D33" s="189" t="s">
        <v>507</v>
      </c>
      <c r="E33" s="189" t="s">
        <v>1256</v>
      </c>
      <c r="F33" s="190"/>
      <c r="G33" s="191">
        <f>G34</f>
        <v>75</v>
      </c>
      <c r="H33" s="191">
        <f>H34</f>
        <v>75</v>
      </c>
      <c r="I33" s="192">
        <f t="shared" si="0"/>
        <v>0</v>
      </c>
    </row>
    <row r="34" spans="1:9" x14ac:dyDescent="0.2">
      <c r="A34" s="189" t="s">
        <v>1347</v>
      </c>
      <c r="B34" s="190"/>
      <c r="C34" s="189" t="s">
        <v>498</v>
      </c>
      <c r="D34" s="189" t="s">
        <v>507</v>
      </c>
      <c r="E34" s="189" t="s">
        <v>1256</v>
      </c>
      <c r="F34" s="190" t="s">
        <v>535</v>
      </c>
      <c r="G34" s="191">
        <f>G35</f>
        <v>75</v>
      </c>
      <c r="H34" s="191">
        <f>H35</f>
        <v>75</v>
      </c>
      <c r="I34" s="192">
        <f t="shared" si="0"/>
        <v>0</v>
      </c>
    </row>
    <row r="35" spans="1:9" ht="24" x14ac:dyDescent="0.2">
      <c r="A35" s="189" t="s">
        <v>534</v>
      </c>
      <c r="B35" s="190"/>
      <c r="C35" s="189" t="s">
        <v>498</v>
      </c>
      <c r="D35" s="189" t="s">
        <v>507</v>
      </c>
      <c r="E35" s="189" t="s">
        <v>1256</v>
      </c>
      <c r="F35" s="190" t="s">
        <v>529</v>
      </c>
      <c r="G35" s="191">
        <v>75</v>
      </c>
      <c r="H35" s="191">
        <v>75</v>
      </c>
      <c r="I35" s="192">
        <f t="shared" si="0"/>
        <v>0</v>
      </c>
    </row>
    <row r="36" spans="1:9" x14ac:dyDescent="0.2">
      <c r="A36" s="189" t="s">
        <v>666</v>
      </c>
      <c r="B36" s="190"/>
      <c r="C36" s="189" t="s">
        <v>498</v>
      </c>
      <c r="D36" s="189" t="s">
        <v>507</v>
      </c>
      <c r="E36" s="189" t="s">
        <v>665</v>
      </c>
      <c r="F36" s="190"/>
      <c r="G36" s="191">
        <f t="shared" ref="G36:H38" si="3">G37</f>
        <v>10805</v>
      </c>
      <c r="H36" s="191">
        <f t="shared" si="3"/>
        <v>11883.000000000002</v>
      </c>
      <c r="I36" s="192">
        <f t="shared" si="0"/>
        <v>1078.0000000000018</v>
      </c>
    </row>
    <row r="37" spans="1:9" x14ac:dyDescent="0.2">
      <c r="A37" s="189" t="s">
        <v>688</v>
      </c>
      <c r="B37" s="190"/>
      <c r="C37" s="189" t="s">
        <v>498</v>
      </c>
      <c r="D37" s="189" t="s">
        <v>507</v>
      </c>
      <c r="E37" s="189" t="s">
        <v>687</v>
      </c>
      <c r="F37" s="190"/>
      <c r="G37" s="191">
        <f t="shared" si="3"/>
        <v>10805</v>
      </c>
      <c r="H37" s="191">
        <f t="shared" si="3"/>
        <v>11883.000000000002</v>
      </c>
      <c r="I37" s="192">
        <f t="shared" si="0"/>
        <v>1078.0000000000018</v>
      </c>
    </row>
    <row r="38" spans="1:9" ht="36" x14ac:dyDescent="0.2">
      <c r="A38" s="189" t="s">
        <v>708</v>
      </c>
      <c r="B38" s="190"/>
      <c r="C38" s="189" t="s">
        <v>498</v>
      </c>
      <c r="D38" s="189" t="s">
        <v>507</v>
      </c>
      <c r="E38" s="189" t="s">
        <v>707</v>
      </c>
      <c r="F38" s="190"/>
      <c r="G38" s="191">
        <f t="shared" si="3"/>
        <v>10805</v>
      </c>
      <c r="H38" s="191">
        <f t="shared" si="3"/>
        <v>11883.000000000002</v>
      </c>
      <c r="I38" s="192">
        <f t="shared" si="0"/>
        <v>1078.0000000000018</v>
      </c>
    </row>
    <row r="39" spans="1:9" ht="36" x14ac:dyDescent="0.2">
      <c r="A39" s="189" t="s">
        <v>1255</v>
      </c>
      <c r="B39" s="190"/>
      <c r="C39" s="189" t="s">
        <v>498</v>
      </c>
      <c r="D39" s="189" t="s">
        <v>507</v>
      </c>
      <c r="E39" s="189" t="s">
        <v>1254</v>
      </c>
      <c r="F39" s="190"/>
      <c r="G39" s="191">
        <f>G40+G42</f>
        <v>10805</v>
      </c>
      <c r="H39" s="191">
        <f>H40+H42</f>
        <v>11883.000000000002</v>
      </c>
      <c r="I39" s="192">
        <f t="shared" si="0"/>
        <v>1078.0000000000018</v>
      </c>
    </row>
    <row r="40" spans="1:9" ht="36" x14ac:dyDescent="0.2">
      <c r="A40" s="189" t="s">
        <v>1348</v>
      </c>
      <c r="B40" s="190"/>
      <c r="C40" s="189" t="s">
        <v>498</v>
      </c>
      <c r="D40" s="189" t="s">
        <v>507</v>
      </c>
      <c r="E40" s="189" t="s">
        <v>1254</v>
      </c>
      <c r="F40" s="190" t="s">
        <v>556</v>
      </c>
      <c r="G40" s="191">
        <f>G41</f>
        <v>10627</v>
      </c>
      <c r="H40" s="191">
        <f>H41</f>
        <v>11742.400000000001</v>
      </c>
      <c r="I40" s="192">
        <f t="shared" si="0"/>
        <v>1115.4000000000015</v>
      </c>
    </row>
    <row r="41" spans="1:9" x14ac:dyDescent="0.2">
      <c r="A41" s="189" t="s">
        <v>749</v>
      </c>
      <c r="B41" s="190"/>
      <c r="C41" s="189" t="s">
        <v>498</v>
      </c>
      <c r="D41" s="189" t="s">
        <v>507</v>
      </c>
      <c r="E41" s="189" t="s">
        <v>1254</v>
      </c>
      <c r="F41" s="190" t="s">
        <v>745</v>
      </c>
      <c r="G41" s="191">
        <v>10627</v>
      </c>
      <c r="H41" s="191">
        <f>10627+856.7+258.7</f>
        <v>11742.400000000001</v>
      </c>
      <c r="I41" s="192">
        <f t="shared" si="0"/>
        <v>1115.4000000000015</v>
      </c>
    </row>
    <row r="42" spans="1:9" x14ac:dyDescent="0.2">
      <c r="A42" s="189" t="s">
        <v>1347</v>
      </c>
      <c r="B42" s="190"/>
      <c r="C42" s="189" t="s">
        <v>498</v>
      </c>
      <c r="D42" s="189" t="s">
        <v>507</v>
      </c>
      <c r="E42" s="189" t="s">
        <v>1254</v>
      </c>
      <c r="F42" s="190" t="s">
        <v>535</v>
      </c>
      <c r="G42" s="191">
        <f>G43</f>
        <v>178</v>
      </c>
      <c r="H42" s="191">
        <f>H43</f>
        <v>140.6</v>
      </c>
      <c r="I42" s="192">
        <f t="shared" si="0"/>
        <v>-37.400000000000006</v>
      </c>
    </row>
    <row r="43" spans="1:9" ht="24" x14ac:dyDescent="0.2">
      <c r="A43" s="189" t="s">
        <v>534</v>
      </c>
      <c r="B43" s="190"/>
      <c r="C43" s="189" t="s">
        <v>498</v>
      </c>
      <c r="D43" s="189" t="s">
        <v>507</v>
      </c>
      <c r="E43" s="189" t="s">
        <v>1254</v>
      </c>
      <c r="F43" s="190" t="s">
        <v>529</v>
      </c>
      <c r="G43" s="191">
        <v>178</v>
      </c>
      <c r="H43" s="191">
        <f>178-37.4</f>
        <v>140.6</v>
      </c>
      <c r="I43" s="192">
        <f t="shared" si="0"/>
        <v>-37.400000000000006</v>
      </c>
    </row>
    <row r="44" spans="1:9" x14ac:dyDescent="0.2">
      <c r="A44" s="189" t="s">
        <v>568</v>
      </c>
      <c r="B44" s="190"/>
      <c r="C44" s="189" t="s">
        <v>498</v>
      </c>
      <c r="D44" s="189" t="s">
        <v>507</v>
      </c>
      <c r="E44" s="189" t="s">
        <v>567</v>
      </c>
      <c r="F44" s="190"/>
      <c r="G44" s="191">
        <f t="shared" ref="G44:H46" si="4">G45</f>
        <v>10658</v>
      </c>
      <c r="H44" s="191">
        <f t="shared" si="4"/>
        <v>10658</v>
      </c>
      <c r="I44" s="192">
        <f t="shared" si="0"/>
        <v>0</v>
      </c>
    </row>
    <row r="45" spans="1:9" x14ac:dyDescent="0.2">
      <c r="A45" s="189" t="s">
        <v>855</v>
      </c>
      <c r="B45" s="190"/>
      <c r="C45" s="189" t="s">
        <v>498</v>
      </c>
      <c r="D45" s="189" t="s">
        <v>507</v>
      </c>
      <c r="E45" s="189" t="s">
        <v>854</v>
      </c>
      <c r="F45" s="190"/>
      <c r="G45" s="191">
        <f t="shared" si="4"/>
        <v>10658</v>
      </c>
      <c r="H45" s="191">
        <f t="shared" si="4"/>
        <v>10658</v>
      </c>
      <c r="I45" s="192">
        <f t="shared" si="0"/>
        <v>0</v>
      </c>
    </row>
    <row r="46" spans="1:9" ht="36" x14ac:dyDescent="0.2">
      <c r="A46" s="189" t="s">
        <v>853</v>
      </c>
      <c r="B46" s="190"/>
      <c r="C46" s="189" t="s">
        <v>498</v>
      </c>
      <c r="D46" s="189" t="s">
        <v>507</v>
      </c>
      <c r="E46" s="189" t="s">
        <v>852</v>
      </c>
      <c r="F46" s="190"/>
      <c r="G46" s="191">
        <f t="shared" si="4"/>
        <v>10658</v>
      </c>
      <c r="H46" s="191">
        <f t="shared" si="4"/>
        <v>10658</v>
      </c>
      <c r="I46" s="192">
        <f t="shared" si="0"/>
        <v>0</v>
      </c>
    </row>
    <row r="47" spans="1:9" ht="24" x14ac:dyDescent="0.2">
      <c r="A47" s="189" t="s">
        <v>1253</v>
      </c>
      <c r="B47" s="190"/>
      <c r="C47" s="189" t="s">
        <v>498</v>
      </c>
      <c r="D47" s="189" t="s">
        <v>507</v>
      </c>
      <c r="E47" s="189" t="s">
        <v>1252</v>
      </c>
      <c r="F47" s="190"/>
      <c r="G47" s="191">
        <f>G48+G50</f>
        <v>10658</v>
      </c>
      <c r="H47" s="191">
        <f>H48+H50</f>
        <v>10658</v>
      </c>
      <c r="I47" s="192">
        <f t="shared" si="0"/>
        <v>0</v>
      </c>
    </row>
    <row r="48" spans="1:9" ht="36" x14ac:dyDescent="0.2">
      <c r="A48" s="189" t="s">
        <v>1348</v>
      </c>
      <c r="B48" s="190"/>
      <c r="C48" s="189" t="s">
        <v>498</v>
      </c>
      <c r="D48" s="189" t="s">
        <v>507</v>
      </c>
      <c r="E48" s="189" t="s">
        <v>1252</v>
      </c>
      <c r="F48" s="190" t="s">
        <v>556</v>
      </c>
      <c r="G48" s="191">
        <f>G49</f>
        <v>9543.4</v>
      </c>
      <c r="H48" s="191">
        <f>H49</f>
        <v>9543.4</v>
      </c>
      <c r="I48" s="192">
        <f t="shared" si="0"/>
        <v>0</v>
      </c>
    </row>
    <row r="49" spans="1:9" x14ac:dyDescent="0.2">
      <c r="A49" s="189" t="s">
        <v>749</v>
      </c>
      <c r="B49" s="190"/>
      <c r="C49" s="189" t="s">
        <v>498</v>
      </c>
      <c r="D49" s="189" t="s">
        <v>507</v>
      </c>
      <c r="E49" s="189" t="s">
        <v>1252</v>
      </c>
      <c r="F49" s="190" t="s">
        <v>745</v>
      </c>
      <c r="G49" s="191">
        <v>9543.4</v>
      </c>
      <c r="H49" s="191">
        <v>9543.4</v>
      </c>
      <c r="I49" s="192">
        <f t="shared" si="0"/>
        <v>0</v>
      </c>
    </row>
    <row r="50" spans="1:9" x14ac:dyDescent="0.2">
      <c r="A50" s="189" t="s">
        <v>1347</v>
      </c>
      <c r="B50" s="190"/>
      <c r="C50" s="189" t="s">
        <v>498</v>
      </c>
      <c r="D50" s="189" t="s">
        <v>507</v>
      </c>
      <c r="E50" s="189" t="s">
        <v>1252</v>
      </c>
      <c r="F50" s="190" t="s">
        <v>535</v>
      </c>
      <c r="G50" s="191">
        <f>G51</f>
        <v>1114.5999999999999</v>
      </c>
      <c r="H50" s="191">
        <f>H51</f>
        <v>1114.5999999999999</v>
      </c>
      <c r="I50" s="192">
        <f t="shared" si="0"/>
        <v>0</v>
      </c>
    </row>
    <row r="51" spans="1:9" ht="24" x14ac:dyDescent="0.2">
      <c r="A51" s="189" t="s">
        <v>534</v>
      </c>
      <c r="B51" s="190"/>
      <c r="C51" s="189" t="s">
        <v>498</v>
      </c>
      <c r="D51" s="189" t="s">
        <v>507</v>
      </c>
      <c r="E51" s="189" t="s">
        <v>1252</v>
      </c>
      <c r="F51" s="190" t="s">
        <v>529</v>
      </c>
      <c r="G51" s="191">
        <v>1114.5999999999999</v>
      </c>
      <c r="H51" s="191">
        <v>1114.5999999999999</v>
      </c>
      <c r="I51" s="192">
        <f t="shared" si="0"/>
        <v>0</v>
      </c>
    </row>
    <row r="52" spans="1:9" x14ac:dyDescent="0.2">
      <c r="A52" s="189" t="s">
        <v>1145</v>
      </c>
      <c r="B52" s="190"/>
      <c r="C52" s="189" t="s">
        <v>498</v>
      </c>
      <c r="D52" s="189" t="s">
        <v>507</v>
      </c>
      <c r="E52" s="189" t="s">
        <v>1144</v>
      </c>
      <c r="F52" s="190"/>
      <c r="G52" s="191">
        <f t="shared" ref="G52:H54" si="5">G53</f>
        <v>1283</v>
      </c>
      <c r="H52" s="191">
        <f t="shared" si="5"/>
        <v>1283</v>
      </c>
      <c r="I52" s="192">
        <f t="shared" si="0"/>
        <v>0</v>
      </c>
    </row>
    <row r="53" spans="1:9" x14ac:dyDescent="0.2">
      <c r="A53" s="189" t="s">
        <v>1137</v>
      </c>
      <c r="B53" s="190"/>
      <c r="C53" s="189" t="s">
        <v>498</v>
      </c>
      <c r="D53" s="189" t="s">
        <v>507</v>
      </c>
      <c r="E53" s="189" t="s">
        <v>1136</v>
      </c>
      <c r="F53" s="190"/>
      <c r="G53" s="191">
        <f t="shared" si="5"/>
        <v>1283</v>
      </c>
      <c r="H53" s="191">
        <f t="shared" si="5"/>
        <v>1283</v>
      </c>
      <c r="I53" s="192">
        <f t="shared" si="0"/>
        <v>0</v>
      </c>
    </row>
    <row r="54" spans="1:9" ht="36" x14ac:dyDescent="0.2">
      <c r="A54" s="189" t="s">
        <v>1135</v>
      </c>
      <c r="B54" s="190"/>
      <c r="C54" s="189" t="s">
        <v>498</v>
      </c>
      <c r="D54" s="189" t="s">
        <v>507</v>
      </c>
      <c r="E54" s="189" t="s">
        <v>1134</v>
      </c>
      <c r="F54" s="190"/>
      <c r="G54" s="191">
        <f t="shared" si="5"/>
        <v>1283</v>
      </c>
      <c r="H54" s="191">
        <f t="shared" si="5"/>
        <v>1283</v>
      </c>
      <c r="I54" s="192">
        <f t="shared" si="0"/>
        <v>0</v>
      </c>
    </row>
    <row r="55" spans="1:9" ht="24" x14ac:dyDescent="0.2">
      <c r="A55" s="189" t="s">
        <v>1606</v>
      </c>
      <c r="B55" s="190"/>
      <c r="C55" s="189" t="s">
        <v>498</v>
      </c>
      <c r="D55" s="189" t="s">
        <v>507</v>
      </c>
      <c r="E55" s="189" t="s">
        <v>1133</v>
      </c>
      <c r="F55" s="190"/>
      <c r="G55" s="191">
        <f>G56+G58</f>
        <v>1283</v>
      </c>
      <c r="H55" s="191">
        <f>H56+H58</f>
        <v>1283</v>
      </c>
      <c r="I55" s="192">
        <f t="shared" si="0"/>
        <v>0</v>
      </c>
    </row>
    <row r="56" spans="1:9" ht="36" x14ac:dyDescent="0.2">
      <c r="A56" s="189" t="s">
        <v>1348</v>
      </c>
      <c r="B56" s="190"/>
      <c r="C56" s="189" t="s">
        <v>498</v>
      </c>
      <c r="D56" s="189" t="s">
        <v>507</v>
      </c>
      <c r="E56" s="189" t="s">
        <v>1133</v>
      </c>
      <c r="F56" s="190" t="s">
        <v>556</v>
      </c>
      <c r="G56" s="191">
        <f>G57</f>
        <v>1069.2</v>
      </c>
      <c r="H56" s="191">
        <f>H57</f>
        <v>1069.2</v>
      </c>
      <c r="I56" s="192">
        <f t="shared" si="0"/>
        <v>0</v>
      </c>
    </row>
    <row r="57" spans="1:9" x14ac:dyDescent="0.2">
      <c r="A57" s="189" t="s">
        <v>749</v>
      </c>
      <c r="B57" s="190"/>
      <c r="C57" s="189" t="s">
        <v>498</v>
      </c>
      <c r="D57" s="189" t="s">
        <v>507</v>
      </c>
      <c r="E57" s="189" t="s">
        <v>1133</v>
      </c>
      <c r="F57" s="190" t="s">
        <v>745</v>
      </c>
      <c r="G57" s="191">
        <v>1069.2</v>
      </c>
      <c r="H57" s="191">
        <v>1069.2</v>
      </c>
      <c r="I57" s="192">
        <f t="shared" si="0"/>
        <v>0</v>
      </c>
    </row>
    <row r="58" spans="1:9" x14ac:dyDescent="0.2">
      <c r="A58" s="189" t="s">
        <v>1347</v>
      </c>
      <c r="B58" s="190"/>
      <c r="C58" s="189" t="s">
        <v>498</v>
      </c>
      <c r="D58" s="189" t="s">
        <v>507</v>
      </c>
      <c r="E58" s="189" t="s">
        <v>1133</v>
      </c>
      <c r="F58" s="190" t="s">
        <v>535</v>
      </c>
      <c r="G58" s="191">
        <f>G59</f>
        <v>213.8</v>
      </c>
      <c r="H58" s="191">
        <f>H59</f>
        <v>213.8</v>
      </c>
      <c r="I58" s="192">
        <f t="shared" si="0"/>
        <v>0</v>
      </c>
    </row>
    <row r="59" spans="1:9" ht="24" x14ac:dyDescent="0.2">
      <c r="A59" s="189" t="s">
        <v>534</v>
      </c>
      <c r="B59" s="190"/>
      <c r="C59" s="189" t="s">
        <v>498</v>
      </c>
      <c r="D59" s="189" t="s">
        <v>507</v>
      </c>
      <c r="E59" s="189" t="s">
        <v>1133</v>
      </c>
      <c r="F59" s="190" t="s">
        <v>529</v>
      </c>
      <c r="G59" s="191">
        <v>213.8</v>
      </c>
      <c r="H59" s="191">
        <v>213.8</v>
      </c>
      <c r="I59" s="192">
        <f t="shared" si="0"/>
        <v>0</v>
      </c>
    </row>
    <row r="60" spans="1:9" x14ac:dyDescent="0.2">
      <c r="A60" s="189" t="s">
        <v>839</v>
      </c>
      <c r="B60" s="190"/>
      <c r="C60" s="189" t="s">
        <v>498</v>
      </c>
      <c r="D60" s="189" t="s">
        <v>507</v>
      </c>
      <c r="E60" s="189" t="s">
        <v>838</v>
      </c>
      <c r="F60" s="190"/>
      <c r="G60" s="191">
        <f t="shared" ref="G60:H62" si="6">G61</f>
        <v>3793</v>
      </c>
      <c r="H60" s="191">
        <f t="shared" si="6"/>
        <v>3793</v>
      </c>
      <c r="I60" s="192">
        <f t="shared" si="0"/>
        <v>0</v>
      </c>
    </row>
    <row r="61" spans="1:9" ht="24" x14ac:dyDescent="0.2">
      <c r="A61" s="189" t="s">
        <v>1251</v>
      </c>
      <c r="B61" s="190"/>
      <c r="C61" s="189" t="s">
        <v>498</v>
      </c>
      <c r="D61" s="189" t="s">
        <v>507</v>
      </c>
      <c r="E61" s="189" t="s">
        <v>1250</v>
      </c>
      <c r="F61" s="190"/>
      <c r="G61" s="191">
        <f t="shared" si="6"/>
        <v>3793</v>
      </c>
      <c r="H61" s="191">
        <f t="shared" si="6"/>
        <v>3793</v>
      </c>
      <c r="I61" s="192">
        <f t="shared" si="0"/>
        <v>0</v>
      </c>
    </row>
    <row r="62" spans="1:9" ht="24" x14ac:dyDescent="0.2">
      <c r="A62" s="189" t="s">
        <v>1249</v>
      </c>
      <c r="B62" s="190"/>
      <c r="C62" s="189" t="s">
        <v>498</v>
      </c>
      <c r="D62" s="189" t="s">
        <v>507</v>
      </c>
      <c r="E62" s="189" t="s">
        <v>1248</v>
      </c>
      <c r="F62" s="190"/>
      <c r="G62" s="191">
        <f t="shared" si="6"/>
        <v>3793</v>
      </c>
      <c r="H62" s="191">
        <f t="shared" si="6"/>
        <v>3793</v>
      </c>
      <c r="I62" s="192">
        <f t="shared" si="0"/>
        <v>0</v>
      </c>
    </row>
    <row r="63" spans="1:9" ht="96" x14ac:dyDescent="0.2">
      <c r="A63" s="189" t="s">
        <v>1247</v>
      </c>
      <c r="B63" s="190"/>
      <c r="C63" s="189" t="s">
        <v>498</v>
      </c>
      <c r="D63" s="189" t="s">
        <v>507</v>
      </c>
      <c r="E63" s="189" t="s">
        <v>1246</v>
      </c>
      <c r="F63" s="190"/>
      <c r="G63" s="191">
        <f>G64+G66</f>
        <v>3793</v>
      </c>
      <c r="H63" s="191">
        <f>H64+H66</f>
        <v>3793</v>
      </c>
      <c r="I63" s="192">
        <f t="shared" si="0"/>
        <v>0</v>
      </c>
    </row>
    <row r="64" spans="1:9" ht="36" x14ac:dyDescent="0.2">
      <c r="A64" s="189" t="s">
        <v>1348</v>
      </c>
      <c r="B64" s="190"/>
      <c r="C64" s="189" t="s">
        <v>498</v>
      </c>
      <c r="D64" s="189" t="s">
        <v>507</v>
      </c>
      <c r="E64" s="189" t="s">
        <v>1246</v>
      </c>
      <c r="F64" s="190" t="s">
        <v>556</v>
      </c>
      <c r="G64" s="191">
        <f>G65</f>
        <v>2977.8</v>
      </c>
      <c r="H64" s="191">
        <f>H65</f>
        <v>2977.8</v>
      </c>
      <c r="I64" s="192">
        <f t="shared" si="0"/>
        <v>0</v>
      </c>
    </row>
    <row r="65" spans="1:9" x14ac:dyDescent="0.2">
      <c r="A65" s="189" t="s">
        <v>749</v>
      </c>
      <c r="B65" s="190"/>
      <c r="C65" s="189" t="s">
        <v>498</v>
      </c>
      <c r="D65" s="189" t="s">
        <v>507</v>
      </c>
      <c r="E65" s="189" t="s">
        <v>1246</v>
      </c>
      <c r="F65" s="190" t="s">
        <v>745</v>
      </c>
      <c r="G65" s="191">
        <v>2977.8</v>
      </c>
      <c r="H65" s="191">
        <v>2977.8</v>
      </c>
      <c r="I65" s="192">
        <f t="shared" si="0"/>
        <v>0</v>
      </c>
    </row>
    <row r="66" spans="1:9" x14ac:dyDescent="0.2">
      <c r="A66" s="189" t="s">
        <v>1347</v>
      </c>
      <c r="B66" s="190"/>
      <c r="C66" s="189" t="s">
        <v>498</v>
      </c>
      <c r="D66" s="189" t="s">
        <v>507</v>
      </c>
      <c r="E66" s="189" t="s">
        <v>1246</v>
      </c>
      <c r="F66" s="190" t="s">
        <v>535</v>
      </c>
      <c r="G66" s="191">
        <f>G67</f>
        <v>815.2</v>
      </c>
      <c r="H66" s="191">
        <f>H67</f>
        <v>815.2</v>
      </c>
      <c r="I66" s="192">
        <f t="shared" si="0"/>
        <v>0</v>
      </c>
    </row>
    <row r="67" spans="1:9" ht="24" x14ac:dyDescent="0.2">
      <c r="A67" s="189" t="s">
        <v>534</v>
      </c>
      <c r="B67" s="190"/>
      <c r="C67" s="189" t="s">
        <v>498</v>
      </c>
      <c r="D67" s="189" t="s">
        <v>507</v>
      </c>
      <c r="E67" s="189" t="s">
        <v>1246</v>
      </c>
      <c r="F67" s="190" t="s">
        <v>529</v>
      </c>
      <c r="G67" s="191">
        <v>815.2</v>
      </c>
      <c r="H67" s="191">
        <v>815.2</v>
      </c>
      <c r="I67" s="192">
        <f t="shared" si="0"/>
        <v>0</v>
      </c>
    </row>
    <row r="68" spans="1:9" s="305" customFormat="1" x14ac:dyDescent="0.2">
      <c r="A68" s="189" t="s">
        <v>943</v>
      </c>
      <c r="B68" s="190"/>
      <c r="C68" s="189" t="s">
        <v>498</v>
      </c>
      <c r="D68" s="189" t="s">
        <v>507</v>
      </c>
      <c r="E68" s="189" t="s">
        <v>942</v>
      </c>
      <c r="F68" s="190"/>
      <c r="G68" s="191">
        <f t="shared" ref="G68:H70" si="7">G69</f>
        <v>631.99999999999989</v>
      </c>
      <c r="H68" s="191">
        <f t="shared" si="7"/>
        <v>631.99999999999989</v>
      </c>
      <c r="I68" s="192">
        <f t="shared" si="0"/>
        <v>0</v>
      </c>
    </row>
    <row r="69" spans="1:9" s="305" customFormat="1" x14ac:dyDescent="0.2">
      <c r="A69" s="189" t="s">
        <v>602</v>
      </c>
      <c r="B69" s="190"/>
      <c r="C69" s="189" t="s">
        <v>498</v>
      </c>
      <c r="D69" s="189" t="s">
        <v>507</v>
      </c>
      <c r="E69" s="189" t="s">
        <v>941</v>
      </c>
      <c r="F69" s="190"/>
      <c r="G69" s="191">
        <f t="shared" si="7"/>
        <v>631.99999999999989</v>
      </c>
      <c r="H69" s="191">
        <f t="shared" si="7"/>
        <v>631.99999999999989</v>
      </c>
      <c r="I69" s="192">
        <f t="shared" si="0"/>
        <v>0</v>
      </c>
    </row>
    <row r="70" spans="1:9" s="305" customFormat="1" ht="24" x14ac:dyDescent="0.2">
      <c r="A70" s="189" t="s">
        <v>600</v>
      </c>
      <c r="B70" s="190"/>
      <c r="C70" s="189" t="s">
        <v>498</v>
      </c>
      <c r="D70" s="189" t="s">
        <v>507</v>
      </c>
      <c r="E70" s="189" t="s">
        <v>940</v>
      </c>
      <c r="F70" s="190"/>
      <c r="G70" s="191">
        <f t="shared" si="7"/>
        <v>631.99999999999989</v>
      </c>
      <c r="H70" s="191">
        <f t="shared" si="7"/>
        <v>631.99999999999989</v>
      </c>
      <c r="I70" s="192">
        <f t="shared" si="0"/>
        <v>0</v>
      </c>
    </row>
    <row r="71" spans="1:9" s="305" customFormat="1" ht="24" x14ac:dyDescent="0.2">
      <c r="A71" s="189" t="s">
        <v>939</v>
      </c>
      <c r="B71" s="190"/>
      <c r="C71" s="189" t="s">
        <v>498</v>
      </c>
      <c r="D71" s="189" t="s">
        <v>507</v>
      </c>
      <c r="E71" s="189" t="s">
        <v>938</v>
      </c>
      <c r="F71" s="190"/>
      <c r="G71" s="191">
        <f>G72+G74</f>
        <v>631.99999999999989</v>
      </c>
      <c r="H71" s="191">
        <f>H72+H74</f>
        <v>631.99999999999989</v>
      </c>
      <c r="I71" s="192">
        <f t="shared" si="0"/>
        <v>0</v>
      </c>
    </row>
    <row r="72" spans="1:9" s="305" customFormat="1" ht="36" x14ac:dyDescent="0.2">
      <c r="A72" s="189" t="s">
        <v>1348</v>
      </c>
      <c r="B72" s="190"/>
      <c r="C72" s="189" t="s">
        <v>498</v>
      </c>
      <c r="D72" s="189" t="s">
        <v>507</v>
      </c>
      <c r="E72" s="189" t="s">
        <v>938</v>
      </c>
      <c r="F72" s="190" t="s">
        <v>556</v>
      </c>
      <c r="G72" s="191">
        <f>G73</f>
        <v>569.89999999999986</v>
      </c>
      <c r="H72" s="191">
        <f>H73</f>
        <v>569.89999999999986</v>
      </c>
      <c r="I72" s="192">
        <f t="shared" si="0"/>
        <v>0</v>
      </c>
    </row>
    <row r="73" spans="1:9" s="305" customFormat="1" x14ac:dyDescent="0.2">
      <c r="A73" s="189" t="s">
        <v>749</v>
      </c>
      <c r="B73" s="190"/>
      <c r="C73" s="189" t="s">
        <v>498</v>
      </c>
      <c r="D73" s="189" t="s">
        <v>507</v>
      </c>
      <c r="E73" s="189" t="s">
        <v>938</v>
      </c>
      <c r="F73" s="190" t="s">
        <v>745</v>
      </c>
      <c r="G73" s="191">
        <f>439.4+132.7-2.2</f>
        <v>569.89999999999986</v>
      </c>
      <c r="H73" s="191">
        <f>439.4+132.7-2.2</f>
        <v>569.89999999999986</v>
      </c>
      <c r="I73" s="192">
        <f t="shared" si="0"/>
        <v>0</v>
      </c>
    </row>
    <row r="74" spans="1:9" s="305" customFormat="1" x14ac:dyDescent="0.2">
      <c r="A74" s="189" t="s">
        <v>1347</v>
      </c>
      <c r="B74" s="190"/>
      <c r="C74" s="189" t="s">
        <v>498</v>
      </c>
      <c r="D74" s="189" t="s">
        <v>507</v>
      </c>
      <c r="E74" s="189" t="s">
        <v>938</v>
      </c>
      <c r="F74" s="190" t="s">
        <v>535</v>
      </c>
      <c r="G74" s="191">
        <f>G75</f>
        <v>62.1</v>
      </c>
      <c r="H74" s="191">
        <f>H75</f>
        <v>62.1</v>
      </c>
      <c r="I74" s="192">
        <f t="shared" si="0"/>
        <v>0</v>
      </c>
    </row>
    <row r="75" spans="1:9" s="305" customFormat="1" ht="24" x14ac:dyDescent="0.2">
      <c r="A75" s="189" t="s">
        <v>534</v>
      </c>
      <c r="B75" s="190"/>
      <c r="C75" s="189" t="s">
        <v>498</v>
      </c>
      <c r="D75" s="189" t="s">
        <v>507</v>
      </c>
      <c r="E75" s="189" t="s">
        <v>938</v>
      </c>
      <c r="F75" s="190" t="s">
        <v>529</v>
      </c>
      <c r="G75" s="191">
        <f>59.9+2.2</f>
        <v>62.1</v>
      </c>
      <c r="H75" s="191">
        <f>59.9+2.2</f>
        <v>62.1</v>
      </c>
      <c r="I75" s="192">
        <f t="shared" si="0"/>
        <v>0</v>
      </c>
    </row>
    <row r="76" spans="1:9" x14ac:dyDescent="0.2">
      <c r="A76" s="189" t="s">
        <v>604</v>
      </c>
      <c r="B76" s="190"/>
      <c r="C76" s="189" t="s">
        <v>498</v>
      </c>
      <c r="D76" s="189" t="s">
        <v>507</v>
      </c>
      <c r="E76" s="189" t="s">
        <v>603</v>
      </c>
      <c r="F76" s="190"/>
      <c r="G76" s="191">
        <f>G77+G84</f>
        <v>400457.00000000006</v>
      </c>
      <c r="H76" s="191">
        <f>H77+H84</f>
        <v>400409.00000000006</v>
      </c>
      <c r="I76" s="192">
        <f t="shared" si="0"/>
        <v>-48</v>
      </c>
    </row>
    <row r="77" spans="1:9" x14ac:dyDescent="0.2">
      <c r="A77" s="189" t="s">
        <v>1042</v>
      </c>
      <c r="B77" s="190"/>
      <c r="C77" s="189" t="s">
        <v>498</v>
      </c>
      <c r="D77" s="189" t="s">
        <v>507</v>
      </c>
      <c r="E77" s="189" t="s">
        <v>1041</v>
      </c>
      <c r="F77" s="190"/>
      <c r="G77" s="191">
        <f>G78</f>
        <v>15290</v>
      </c>
      <c r="H77" s="191">
        <f>H78</f>
        <v>15290</v>
      </c>
      <c r="I77" s="192">
        <f t="shared" si="0"/>
        <v>0</v>
      </c>
    </row>
    <row r="78" spans="1:9" ht="24" x14ac:dyDescent="0.2">
      <c r="A78" s="189" t="s">
        <v>1245</v>
      </c>
      <c r="B78" s="190"/>
      <c r="C78" s="189" t="s">
        <v>498</v>
      </c>
      <c r="D78" s="189" t="s">
        <v>507</v>
      </c>
      <c r="E78" s="189" t="s">
        <v>1244</v>
      </c>
      <c r="F78" s="190"/>
      <c r="G78" s="191">
        <f>G79</f>
        <v>15290</v>
      </c>
      <c r="H78" s="191">
        <f>H79</f>
        <v>15290</v>
      </c>
      <c r="I78" s="192">
        <f t="shared" si="0"/>
        <v>0</v>
      </c>
    </row>
    <row r="79" spans="1:9" ht="24" x14ac:dyDescent="0.2">
      <c r="A79" s="189" t="s">
        <v>1243</v>
      </c>
      <c r="B79" s="190"/>
      <c r="C79" s="189" t="s">
        <v>498</v>
      </c>
      <c r="D79" s="189" t="s">
        <v>507</v>
      </c>
      <c r="E79" s="189" t="s">
        <v>1242</v>
      </c>
      <c r="F79" s="190"/>
      <c r="G79" s="191">
        <f>G80+G82</f>
        <v>15290</v>
      </c>
      <c r="H79" s="191">
        <f>H80+H82</f>
        <v>15290</v>
      </c>
      <c r="I79" s="192">
        <f t="shared" si="0"/>
        <v>0</v>
      </c>
    </row>
    <row r="80" spans="1:9" ht="36" x14ac:dyDescent="0.2">
      <c r="A80" s="189" t="s">
        <v>1348</v>
      </c>
      <c r="B80" s="190"/>
      <c r="C80" s="189" t="s">
        <v>498</v>
      </c>
      <c r="D80" s="189" t="s">
        <v>507</v>
      </c>
      <c r="E80" s="189" t="s">
        <v>1242</v>
      </c>
      <c r="F80" s="190" t="s">
        <v>556</v>
      </c>
      <c r="G80" s="191">
        <f>G81</f>
        <v>13080.5</v>
      </c>
      <c r="H80" s="191">
        <f>H81</f>
        <v>13080.5</v>
      </c>
      <c r="I80" s="192">
        <f t="shared" si="0"/>
        <v>0</v>
      </c>
    </row>
    <row r="81" spans="1:9" x14ac:dyDescent="0.2">
      <c r="A81" s="189" t="s">
        <v>749</v>
      </c>
      <c r="B81" s="190"/>
      <c r="C81" s="189" t="s">
        <v>498</v>
      </c>
      <c r="D81" s="189" t="s">
        <v>507</v>
      </c>
      <c r="E81" s="189" t="s">
        <v>1242</v>
      </c>
      <c r="F81" s="190" t="s">
        <v>745</v>
      </c>
      <c r="G81" s="191">
        <f>15290-2209.5</f>
        <v>13080.5</v>
      </c>
      <c r="H81" s="191">
        <f>15290-2209.5</f>
        <v>13080.5</v>
      </c>
      <c r="I81" s="192">
        <f t="shared" si="0"/>
        <v>0</v>
      </c>
    </row>
    <row r="82" spans="1:9" s="301" customFormat="1" x14ac:dyDescent="0.2">
      <c r="A82" s="189" t="s">
        <v>1347</v>
      </c>
      <c r="B82" s="190"/>
      <c r="C82" s="189" t="s">
        <v>498</v>
      </c>
      <c r="D82" s="189" t="s">
        <v>507</v>
      </c>
      <c r="E82" s="189" t="s">
        <v>1242</v>
      </c>
      <c r="F82" s="190" t="s">
        <v>535</v>
      </c>
      <c r="G82" s="191">
        <f>G83</f>
        <v>2209.5</v>
      </c>
      <c r="H82" s="191">
        <f>H83</f>
        <v>2209.5</v>
      </c>
      <c r="I82" s="192">
        <f t="shared" si="0"/>
        <v>0</v>
      </c>
    </row>
    <row r="83" spans="1:9" s="301" customFormat="1" ht="24" x14ac:dyDescent="0.2">
      <c r="A83" s="189" t="s">
        <v>534</v>
      </c>
      <c r="B83" s="190"/>
      <c r="C83" s="189" t="s">
        <v>498</v>
      </c>
      <c r="D83" s="189" t="s">
        <v>507</v>
      </c>
      <c r="E83" s="189" t="s">
        <v>1242</v>
      </c>
      <c r="F83" s="190" t="s">
        <v>529</v>
      </c>
      <c r="G83" s="191">
        <f>1500+709.5</f>
        <v>2209.5</v>
      </c>
      <c r="H83" s="191">
        <f>1500+709.5</f>
        <v>2209.5</v>
      </c>
      <c r="I83" s="192">
        <f t="shared" si="0"/>
        <v>0</v>
      </c>
    </row>
    <row r="84" spans="1:9" x14ac:dyDescent="0.2">
      <c r="A84" s="189" t="s">
        <v>602</v>
      </c>
      <c r="B84" s="190"/>
      <c r="C84" s="189" t="s">
        <v>498</v>
      </c>
      <c r="D84" s="189" t="s">
        <v>507</v>
      </c>
      <c r="E84" s="189" t="s">
        <v>601</v>
      </c>
      <c r="F84" s="190"/>
      <c r="G84" s="191">
        <f>G85</f>
        <v>385167.00000000006</v>
      </c>
      <c r="H84" s="191">
        <f>H85</f>
        <v>385119.00000000006</v>
      </c>
      <c r="I84" s="192">
        <f t="shared" si="0"/>
        <v>-48</v>
      </c>
    </row>
    <row r="85" spans="1:9" ht="24" x14ac:dyDescent="0.2">
      <c r="A85" s="189" t="s">
        <v>600</v>
      </c>
      <c r="B85" s="190"/>
      <c r="C85" s="189" t="s">
        <v>498</v>
      </c>
      <c r="D85" s="189" t="s">
        <v>507</v>
      </c>
      <c r="E85" s="189" t="s">
        <v>599</v>
      </c>
      <c r="F85" s="190"/>
      <c r="G85" s="191">
        <f>G86</f>
        <v>385167.00000000006</v>
      </c>
      <c r="H85" s="191">
        <f>H86</f>
        <v>385119.00000000006</v>
      </c>
      <c r="I85" s="192">
        <f t="shared" si="0"/>
        <v>-48</v>
      </c>
    </row>
    <row r="86" spans="1:9" x14ac:dyDescent="0.2">
      <c r="A86" s="189" t="s">
        <v>598</v>
      </c>
      <c r="B86" s="190"/>
      <c r="C86" s="189" t="s">
        <v>498</v>
      </c>
      <c r="D86" s="189" t="s">
        <v>507</v>
      </c>
      <c r="E86" s="189" t="s">
        <v>597</v>
      </c>
      <c r="F86" s="190"/>
      <c r="G86" s="191">
        <f>G87+G89+G91</f>
        <v>385167.00000000006</v>
      </c>
      <c r="H86" s="191">
        <f>H87+H89+H91</f>
        <v>385119.00000000006</v>
      </c>
      <c r="I86" s="192">
        <f t="shared" si="0"/>
        <v>-48</v>
      </c>
    </row>
    <row r="87" spans="1:9" ht="36" x14ac:dyDescent="0.2">
      <c r="A87" s="189" t="s">
        <v>1348</v>
      </c>
      <c r="B87" s="190"/>
      <c r="C87" s="189" t="s">
        <v>498</v>
      </c>
      <c r="D87" s="189" t="s">
        <v>507</v>
      </c>
      <c r="E87" s="189" t="s">
        <v>597</v>
      </c>
      <c r="F87" s="190" t="s">
        <v>556</v>
      </c>
      <c r="G87" s="191">
        <f>G88</f>
        <v>307785.40000000002</v>
      </c>
      <c r="H87" s="191">
        <f>H88</f>
        <v>307785.40000000002</v>
      </c>
      <c r="I87" s="192">
        <f t="shared" si="0"/>
        <v>0</v>
      </c>
    </row>
    <row r="88" spans="1:9" x14ac:dyDescent="0.2">
      <c r="A88" s="189" t="s">
        <v>749</v>
      </c>
      <c r="B88" s="190"/>
      <c r="C88" s="189" t="s">
        <v>498</v>
      </c>
      <c r="D88" s="189" t="s">
        <v>507</v>
      </c>
      <c r="E88" s="189" t="s">
        <v>597</v>
      </c>
      <c r="F88" s="190" t="s">
        <v>745</v>
      </c>
      <c r="G88" s="191">
        <f>417080-99614-9680.6</f>
        <v>307785.40000000002</v>
      </c>
      <c r="H88" s="191">
        <f>417080-99614-9680.6</f>
        <v>307785.40000000002</v>
      </c>
      <c r="I88" s="192">
        <f t="shared" ref="I88:I176" si="8">H88-G88</f>
        <v>0</v>
      </c>
    </row>
    <row r="89" spans="1:9" x14ac:dyDescent="0.2">
      <c r="A89" s="189" t="s">
        <v>1347</v>
      </c>
      <c r="B89" s="190"/>
      <c r="C89" s="189" t="s">
        <v>498</v>
      </c>
      <c r="D89" s="189" t="s">
        <v>507</v>
      </c>
      <c r="E89" s="189" t="s">
        <v>597</v>
      </c>
      <c r="F89" s="190" t="s">
        <v>535</v>
      </c>
      <c r="G89" s="191">
        <f>G90</f>
        <v>75518.899999999994</v>
      </c>
      <c r="H89" s="191">
        <f>H90</f>
        <v>75470.899999999994</v>
      </c>
      <c r="I89" s="192">
        <f t="shared" si="8"/>
        <v>-48</v>
      </c>
    </row>
    <row r="90" spans="1:9" ht="24" x14ac:dyDescent="0.2">
      <c r="A90" s="189" t="s">
        <v>534</v>
      </c>
      <c r="B90" s="190"/>
      <c r="C90" s="189" t="s">
        <v>498</v>
      </c>
      <c r="D90" s="189" t="s">
        <v>507</v>
      </c>
      <c r="E90" s="189" t="s">
        <v>597</v>
      </c>
      <c r="F90" s="190" t="s">
        <v>529</v>
      </c>
      <c r="G90" s="191">
        <f>77283.9-2300+250+250+35</f>
        <v>75518.899999999994</v>
      </c>
      <c r="H90" s="191">
        <f>77283.9-2300+250+250+35-48</f>
        <v>75470.899999999994</v>
      </c>
      <c r="I90" s="192">
        <f t="shared" si="8"/>
        <v>-48</v>
      </c>
    </row>
    <row r="91" spans="1:9" x14ac:dyDescent="0.2">
      <c r="A91" s="189" t="s">
        <v>615</v>
      </c>
      <c r="B91" s="190"/>
      <c r="C91" s="189" t="s">
        <v>498</v>
      </c>
      <c r="D91" s="189" t="s">
        <v>507</v>
      </c>
      <c r="E91" s="189" t="s">
        <v>597</v>
      </c>
      <c r="F91" s="190" t="s">
        <v>509</v>
      </c>
      <c r="G91" s="191">
        <f>G92</f>
        <v>1862.7</v>
      </c>
      <c r="H91" s="191">
        <f>H92</f>
        <v>1862.7</v>
      </c>
      <c r="I91" s="192">
        <f t="shared" si="8"/>
        <v>0</v>
      </c>
    </row>
    <row r="92" spans="1:9" x14ac:dyDescent="0.2">
      <c r="A92" s="189" t="s">
        <v>614</v>
      </c>
      <c r="B92" s="190"/>
      <c r="C92" s="189" t="s">
        <v>498</v>
      </c>
      <c r="D92" s="189" t="s">
        <v>507</v>
      </c>
      <c r="E92" s="189" t="s">
        <v>597</v>
      </c>
      <c r="F92" s="190" t="s">
        <v>613</v>
      </c>
      <c r="G92" s="191">
        <v>1862.7</v>
      </c>
      <c r="H92" s="191">
        <v>1862.7</v>
      </c>
      <c r="I92" s="192">
        <f t="shared" si="8"/>
        <v>0</v>
      </c>
    </row>
    <row r="93" spans="1:9" s="305" customFormat="1" x14ac:dyDescent="0.2">
      <c r="A93" s="189" t="s">
        <v>994</v>
      </c>
      <c r="B93" s="190"/>
      <c r="C93" s="189" t="s">
        <v>498</v>
      </c>
      <c r="D93" s="189" t="s">
        <v>507</v>
      </c>
      <c r="E93" s="189" t="s">
        <v>993</v>
      </c>
      <c r="F93" s="190"/>
      <c r="G93" s="191">
        <f t="shared" ref="G93:H97" si="9">G94</f>
        <v>2845</v>
      </c>
      <c r="H93" s="191">
        <f t="shared" si="9"/>
        <v>2845</v>
      </c>
      <c r="I93" s="192">
        <f t="shared" si="8"/>
        <v>0</v>
      </c>
    </row>
    <row r="94" spans="1:9" s="305" customFormat="1" x14ac:dyDescent="0.2">
      <c r="A94" s="189" t="s">
        <v>992</v>
      </c>
      <c r="B94" s="190"/>
      <c r="C94" s="189" t="s">
        <v>498</v>
      </c>
      <c r="D94" s="189" t="s">
        <v>507</v>
      </c>
      <c r="E94" s="189" t="s">
        <v>991</v>
      </c>
      <c r="F94" s="190"/>
      <c r="G94" s="191">
        <f t="shared" si="9"/>
        <v>2845</v>
      </c>
      <c r="H94" s="191">
        <f t="shared" si="9"/>
        <v>2845</v>
      </c>
      <c r="I94" s="192">
        <f t="shared" si="8"/>
        <v>0</v>
      </c>
    </row>
    <row r="95" spans="1:9" s="305" customFormat="1" ht="36" x14ac:dyDescent="0.2">
      <c r="A95" s="189" t="s">
        <v>1050</v>
      </c>
      <c r="B95" s="190"/>
      <c r="C95" s="189" t="s">
        <v>498</v>
      </c>
      <c r="D95" s="189" t="s">
        <v>507</v>
      </c>
      <c r="E95" s="189" t="s">
        <v>1049</v>
      </c>
      <c r="F95" s="190"/>
      <c r="G95" s="191">
        <f t="shared" si="9"/>
        <v>2845</v>
      </c>
      <c r="H95" s="191">
        <f t="shared" si="9"/>
        <v>2845</v>
      </c>
      <c r="I95" s="192">
        <f t="shared" si="8"/>
        <v>0</v>
      </c>
    </row>
    <row r="96" spans="1:9" s="305" customFormat="1" ht="84" x14ac:dyDescent="0.2">
      <c r="A96" s="189" t="s">
        <v>1048</v>
      </c>
      <c r="B96" s="190"/>
      <c r="C96" s="189" t="s">
        <v>498</v>
      </c>
      <c r="D96" s="189" t="s">
        <v>507</v>
      </c>
      <c r="E96" s="189" t="s">
        <v>1047</v>
      </c>
      <c r="F96" s="190"/>
      <c r="G96" s="191">
        <f t="shared" si="9"/>
        <v>2845</v>
      </c>
      <c r="H96" s="191">
        <f t="shared" si="9"/>
        <v>2845</v>
      </c>
      <c r="I96" s="192">
        <f t="shared" si="8"/>
        <v>0</v>
      </c>
    </row>
    <row r="97" spans="1:9" s="305" customFormat="1" ht="36" x14ac:dyDescent="0.2">
      <c r="A97" s="189" t="s">
        <v>1348</v>
      </c>
      <c r="B97" s="190"/>
      <c r="C97" s="189" t="s">
        <v>498</v>
      </c>
      <c r="D97" s="189" t="s">
        <v>507</v>
      </c>
      <c r="E97" s="189" t="s">
        <v>1047</v>
      </c>
      <c r="F97" s="190">
        <v>100</v>
      </c>
      <c r="G97" s="191">
        <f t="shared" si="9"/>
        <v>2845</v>
      </c>
      <c r="H97" s="191">
        <f t="shared" si="9"/>
        <v>2845</v>
      </c>
      <c r="I97" s="192">
        <f t="shared" si="8"/>
        <v>0</v>
      </c>
    </row>
    <row r="98" spans="1:9" s="305" customFormat="1" x14ac:dyDescent="0.2">
      <c r="A98" s="189" t="s">
        <v>749</v>
      </c>
      <c r="B98" s="190"/>
      <c r="C98" s="189" t="s">
        <v>498</v>
      </c>
      <c r="D98" s="189" t="s">
        <v>507</v>
      </c>
      <c r="E98" s="189" t="s">
        <v>1047</v>
      </c>
      <c r="F98" s="190">
        <v>120</v>
      </c>
      <c r="G98" s="191">
        <f>2185.1+659.9</f>
        <v>2845</v>
      </c>
      <c r="H98" s="191">
        <f>2185.1+659.9</f>
        <v>2845</v>
      </c>
      <c r="I98" s="192">
        <f t="shared" si="8"/>
        <v>0</v>
      </c>
    </row>
    <row r="99" spans="1:9" x14ac:dyDescent="0.2">
      <c r="A99" s="189" t="s">
        <v>595</v>
      </c>
      <c r="B99" s="190"/>
      <c r="C99" s="189" t="s">
        <v>498</v>
      </c>
      <c r="D99" s="189" t="s">
        <v>507</v>
      </c>
      <c r="E99" s="189" t="s">
        <v>594</v>
      </c>
      <c r="F99" s="190"/>
      <c r="G99" s="191">
        <f t="shared" ref="G99:H101" si="10">G100</f>
        <v>1048.8</v>
      </c>
      <c r="H99" s="191">
        <f t="shared" si="10"/>
        <v>1048.8</v>
      </c>
      <c r="I99" s="192">
        <f t="shared" si="8"/>
        <v>0</v>
      </c>
    </row>
    <row r="100" spans="1:9" x14ac:dyDescent="0.2">
      <c r="A100" s="189" t="s">
        <v>871</v>
      </c>
      <c r="B100" s="190"/>
      <c r="C100" s="189" t="s">
        <v>498</v>
      </c>
      <c r="D100" s="189" t="s">
        <v>507</v>
      </c>
      <c r="E100" s="189" t="s">
        <v>870</v>
      </c>
      <c r="F100" s="190"/>
      <c r="G100" s="191">
        <f t="shared" si="10"/>
        <v>1048.8</v>
      </c>
      <c r="H100" s="191">
        <f t="shared" si="10"/>
        <v>1048.8</v>
      </c>
      <c r="I100" s="192">
        <f t="shared" si="8"/>
        <v>0</v>
      </c>
    </row>
    <row r="101" spans="1:9" x14ac:dyDescent="0.2">
      <c r="A101" s="189" t="s">
        <v>553</v>
      </c>
      <c r="B101" s="190"/>
      <c r="C101" s="189" t="s">
        <v>498</v>
      </c>
      <c r="D101" s="189" t="s">
        <v>507</v>
      </c>
      <c r="E101" s="189" t="s">
        <v>870</v>
      </c>
      <c r="F101" s="190" t="s">
        <v>552</v>
      </c>
      <c r="G101" s="191">
        <f t="shared" si="10"/>
        <v>1048.8</v>
      </c>
      <c r="H101" s="191">
        <f t="shared" si="10"/>
        <v>1048.8</v>
      </c>
      <c r="I101" s="192">
        <f t="shared" si="8"/>
        <v>0</v>
      </c>
    </row>
    <row r="102" spans="1:9" x14ac:dyDescent="0.2">
      <c r="A102" s="189" t="s">
        <v>936</v>
      </c>
      <c r="B102" s="190"/>
      <c r="C102" s="189" t="s">
        <v>498</v>
      </c>
      <c r="D102" s="189" t="s">
        <v>507</v>
      </c>
      <c r="E102" s="189" t="s">
        <v>870</v>
      </c>
      <c r="F102" s="190" t="s">
        <v>934</v>
      </c>
      <c r="G102" s="191">
        <v>1048.8</v>
      </c>
      <c r="H102" s="191">
        <v>1048.8</v>
      </c>
      <c r="I102" s="192">
        <f t="shared" si="8"/>
        <v>0</v>
      </c>
    </row>
    <row r="103" spans="1:9" x14ac:dyDescent="0.2">
      <c r="A103" s="189" t="s">
        <v>1241</v>
      </c>
      <c r="B103" s="190"/>
      <c r="C103" s="189" t="s">
        <v>498</v>
      </c>
      <c r="D103" s="189" t="s">
        <v>532</v>
      </c>
      <c r="E103" s="189"/>
      <c r="F103" s="190"/>
      <c r="G103" s="191">
        <f>G104</f>
        <v>49072.1</v>
      </c>
      <c r="H103" s="191">
        <f>H104</f>
        <v>29168.700000000004</v>
      </c>
      <c r="I103" s="192">
        <f t="shared" si="8"/>
        <v>-19903.399999999994</v>
      </c>
    </row>
    <row r="104" spans="1:9" x14ac:dyDescent="0.2">
      <c r="A104" s="189" t="s">
        <v>595</v>
      </c>
      <c r="B104" s="190"/>
      <c r="C104" s="189" t="s">
        <v>498</v>
      </c>
      <c r="D104" s="189" t="s">
        <v>532</v>
      </c>
      <c r="E104" s="189" t="s">
        <v>594</v>
      </c>
      <c r="F104" s="190"/>
      <c r="G104" s="191">
        <f>G105+G108</f>
        <v>49072.1</v>
      </c>
      <c r="H104" s="191">
        <f>H105+H108</f>
        <v>29168.700000000004</v>
      </c>
      <c r="I104" s="192">
        <f t="shared" si="8"/>
        <v>-19903.399999999994</v>
      </c>
    </row>
    <row r="105" spans="1:9" x14ac:dyDescent="0.2">
      <c r="A105" s="189" t="s">
        <v>1240</v>
      </c>
      <c r="B105" s="190"/>
      <c r="C105" s="189" t="s">
        <v>498</v>
      </c>
      <c r="D105" s="189" t="s">
        <v>532</v>
      </c>
      <c r="E105" s="189" t="s">
        <v>1239</v>
      </c>
      <c r="F105" s="190"/>
      <c r="G105" s="191">
        <f>G106</f>
        <v>48072.1</v>
      </c>
      <c r="H105" s="191">
        <f>H106</f>
        <v>28168.700000000004</v>
      </c>
      <c r="I105" s="192">
        <f t="shared" si="8"/>
        <v>-19903.399999999994</v>
      </c>
    </row>
    <row r="106" spans="1:9" x14ac:dyDescent="0.2">
      <c r="A106" s="189" t="s">
        <v>615</v>
      </c>
      <c r="B106" s="190"/>
      <c r="C106" s="189" t="s">
        <v>498</v>
      </c>
      <c r="D106" s="189" t="s">
        <v>532</v>
      </c>
      <c r="E106" s="189" t="s">
        <v>1239</v>
      </c>
      <c r="F106" s="190" t="s">
        <v>509</v>
      </c>
      <c r="G106" s="191">
        <f>G107</f>
        <v>48072.1</v>
      </c>
      <c r="H106" s="191">
        <f>H107</f>
        <v>28168.700000000004</v>
      </c>
      <c r="I106" s="192">
        <f t="shared" si="8"/>
        <v>-19903.399999999994</v>
      </c>
    </row>
    <row r="107" spans="1:9" x14ac:dyDescent="0.2">
      <c r="A107" s="189" t="s">
        <v>1237</v>
      </c>
      <c r="B107" s="190"/>
      <c r="C107" s="189" t="s">
        <v>498</v>
      </c>
      <c r="D107" s="189" t="s">
        <v>532</v>
      </c>
      <c r="E107" s="189" t="s">
        <v>1239</v>
      </c>
      <c r="F107" s="190" t="s">
        <v>1235</v>
      </c>
      <c r="G107" s="191">
        <f>58470-70-139.9-275-355.9-268.6-605-442-1677.9-68.6-6495</f>
        <v>48072.1</v>
      </c>
      <c r="H107" s="191">
        <f>58470-70-139.9-275-355.9-268.6-605-442-1677.9-68.6-6495-152-584-59.2-65.5-30-870-100-212.1-38-95-26-15000-2671.6</f>
        <v>28168.700000000004</v>
      </c>
      <c r="I107" s="192">
        <f t="shared" si="8"/>
        <v>-19903.399999999994</v>
      </c>
    </row>
    <row r="108" spans="1:9" ht="24" x14ac:dyDescent="0.2">
      <c r="A108" s="189" t="s">
        <v>1238</v>
      </c>
      <c r="B108" s="190"/>
      <c r="C108" s="189" t="s">
        <v>498</v>
      </c>
      <c r="D108" s="189" t="s">
        <v>532</v>
      </c>
      <c r="E108" s="189" t="s">
        <v>1236</v>
      </c>
      <c r="F108" s="190"/>
      <c r="G108" s="191">
        <f>G109</f>
        <v>1000</v>
      </c>
      <c r="H108" s="191">
        <f>H109</f>
        <v>1000</v>
      </c>
      <c r="I108" s="192">
        <f t="shared" si="8"/>
        <v>0</v>
      </c>
    </row>
    <row r="109" spans="1:9" x14ac:dyDescent="0.2">
      <c r="A109" s="189" t="s">
        <v>615</v>
      </c>
      <c r="B109" s="190"/>
      <c r="C109" s="189" t="s">
        <v>498</v>
      </c>
      <c r="D109" s="189" t="s">
        <v>532</v>
      </c>
      <c r="E109" s="189" t="s">
        <v>1236</v>
      </c>
      <c r="F109" s="190" t="s">
        <v>509</v>
      </c>
      <c r="G109" s="191">
        <f>G110</f>
        <v>1000</v>
      </c>
      <c r="H109" s="191">
        <f>H110</f>
        <v>1000</v>
      </c>
      <c r="I109" s="192">
        <f t="shared" si="8"/>
        <v>0</v>
      </c>
    </row>
    <row r="110" spans="1:9" x14ac:dyDescent="0.2">
      <c r="A110" s="189" t="s">
        <v>1237</v>
      </c>
      <c r="B110" s="190"/>
      <c r="C110" s="189" t="s">
        <v>498</v>
      </c>
      <c r="D110" s="189" t="s">
        <v>532</v>
      </c>
      <c r="E110" s="189" t="s">
        <v>1236</v>
      </c>
      <c r="F110" s="190" t="s">
        <v>1235</v>
      </c>
      <c r="G110" s="191">
        <v>1000</v>
      </c>
      <c r="H110" s="191">
        <v>1000</v>
      </c>
      <c r="I110" s="192">
        <f t="shared" si="8"/>
        <v>0</v>
      </c>
    </row>
    <row r="111" spans="1:9" x14ac:dyDescent="0.2">
      <c r="A111" s="189" t="s">
        <v>596</v>
      </c>
      <c r="B111" s="190"/>
      <c r="C111" s="189" t="s">
        <v>498</v>
      </c>
      <c r="D111" s="189" t="s">
        <v>592</v>
      </c>
      <c r="E111" s="189"/>
      <c r="F111" s="190"/>
      <c r="G111" s="191">
        <f>G118+G157+G172+G197+G188+G112</f>
        <v>726801.50000000012</v>
      </c>
      <c r="H111" s="191">
        <f>H118+H157+H172+H197+H188+H112</f>
        <v>735810.70000000007</v>
      </c>
      <c r="I111" s="192">
        <f t="shared" si="8"/>
        <v>9009.1999999999534</v>
      </c>
    </row>
    <row r="112" spans="1:9" s="374" customFormat="1" x14ac:dyDescent="0.2">
      <c r="A112" s="189" t="s">
        <v>666</v>
      </c>
      <c r="B112" s="190"/>
      <c r="C112" s="189" t="s">
        <v>498</v>
      </c>
      <c r="D112" s="189" t="s">
        <v>592</v>
      </c>
      <c r="E112" s="189" t="s">
        <v>665</v>
      </c>
      <c r="F112" s="190"/>
      <c r="G112" s="191">
        <f t="shared" ref="G112:H116" si="11">G113</f>
        <v>4653</v>
      </c>
      <c r="H112" s="191">
        <f t="shared" si="11"/>
        <v>4653</v>
      </c>
      <c r="I112" s="192">
        <f t="shared" si="8"/>
        <v>0</v>
      </c>
    </row>
    <row r="113" spans="1:9" s="374" customFormat="1" x14ac:dyDescent="0.2">
      <c r="A113" s="189" t="s">
        <v>664</v>
      </c>
      <c r="B113" s="190"/>
      <c r="C113" s="189" t="s">
        <v>498</v>
      </c>
      <c r="D113" s="189" t="s">
        <v>592</v>
      </c>
      <c r="E113" s="189" t="s">
        <v>663</v>
      </c>
      <c r="F113" s="190"/>
      <c r="G113" s="191">
        <f t="shared" si="11"/>
        <v>4653</v>
      </c>
      <c r="H113" s="191">
        <f t="shared" si="11"/>
        <v>4653</v>
      </c>
      <c r="I113" s="192">
        <f t="shared" si="8"/>
        <v>0</v>
      </c>
    </row>
    <row r="114" spans="1:9" s="374" customFormat="1" ht="24" x14ac:dyDescent="0.2">
      <c r="A114" s="189" t="s">
        <v>662</v>
      </c>
      <c r="B114" s="190"/>
      <c r="C114" s="189" t="s">
        <v>498</v>
      </c>
      <c r="D114" s="189" t="s">
        <v>592</v>
      </c>
      <c r="E114" s="189" t="s">
        <v>661</v>
      </c>
      <c r="F114" s="190"/>
      <c r="G114" s="191">
        <f t="shared" si="11"/>
        <v>4653</v>
      </c>
      <c r="H114" s="191">
        <f t="shared" si="11"/>
        <v>4653</v>
      </c>
      <c r="I114" s="192">
        <f t="shared" si="8"/>
        <v>0</v>
      </c>
    </row>
    <row r="115" spans="1:9" s="374" customFormat="1" ht="36" x14ac:dyDescent="0.2">
      <c r="A115" s="189" t="s">
        <v>660</v>
      </c>
      <c r="B115" s="190"/>
      <c r="C115" s="189" t="s">
        <v>498</v>
      </c>
      <c r="D115" s="189" t="s">
        <v>592</v>
      </c>
      <c r="E115" s="189" t="s">
        <v>656</v>
      </c>
      <c r="F115" s="190"/>
      <c r="G115" s="191">
        <f t="shared" si="11"/>
        <v>4653</v>
      </c>
      <c r="H115" s="191">
        <f t="shared" si="11"/>
        <v>4653</v>
      </c>
      <c r="I115" s="192">
        <f t="shared" si="8"/>
        <v>0</v>
      </c>
    </row>
    <row r="116" spans="1:9" s="374" customFormat="1" ht="36" x14ac:dyDescent="0.2">
      <c r="A116" s="189" t="s">
        <v>1348</v>
      </c>
      <c r="B116" s="190"/>
      <c r="C116" s="189" t="s">
        <v>498</v>
      </c>
      <c r="D116" s="189" t="s">
        <v>592</v>
      </c>
      <c r="E116" s="189" t="s">
        <v>656</v>
      </c>
      <c r="F116" s="190" t="s">
        <v>556</v>
      </c>
      <c r="G116" s="191">
        <f t="shared" si="11"/>
        <v>4653</v>
      </c>
      <c r="H116" s="191">
        <f t="shared" si="11"/>
        <v>4653</v>
      </c>
      <c r="I116" s="192">
        <f t="shared" si="8"/>
        <v>0</v>
      </c>
    </row>
    <row r="117" spans="1:9" s="374" customFormat="1" x14ac:dyDescent="0.2">
      <c r="A117" s="189" t="s">
        <v>555</v>
      </c>
      <c r="B117" s="190"/>
      <c r="C117" s="189" t="s">
        <v>498</v>
      </c>
      <c r="D117" s="189" t="s">
        <v>592</v>
      </c>
      <c r="E117" s="189" t="s">
        <v>656</v>
      </c>
      <c r="F117" s="190" t="s">
        <v>554</v>
      </c>
      <c r="G117" s="191">
        <f>4653</f>
        <v>4653</v>
      </c>
      <c r="H117" s="191">
        <f>4653</f>
        <v>4653</v>
      </c>
      <c r="I117" s="192">
        <f t="shared" si="8"/>
        <v>0</v>
      </c>
    </row>
    <row r="118" spans="1:9" x14ac:dyDescent="0.2">
      <c r="A118" s="189" t="s">
        <v>604</v>
      </c>
      <c r="B118" s="190"/>
      <c r="C118" s="189" t="s">
        <v>498</v>
      </c>
      <c r="D118" s="189" t="s">
        <v>592</v>
      </c>
      <c r="E118" s="189" t="s">
        <v>603</v>
      </c>
      <c r="F118" s="190"/>
      <c r="G118" s="191">
        <f>G119+G128</f>
        <v>489140.4</v>
      </c>
      <c r="H118" s="191">
        <f>H119+H128</f>
        <v>489140.4</v>
      </c>
      <c r="I118" s="192">
        <f t="shared" si="8"/>
        <v>0</v>
      </c>
    </row>
    <row r="119" spans="1:9" x14ac:dyDescent="0.2">
      <c r="A119" s="189" t="s">
        <v>1042</v>
      </c>
      <c r="B119" s="190"/>
      <c r="C119" s="189" t="s">
        <v>498</v>
      </c>
      <c r="D119" s="189" t="s">
        <v>592</v>
      </c>
      <c r="E119" s="189" t="s">
        <v>1041</v>
      </c>
      <c r="F119" s="190"/>
      <c r="G119" s="191">
        <f>G120+G124</f>
        <v>149305.50000000003</v>
      </c>
      <c r="H119" s="191">
        <f>H120+H124</f>
        <v>149305.50000000003</v>
      </c>
      <c r="I119" s="192">
        <f t="shared" si="8"/>
        <v>0</v>
      </c>
    </row>
    <row r="120" spans="1:9" ht="24" x14ac:dyDescent="0.2">
      <c r="A120" s="189" t="s">
        <v>1040</v>
      </c>
      <c r="B120" s="190"/>
      <c r="C120" s="189" t="s">
        <v>498</v>
      </c>
      <c r="D120" s="189" t="s">
        <v>592</v>
      </c>
      <c r="E120" s="189" t="s">
        <v>1039</v>
      </c>
      <c r="F120" s="190"/>
      <c r="G120" s="191">
        <f t="shared" ref="G120:H122" si="12">G121</f>
        <v>147805.50000000003</v>
      </c>
      <c r="H120" s="191">
        <f t="shared" si="12"/>
        <v>147805.50000000003</v>
      </c>
      <c r="I120" s="192">
        <f t="shared" si="8"/>
        <v>0</v>
      </c>
    </row>
    <row r="121" spans="1:9" ht="24" x14ac:dyDescent="0.2">
      <c r="A121" s="189" t="s">
        <v>1234</v>
      </c>
      <c r="B121" s="190"/>
      <c r="C121" s="189" t="s">
        <v>498</v>
      </c>
      <c r="D121" s="189" t="s">
        <v>592</v>
      </c>
      <c r="E121" s="189" t="s">
        <v>1233</v>
      </c>
      <c r="F121" s="190"/>
      <c r="G121" s="191">
        <f t="shared" si="12"/>
        <v>147805.50000000003</v>
      </c>
      <c r="H121" s="191">
        <f t="shared" si="12"/>
        <v>147805.50000000003</v>
      </c>
      <c r="I121" s="192">
        <f t="shared" si="8"/>
        <v>0</v>
      </c>
    </row>
    <row r="122" spans="1:9" ht="24" x14ac:dyDescent="0.2">
      <c r="A122" s="189" t="s">
        <v>547</v>
      </c>
      <c r="B122" s="190"/>
      <c r="C122" s="189" t="s">
        <v>498</v>
      </c>
      <c r="D122" s="189" t="s">
        <v>592</v>
      </c>
      <c r="E122" s="189" t="s">
        <v>1233</v>
      </c>
      <c r="F122" s="190" t="s">
        <v>519</v>
      </c>
      <c r="G122" s="191">
        <f t="shared" si="12"/>
        <v>147805.50000000003</v>
      </c>
      <c r="H122" s="191">
        <f t="shared" si="12"/>
        <v>147805.50000000003</v>
      </c>
      <c r="I122" s="192">
        <f t="shared" si="8"/>
        <v>0</v>
      </c>
    </row>
    <row r="123" spans="1:9" x14ac:dyDescent="0.2">
      <c r="A123" s="189" t="s">
        <v>571</v>
      </c>
      <c r="B123" s="190"/>
      <c r="C123" s="189" t="s">
        <v>498</v>
      </c>
      <c r="D123" s="189" t="s">
        <v>592</v>
      </c>
      <c r="E123" s="189" t="s">
        <v>1233</v>
      </c>
      <c r="F123" s="190" t="s">
        <v>522</v>
      </c>
      <c r="G123" s="191">
        <f>193520.7-29507.8-16207.4</f>
        <v>147805.50000000003</v>
      </c>
      <c r="H123" s="191">
        <f>193520.7-29507.8-16207.4</f>
        <v>147805.50000000003</v>
      </c>
      <c r="I123" s="192">
        <f t="shared" si="8"/>
        <v>0</v>
      </c>
    </row>
    <row r="124" spans="1:9" ht="24" x14ac:dyDescent="0.2">
      <c r="A124" s="189" t="s">
        <v>600</v>
      </c>
      <c r="B124" s="190"/>
      <c r="C124" s="189" t="s">
        <v>498</v>
      </c>
      <c r="D124" s="189" t="s">
        <v>592</v>
      </c>
      <c r="E124" s="189" t="s">
        <v>1232</v>
      </c>
      <c r="F124" s="190"/>
      <c r="G124" s="191">
        <f t="shared" ref="G124:H126" si="13">G125</f>
        <v>1500</v>
      </c>
      <c r="H124" s="191">
        <f t="shared" si="13"/>
        <v>1500</v>
      </c>
      <c r="I124" s="192">
        <f t="shared" si="8"/>
        <v>0</v>
      </c>
    </row>
    <row r="125" spans="1:9" x14ac:dyDescent="0.2">
      <c r="A125" s="189" t="s">
        <v>1231</v>
      </c>
      <c r="B125" s="190"/>
      <c r="C125" s="189" t="s">
        <v>498</v>
      </c>
      <c r="D125" s="189" t="s">
        <v>592</v>
      </c>
      <c r="E125" s="189" t="s">
        <v>1230</v>
      </c>
      <c r="F125" s="190"/>
      <c r="G125" s="191">
        <f t="shared" si="13"/>
        <v>1500</v>
      </c>
      <c r="H125" s="191">
        <f t="shared" si="13"/>
        <v>1500</v>
      </c>
      <c r="I125" s="192">
        <f t="shared" si="8"/>
        <v>0</v>
      </c>
    </row>
    <row r="126" spans="1:9" x14ac:dyDescent="0.2">
      <c r="A126" s="189" t="s">
        <v>1347</v>
      </c>
      <c r="B126" s="190"/>
      <c r="C126" s="189" t="s">
        <v>498</v>
      </c>
      <c r="D126" s="189" t="s">
        <v>592</v>
      </c>
      <c r="E126" s="189" t="s">
        <v>1230</v>
      </c>
      <c r="F126" s="190" t="s">
        <v>535</v>
      </c>
      <c r="G126" s="191">
        <f t="shared" si="13"/>
        <v>1500</v>
      </c>
      <c r="H126" s="191">
        <f t="shared" si="13"/>
        <v>1500</v>
      </c>
      <c r="I126" s="192">
        <f t="shared" si="8"/>
        <v>0</v>
      </c>
    </row>
    <row r="127" spans="1:9" ht="24" x14ac:dyDescent="0.2">
      <c r="A127" s="189" t="s">
        <v>534</v>
      </c>
      <c r="B127" s="190"/>
      <c r="C127" s="189" t="s">
        <v>498</v>
      </c>
      <c r="D127" s="189" t="s">
        <v>592</v>
      </c>
      <c r="E127" s="189" t="s">
        <v>1230</v>
      </c>
      <c r="F127" s="190" t="s">
        <v>529</v>
      </c>
      <c r="G127" s="191">
        <f>2000-250-250</f>
        <v>1500</v>
      </c>
      <c r="H127" s="191">
        <f>2000-250-250</f>
        <v>1500</v>
      </c>
      <c r="I127" s="192">
        <f t="shared" si="8"/>
        <v>0</v>
      </c>
    </row>
    <row r="128" spans="1:9" x14ac:dyDescent="0.2">
      <c r="A128" s="189" t="s">
        <v>602</v>
      </c>
      <c r="B128" s="190"/>
      <c r="C128" s="189" t="s">
        <v>498</v>
      </c>
      <c r="D128" s="189" t="s">
        <v>592</v>
      </c>
      <c r="E128" s="189" t="s">
        <v>601</v>
      </c>
      <c r="F128" s="190"/>
      <c r="G128" s="191">
        <f>G129</f>
        <v>339834.9</v>
      </c>
      <c r="H128" s="191">
        <f>H129</f>
        <v>339834.9</v>
      </c>
      <c r="I128" s="192">
        <f t="shared" si="8"/>
        <v>0</v>
      </c>
    </row>
    <row r="129" spans="1:9" ht="24" x14ac:dyDescent="0.2">
      <c r="A129" s="189" t="s">
        <v>600</v>
      </c>
      <c r="B129" s="190"/>
      <c r="C129" s="189" t="s">
        <v>498</v>
      </c>
      <c r="D129" s="189" t="s">
        <v>592</v>
      </c>
      <c r="E129" s="189" t="s">
        <v>599</v>
      </c>
      <c r="F129" s="190"/>
      <c r="G129" s="191">
        <f>G130+G133+G143+G152+G136</f>
        <v>339834.9</v>
      </c>
      <c r="H129" s="191">
        <f>H130+H133+H143+H152+H136</f>
        <v>339834.9</v>
      </c>
      <c r="I129" s="192">
        <f t="shared" si="8"/>
        <v>0</v>
      </c>
    </row>
    <row r="130" spans="1:9" x14ac:dyDescent="0.2">
      <c r="A130" s="189" t="s">
        <v>598</v>
      </c>
      <c r="B130" s="190"/>
      <c r="C130" s="189" t="s">
        <v>498</v>
      </c>
      <c r="D130" s="189" t="s">
        <v>592</v>
      </c>
      <c r="E130" s="189" t="s">
        <v>597</v>
      </c>
      <c r="F130" s="190"/>
      <c r="G130" s="191">
        <f>G131</f>
        <v>11189.3</v>
      </c>
      <c r="H130" s="191">
        <f>H131</f>
        <v>11189.3</v>
      </c>
      <c r="I130" s="192">
        <f t="shared" si="8"/>
        <v>0</v>
      </c>
    </row>
    <row r="131" spans="1:9" x14ac:dyDescent="0.2">
      <c r="A131" s="189" t="s">
        <v>1347</v>
      </c>
      <c r="B131" s="190"/>
      <c r="C131" s="189" t="s">
        <v>498</v>
      </c>
      <c r="D131" s="189" t="s">
        <v>592</v>
      </c>
      <c r="E131" s="189" t="s">
        <v>597</v>
      </c>
      <c r="F131" s="190" t="s">
        <v>535</v>
      </c>
      <c r="G131" s="191">
        <f>G132</f>
        <v>11189.3</v>
      </c>
      <c r="H131" s="191">
        <f>H132</f>
        <v>11189.3</v>
      </c>
      <c r="I131" s="192">
        <f t="shared" si="8"/>
        <v>0</v>
      </c>
    </row>
    <row r="132" spans="1:9" ht="24" x14ac:dyDescent="0.2">
      <c r="A132" s="189" t="s">
        <v>534</v>
      </c>
      <c r="B132" s="190"/>
      <c r="C132" s="189" t="s">
        <v>498</v>
      </c>
      <c r="D132" s="189" t="s">
        <v>592</v>
      </c>
      <c r="E132" s="189" t="s">
        <v>597</v>
      </c>
      <c r="F132" s="190" t="s">
        <v>529</v>
      </c>
      <c r="G132" s="191">
        <f>96.1+6509.9+4583.3</f>
        <v>11189.3</v>
      </c>
      <c r="H132" s="191">
        <f>96.1+6509.9+4583.3</f>
        <v>11189.3</v>
      </c>
      <c r="I132" s="192">
        <f t="shared" si="8"/>
        <v>0</v>
      </c>
    </row>
    <row r="133" spans="1:9" x14ac:dyDescent="0.2">
      <c r="A133" s="189" t="s">
        <v>1229</v>
      </c>
      <c r="B133" s="190"/>
      <c r="C133" s="189" t="s">
        <v>498</v>
      </c>
      <c r="D133" s="189" t="s">
        <v>592</v>
      </c>
      <c r="E133" s="189" t="s">
        <v>1228</v>
      </c>
      <c r="F133" s="190"/>
      <c r="G133" s="191">
        <f>G134</f>
        <v>954.8</v>
      </c>
      <c r="H133" s="191">
        <f>H134</f>
        <v>954.8</v>
      </c>
      <c r="I133" s="192">
        <f t="shared" si="8"/>
        <v>0</v>
      </c>
    </row>
    <row r="134" spans="1:9" x14ac:dyDescent="0.2">
      <c r="A134" s="189" t="s">
        <v>615</v>
      </c>
      <c r="B134" s="190"/>
      <c r="C134" s="189" t="s">
        <v>498</v>
      </c>
      <c r="D134" s="189" t="s">
        <v>592</v>
      </c>
      <c r="E134" s="189" t="s">
        <v>1228</v>
      </c>
      <c r="F134" s="190" t="s">
        <v>509</v>
      </c>
      <c r="G134" s="191">
        <f>G135</f>
        <v>954.8</v>
      </c>
      <c r="H134" s="191">
        <f>H135</f>
        <v>954.8</v>
      </c>
      <c r="I134" s="192">
        <f t="shared" si="8"/>
        <v>0</v>
      </c>
    </row>
    <row r="135" spans="1:9" x14ac:dyDescent="0.2">
      <c r="A135" s="189" t="s">
        <v>752</v>
      </c>
      <c r="B135" s="190"/>
      <c r="C135" s="189" t="s">
        <v>498</v>
      </c>
      <c r="D135" s="189" t="s">
        <v>592</v>
      </c>
      <c r="E135" s="189" t="s">
        <v>1228</v>
      </c>
      <c r="F135" s="190" t="s">
        <v>750</v>
      </c>
      <c r="G135" s="191">
        <f>948+6.8</f>
        <v>954.8</v>
      </c>
      <c r="H135" s="191">
        <f>948+6.8</f>
        <v>954.8</v>
      </c>
      <c r="I135" s="192">
        <f t="shared" si="8"/>
        <v>0</v>
      </c>
    </row>
    <row r="136" spans="1:9" s="374" customFormat="1" ht="24" x14ac:dyDescent="0.2">
      <c r="A136" s="189" t="s">
        <v>761</v>
      </c>
      <c r="B136" s="190"/>
      <c r="C136" s="189" t="s">
        <v>498</v>
      </c>
      <c r="D136" s="189" t="s">
        <v>592</v>
      </c>
      <c r="E136" s="189" t="s">
        <v>759</v>
      </c>
      <c r="F136" s="190"/>
      <c r="G136" s="191">
        <f>G137+G139+G141</f>
        <v>128099.90000000001</v>
      </c>
      <c r="H136" s="191">
        <f>H137+H139+H141</f>
        <v>128099.90000000001</v>
      </c>
      <c r="I136" s="192">
        <f t="shared" ref="I136:I142" si="14">H136-G136</f>
        <v>0</v>
      </c>
    </row>
    <row r="137" spans="1:9" s="374" customFormat="1" ht="36" x14ac:dyDescent="0.2">
      <c r="A137" s="189" t="s">
        <v>1348</v>
      </c>
      <c r="B137" s="190"/>
      <c r="C137" s="189" t="s">
        <v>498</v>
      </c>
      <c r="D137" s="189" t="s">
        <v>592</v>
      </c>
      <c r="E137" s="189" t="s">
        <v>759</v>
      </c>
      <c r="F137" s="190" t="s">
        <v>556</v>
      </c>
      <c r="G137" s="191">
        <f>G138</f>
        <v>121404.6</v>
      </c>
      <c r="H137" s="191">
        <f>H138</f>
        <v>121404.6</v>
      </c>
      <c r="I137" s="192">
        <f t="shared" si="14"/>
        <v>0</v>
      </c>
    </row>
    <row r="138" spans="1:9" s="374" customFormat="1" x14ac:dyDescent="0.2">
      <c r="A138" s="189" t="s">
        <v>555</v>
      </c>
      <c r="B138" s="190"/>
      <c r="C138" s="189" t="s">
        <v>498</v>
      </c>
      <c r="D138" s="189" t="s">
        <v>592</v>
      </c>
      <c r="E138" s="189" t="s">
        <v>759</v>
      </c>
      <c r="F138" s="190" t="s">
        <v>554</v>
      </c>
      <c r="G138" s="191">
        <f>173336-38185.9-13745.5</f>
        <v>121404.6</v>
      </c>
      <c r="H138" s="191">
        <f>173336-38185.9-13745.5</f>
        <v>121404.6</v>
      </c>
      <c r="I138" s="192">
        <f t="shared" si="14"/>
        <v>0</v>
      </c>
    </row>
    <row r="139" spans="1:9" s="374" customFormat="1" x14ac:dyDescent="0.2">
      <c r="A139" s="189" t="s">
        <v>1347</v>
      </c>
      <c r="B139" s="190"/>
      <c r="C139" s="189" t="s">
        <v>498</v>
      </c>
      <c r="D139" s="189" t="s">
        <v>592</v>
      </c>
      <c r="E139" s="189" t="s">
        <v>759</v>
      </c>
      <c r="F139" s="190" t="s">
        <v>535</v>
      </c>
      <c r="G139" s="191">
        <f>G140</f>
        <v>6658.3</v>
      </c>
      <c r="H139" s="191">
        <f>H140</f>
        <v>6658.3</v>
      </c>
      <c r="I139" s="192">
        <f t="shared" si="14"/>
        <v>0</v>
      </c>
    </row>
    <row r="140" spans="1:9" s="374" customFormat="1" ht="24" x14ac:dyDescent="0.2">
      <c r="A140" s="189" t="s">
        <v>534</v>
      </c>
      <c r="B140" s="190"/>
      <c r="C140" s="189" t="s">
        <v>498</v>
      </c>
      <c r="D140" s="189" t="s">
        <v>592</v>
      </c>
      <c r="E140" s="189" t="s">
        <v>759</v>
      </c>
      <c r="F140" s="190" t="s">
        <v>529</v>
      </c>
      <c r="G140" s="191">
        <f>7658.3-1000</f>
        <v>6658.3</v>
      </c>
      <c r="H140" s="191">
        <f>7658.3-1000</f>
        <v>6658.3</v>
      </c>
      <c r="I140" s="192">
        <f t="shared" si="14"/>
        <v>0</v>
      </c>
    </row>
    <row r="141" spans="1:9" s="374" customFormat="1" x14ac:dyDescent="0.2">
      <c r="A141" s="189" t="s">
        <v>615</v>
      </c>
      <c r="B141" s="190"/>
      <c r="C141" s="189" t="s">
        <v>498</v>
      </c>
      <c r="D141" s="189" t="s">
        <v>592</v>
      </c>
      <c r="E141" s="189" t="s">
        <v>759</v>
      </c>
      <c r="F141" s="190" t="s">
        <v>509</v>
      </c>
      <c r="G141" s="191">
        <f>G142</f>
        <v>37</v>
      </c>
      <c r="H141" s="191">
        <f>H142</f>
        <v>37</v>
      </c>
      <c r="I141" s="192">
        <f t="shared" si="14"/>
        <v>0</v>
      </c>
    </row>
    <row r="142" spans="1:9" s="374" customFormat="1" x14ac:dyDescent="0.2">
      <c r="A142" s="189" t="s">
        <v>614</v>
      </c>
      <c r="B142" s="190"/>
      <c r="C142" s="189" t="s">
        <v>498</v>
      </c>
      <c r="D142" s="189" t="s">
        <v>592</v>
      </c>
      <c r="E142" s="189" t="s">
        <v>759</v>
      </c>
      <c r="F142" s="190" t="s">
        <v>613</v>
      </c>
      <c r="G142" s="191">
        <v>37</v>
      </c>
      <c r="H142" s="191">
        <v>37</v>
      </c>
      <c r="I142" s="192">
        <f t="shared" si="14"/>
        <v>0</v>
      </c>
    </row>
    <row r="143" spans="1:9" ht="24" x14ac:dyDescent="0.2">
      <c r="A143" s="189" t="s">
        <v>1227</v>
      </c>
      <c r="B143" s="190"/>
      <c r="C143" s="189" t="s">
        <v>498</v>
      </c>
      <c r="D143" s="189" t="s">
        <v>592</v>
      </c>
      <c r="E143" s="189" t="s">
        <v>1226</v>
      </c>
      <c r="F143" s="190"/>
      <c r="G143" s="191">
        <f>G144+G146+G150+G148</f>
        <v>176890.59999999998</v>
      </c>
      <c r="H143" s="191">
        <f>H144+H146+H150+H148</f>
        <v>176890.59999999998</v>
      </c>
      <c r="I143" s="192">
        <f t="shared" si="8"/>
        <v>0</v>
      </c>
    </row>
    <row r="144" spans="1:9" ht="36" x14ac:dyDescent="0.2">
      <c r="A144" s="189" t="s">
        <v>1348</v>
      </c>
      <c r="B144" s="190"/>
      <c r="C144" s="189" t="s">
        <v>498</v>
      </c>
      <c r="D144" s="189" t="s">
        <v>592</v>
      </c>
      <c r="E144" s="189" t="s">
        <v>1226</v>
      </c>
      <c r="F144" s="190" t="s">
        <v>556</v>
      </c>
      <c r="G144" s="191">
        <f>G145</f>
        <v>155558</v>
      </c>
      <c r="H144" s="191">
        <f>H145</f>
        <v>155558</v>
      </c>
      <c r="I144" s="192">
        <f t="shared" si="8"/>
        <v>0</v>
      </c>
    </row>
    <row r="145" spans="1:9" x14ac:dyDescent="0.2">
      <c r="A145" s="189" t="s">
        <v>555</v>
      </c>
      <c r="B145" s="190"/>
      <c r="C145" s="189" t="s">
        <v>498</v>
      </c>
      <c r="D145" s="189" t="s">
        <v>592</v>
      </c>
      <c r="E145" s="189" t="s">
        <v>1226</v>
      </c>
      <c r="F145" s="190" t="s">
        <v>554</v>
      </c>
      <c r="G145" s="191">
        <f>215339.5-60-698.9-211.1-43171.4-15640.1</f>
        <v>155558</v>
      </c>
      <c r="H145" s="191">
        <f>215339.5-60-698.9-211.1-43171.4-15640.1</f>
        <v>155558</v>
      </c>
      <c r="I145" s="192">
        <f t="shared" si="8"/>
        <v>0</v>
      </c>
    </row>
    <row r="146" spans="1:9" x14ac:dyDescent="0.2">
      <c r="A146" s="189" t="s">
        <v>1347</v>
      </c>
      <c r="B146" s="190"/>
      <c r="C146" s="189" t="s">
        <v>498</v>
      </c>
      <c r="D146" s="189" t="s">
        <v>592</v>
      </c>
      <c r="E146" s="189" t="s">
        <v>1226</v>
      </c>
      <c r="F146" s="190" t="s">
        <v>535</v>
      </c>
      <c r="G146" s="191">
        <f>G147</f>
        <v>19859.3</v>
      </c>
      <c r="H146" s="191">
        <f>H147</f>
        <v>19859.3</v>
      </c>
      <c r="I146" s="192">
        <f t="shared" si="8"/>
        <v>0</v>
      </c>
    </row>
    <row r="147" spans="1:9" ht="24" x14ac:dyDescent="0.2">
      <c r="A147" s="189" t="s">
        <v>534</v>
      </c>
      <c r="B147" s="190"/>
      <c r="C147" s="189" t="s">
        <v>498</v>
      </c>
      <c r="D147" s="189" t="s">
        <v>592</v>
      </c>
      <c r="E147" s="189" t="s">
        <v>1226</v>
      </c>
      <c r="F147" s="190" t="s">
        <v>529</v>
      </c>
      <c r="G147" s="191">
        <f>19859.3+1500-1500</f>
        <v>19859.3</v>
      </c>
      <c r="H147" s="191">
        <f>19859.3+1500-1500</f>
        <v>19859.3</v>
      </c>
      <c r="I147" s="192">
        <f t="shared" si="8"/>
        <v>0</v>
      </c>
    </row>
    <row r="148" spans="1:9" s="230" customFormat="1" x14ac:dyDescent="0.2">
      <c r="A148" s="189" t="s">
        <v>553</v>
      </c>
      <c r="B148" s="190"/>
      <c r="C148" s="189" t="s">
        <v>498</v>
      </c>
      <c r="D148" s="189" t="s">
        <v>592</v>
      </c>
      <c r="E148" s="189" t="s">
        <v>1226</v>
      </c>
      <c r="F148" s="190">
        <v>300</v>
      </c>
      <c r="G148" s="191">
        <f>G149</f>
        <v>970</v>
      </c>
      <c r="H148" s="191">
        <f>H149</f>
        <v>970</v>
      </c>
      <c r="I148" s="192">
        <f t="shared" si="8"/>
        <v>0</v>
      </c>
    </row>
    <row r="149" spans="1:9" s="230" customFormat="1" x14ac:dyDescent="0.2">
      <c r="A149" s="189" t="s">
        <v>832</v>
      </c>
      <c r="B149" s="190"/>
      <c r="C149" s="189" t="s">
        <v>498</v>
      </c>
      <c r="D149" s="189" t="s">
        <v>592</v>
      </c>
      <c r="E149" s="189" t="s">
        <v>1226</v>
      </c>
      <c r="F149" s="190">
        <v>320</v>
      </c>
      <c r="G149" s="191">
        <f>60+910</f>
        <v>970</v>
      </c>
      <c r="H149" s="191">
        <f>60+910</f>
        <v>970</v>
      </c>
      <c r="I149" s="192">
        <f t="shared" si="8"/>
        <v>0</v>
      </c>
    </row>
    <row r="150" spans="1:9" x14ac:dyDescent="0.2">
      <c r="A150" s="189" t="s">
        <v>615</v>
      </c>
      <c r="B150" s="190"/>
      <c r="C150" s="189" t="s">
        <v>498</v>
      </c>
      <c r="D150" s="189" t="s">
        <v>592</v>
      </c>
      <c r="E150" s="189" t="s">
        <v>1226</v>
      </c>
      <c r="F150" s="190" t="s">
        <v>509</v>
      </c>
      <c r="G150" s="191">
        <f>G151</f>
        <v>503.3</v>
      </c>
      <c r="H150" s="191">
        <f>H151</f>
        <v>503.3</v>
      </c>
      <c r="I150" s="192">
        <f t="shared" si="8"/>
        <v>0</v>
      </c>
    </row>
    <row r="151" spans="1:9" x14ac:dyDescent="0.2">
      <c r="A151" s="189" t="s">
        <v>614</v>
      </c>
      <c r="B151" s="190"/>
      <c r="C151" s="189" t="s">
        <v>498</v>
      </c>
      <c r="D151" s="189" t="s">
        <v>592</v>
      </c>
      <c r="E151" s="189" t="s">
        <v>1226</v>
      </c>
      <c r="F151" s="190" t="s">
        <v>613</v>
      </c>
      <c r="G151" s="191">
        <v>503.3</v>
      </c>
      <c r="H151" s="191">
        <v>503.3</v>
      </c>
      <c r="I151" s="192">
        <f t="shared" si="8"/>
        <v>0</v>
      </c>
    </row>
    <row r="152" spans="1:9" ht="36" x14ac:dyDescent="0.2">
      <c r="A152" s="189" t="s">
        <v>1225</v>
      </c>
      <c r="B152" s="190"/>
      <c r="C152" s="189" t="s">
        <v>498</v>
      </c>
      <c r="D152" s="189" t="s">
        <v>592</v>
      </c>
      <c r="E152" s="189" t="s">
        <v>1224</v>
      </c>
      <c r="F152" s="190"/>
      <c r="G152" s="191">
        <f>G153+G155</f>
        <v>22700.300000000003</v>
      </c>
      <c r="H152" s="191">
        <f>H153+H155</f>
        <v>22700.300000000003</v>
      </c>
      <c r="I152" s="192">
        <f t="shared" si="8"/>
        <v>0</v>
      </c>
    </row>
    <row r="153" spans="1:9" ht="36" x14ac:dyDescent="0.2">
      <c r="A153" s="189" t="s">
        <v>1348</v>
      </c>
      <c r="B153" s="190"/>
      <c r="C153" s="189" t="s">
        <v>498</v>
      </c>
      <c r="D153" s="189" t="s">
        <v>592</v>
      </c>
      <c r="E153" s="189" t="s">
        <v>1224</v>
      </c>
      <c r="F153" s="190" t="s">
        <v>556</v>
      </c>
      <c r="G153" s="191">
        <f>G154</f>
        <v>20981.100000000002</v>
      </c>
      <c r="H153" s="191">
        <f>H154</f>
        <v>20981.100000000002</v>
      </c>
      <c r="I153" s="192">
        <f t="shared" si="8"/>
        <v>0</v>
      </c>
    </row>
    <row r="154" spans="1:9" x14ac:dyDescent="0.2">
      <c r="A154" s="189" t="s">
        <v>555</v>
      </c>
      <c r="B154" s="190"/>
      <c r="C154" s="189" t="s">
        <v>498</v>
      </c>
      <c r="D154" s="189" t="s">
        <v>592</v>
      </c>
      <c r="E154" s="189" t="s">
        <v>1224</v>
      </c>
      <c r="F154" s="190" t="s">
        <v>554</v>
      </c>
      <c r="G154" s="191">
        <f>26990.5-4882.1-1127.3</f>
        <v>20981.100000000002</v>
      </c>
      <c r="H154" s="191">
        <f>26990.5-4882.1-1127.3</f>
        <v>20981.100000000002</v>
      </c>
      <c r="I154" s="192">
        <f t="shared" si="8"/>
        <v>0</v>
      </c>
    </row>
    <row r="155" spans="1:9" x14ac:dyDescent="0.2">
      <c r="A155" s="189" t="s">
        <v>1347</v>
      </c>
      <c r="B155" s="190"/>
      <c r="C155" s="189" t="s">
        <v>498</v>
      </c>
      <c r="D155" s="189" t="s">
        <v>592</v>
      </c>
      <c r="E155" s="189" t="s">
        <v>1224</v>
      </c>
      <c r="F155" s="190" t="s">
        <v>535</v>
      </c>
      <c r="G155" s="191">
        <f>G156</f>
        <v>1719.2</v>
      </c>
      <c r="H155" s="191">
        <f>H156</f>
        <v>1719.2</v>
      </c>
      <c r="I155" s="192">
        <f t="shared" si="8"/>
        <v>0</v>
      </c>
    </row>
    <row r="156" spans="1:9" ht="24" x14ac:dyDescent="0.2">
      <c r="A156" s="189" t="s">
        <v>534</v>
      </c>
      <c r="B156" s="190"/>
      <c r="C156" s="189" t="s">
        <v>498</v>
      </c>
      <c r="D156" s="189" t="s">
        <v>592</v>
      </c>
      <c r="E156" s="189" t="s">
        <v>1224</v>
      </c>
      <c r="F156" s="190" t="s">
        <v>529</v>
      </c>
      <c r="G156" s="191">
        <f>1854.2-135</f>
        <v>1719.2</v>
      </c>
      <c r="H156" s="191">
        <f>1854.2-135</f>
        <v>1719.2</v>
      </c>
      <c r="I156" s="192">
        <f t="shared" si="8"/>
        <v>0</v>
      </c>
    </row>
    <row r="157" spans="1:9" ht="24" x14ac:dyDescent="0.2">
      <c r="A157" s="189" t="s">
        <v>588</v>
      </c>
      <c r="B157" s="190"/>
      <c r="C157" s="189" t="s">
        <v>498</v>
      </c>
      <c r="D157" s="189" t="s">
        <v>592</v>
      </c>
      <c r="E157" s="189" t="s">
        <v>587</v>
      </c>
      <c r="F157" s="190"/>
      <c r="G157" s="191">
        <f>G158+G163</f>
        <v>1976</v>
      </c>
      <c r="H157" s="191">
        <f>H158+H163</f>
        <v>1976</v>
      </c>
      <c r="I157" s="192">
        <f t="shared" si="8"/>
        <v>0</v>
      </c>
    </row>
    <row r="158" spans="1:9" ht="36" x14ac:dyDescent="0.2">
      <c r="A158" s="189" t="s">
        <v>807</v>
      </c>
      <c r="B158" s="190"/>
      <c r="C158" s="189" t="s">
        <v>498</v>
      </c>
      <c r="D158" s="189" t="s">
        <v>592</v>
      </c>
      <c r="E158" s="189" t="s">
        <v>806</v>
      </c>
      <c r="F158" s="190"/>
      <c r="G158" s="191">
        <f t="shared" ref="G158:H161" si="15">G159</f>
        <v>250</v>
      </c>
      <c r="H158" s="191">
        <f t="shared" si="15"/>
        <v>250</v>
      </c>
      <c r="I158" s="192">
        <f t="shared" si="8"/>
        <v>0</v>
      </c>
    </row>
    <row r="159" spans="1:9" ht="24" x14ac:dyDescent="0.2">
      <c r="A159" s="189" t="s">
        <v>799</v>
      </c>
      <c r="B159" s="190"/>
      <c r="C159" s="189" t="s">
        <v>498</v>
      </c>
      <c r="D159" s="189" t="s">
        <v>592</v>
      </c>
      <c r="E159" s="189" t="s">
        <v>798</v>
      </c>
      <c r="F159" s="190"/>
      <c r="G159" s="191">
        <f t="shared" si="15"/>
        <v>250</v>
      </c>
      <c r="H159" s="191">
        <f t="shared" si="15"/>
        <v>250</v>
      </c>
      <c r="I159" s="192">
        <f t="shared" si="8"/>
        <v>0</v>
      </c>
    </row>
    <row r="160" spans="1:9" ht="36" x14ac:dyDescent="0.2">
      <c r="A160" s="189" t="s">
        <v>797</v>
      </c>
      <c r="B160" s="190"/>
      <c r="C160" s="189" t="s">
        <v>498</v>
      </c>
      <c r="D160" s="189" t="s">
        <v>592</v>
      </c>
      <c r="E160" s="189" t="s">
        <v>796</v>
      </c>
      <c r="F160" s="190"/>
      <c r="G160" s="191">
        <f t="shared" si="15"/>
        <v>250</v>
      </c>
      <c r="H160" s="191">
        <f t="shared" si="15"/>
        <v>250</v>
      </c>
      <c r="I160" s="192">
        <f t="shared" si="8"/>
        <v>0</v>
      </c>
    </row>
    <row r="161" spans="1:9" x14ac:dyDescent="0.2">
      <c r="A161" s="189" t="s">
        <v>1347</v>
      </c>
      <c r="B161" s="190"/>
      <c r="C161" s="189" t="s">
        <v>498</v>
      </c>
      <c r="D161" s="189" t="s">
        <v>592</v>
      </c>
      <c r="E161" s="189" t="s">
        <v>796</v>
      </c>
      <c r="F161" s="190" t="s">
        <v>535</v>
      </c>
      <c r="G161" s="191">
        <f t="shared" si="15"/>
        <v>250</v>
      </c>
      <c r="H161" s="191">
        <f t="shared" si="15"/>
        <v>250</v>
      </c>
      <c r="I161" s="192">
        <f t="shared" si="8"/>
        <v>0</v>
      </c>
    </row>
    <row r="162" spans="1:9" ht="24" x14ac:dyDescent="0.2">
      <c r="A162" s="189" t="s">
        <v>534</v>
      </c>
      <c r="B162" s="190"/>
      <c r="C162" s="189" t="s">
        <v>498</v>
      </c>
      <c r="D162" s="189" t="s">
        <v>592</v>
      </c>
      <c r="E162" s="189" t="s">
        <v>796</v>
      </c>
      <c r="F162" s="190" t="s">
        <v>529</v>
      </c>
      <c r="G162" s="191">
        <v>250</v>
      </c>
      <c r="H162" s="191">
        <v>250</v>
      </c>
      <c r="I162" s="192">
        <f t="shared" si="8"/>
        <v>0</v>
      </c>
    </row>
    <row r="163" spans="1:9" x14ac:dyDescent="0.2">
      <c r="A163" s="189" t="s">
        <v>602</v>
      </c>
      <c r="B163" s="190"/>
      <c r="C163" s="189" t="s">
        <v>498</v>
      </c>
      <c r="D163" s="189" t="s">
        <v>592</v>
      </c>
      <c r="E163" s="189" t="s">
        <v>1211</v>
      </c>
      <c r="F163" s="190"/>
      <c r="G163" s="191">
        <f>G168+G164</f>
        <v>1726</v>
      </c>
      <c r="H163" s="191">
        <f>H168+H164</f>
        <v>1726</v>
      </c>
      <c r="I163" s="192">
        <f t="shared" si="8"/>
        <v>0</v>
      </c>
    </row>
    <row r="164" spans="1:9" s="284" customFormat="1" ht="24" x14ac:dyDescent="0.2">
      <c r="A164" s="189" t="s">
        <v>1210</v>
      </c>
      <c r="B164" s="190"/>
      <c r="C164" s="189" t="s">
        <v>498</v>
      </c>
      <c r="D164" s="189" t="s">
        <v>592</v>
      </c>
      <c r="E164" s="189" t="s">
        <v>1209</v>
      </c>
      <c r="F164" s="190"/>
      <c r="G164" s="191">
        <f t="shared" ref="G164:H166" si="16">G165</f>
        <v>6</v>
      </c>
      <c r="H164" s="191">
        <f t="shared" si="16"/>
        <v>6</v>
      </c>
      <c r="I164" s="192">
        <f t="shared" si="8"/>
        <v>0</v>
      </c>
    </row>
    <row r="165" spans="1:9" s="284" customFormat="1" ht="24" x14ac:dyDescent="0.2">
      <c r="A165" s="189" t="s">
        <v>1208</v>
      </c>
      <c r="B165" s="190"/>
      <c r="C165" s="189" t="s">
        <v>498</v>
      </c>
      <c r="D165" s="189" t="s">
        <v>592</v>
      </c>
      <c r="E165" s="189" t="s">
        <v>1207</v>
      </c>
      <c r="F165" s="190"/>
      <c r="G165" s="191">
        <f t="shared" si="16"/>
        <v>6</v>
      </c>
      <c r="H165" s="191">
        <f t="shared" si="16"/>
        <v>6</v>
      </c>
      <c r="I165" s="192">
        <f t="shared" si="8"/>
        <v>0</v>
      </c>
    </row>
    <row r="166" spans="1:9" s="284" customFormat="1" x14ac:dyDescent="0.2">
      <c r="A166" s="189" t="s">
        <v>1347</v>
      </c>
      <c r="B166" s="190"/>
      <c r="C166" s="189" t="s">
        <v>498</v>
      </c>
      <c r="D166" s="189" t="s">
        <v>592</v>
      </c>
      <c r="E166" s="189" t="s">
        <v>1207</v>
      </c>
      <c r="F166" s="190" t="s">
        <v>535</v>
      </c>
      <c r="G166" s="191">
        <f t="shared" si="16"/>
        <v>6</v>
      </c>
      <c r="H166" s="191">
        <f t="shared" si="16"/>
        <v>6</v>
      </c>
      <c r="I166" s="192">
        <f t="shared" si="8"/>
        <v>0</v>
      </c>
    </row>
    <row r="167" spans="1:9" s="284" customFormat="1" ht="24" x14ac:dyDescent="0.2">
      <c r="A167" s="189" t="s">
        <v>534</v>
      </c>
      <c r="B167" s="190"/>
      <c r="C167" s="189" t="s">
        <v>498</v>
      </c>
      <c r="D167" s="189" t="s">
        <v>592</v>
      </c>
      <c r="E167" s="189" t="s">
        <v>1207</v>
      </c>
      <c r="F167" s="190" t="s">
        <v>529</v>
      </c>
      <c r="G167" s="191">
        <v>6</v>
      </c>
      <c r="H167" s="191">
        <v>6</v>
      </c>
      <c r="I167" s="192">
        <f t="shared" si="8"/>
        <v>0</v>
      </c>
    </row>
    <row r="168" spans="1:9" x14ac:dyDescent="0.2">
      <c r="A168" s="189" t="s">
        <v>1223</v>
      </c>
      <c r="B168" s="190"/>
      <c r="C168" s="189" t="s">
        <v>498</v>
      </c>
      <c r="D168" s="189" t="s">
        <v>592</v>
      </c>
      <c r="E168" s="189" t="s">
        <v>1222</v>
      </c>
      <c r="F168" s="190"/>
      <c r="G168" s="191">
        <f t="shared" ref="G168:H170" si="17">G169</f>
        <v>1720</v>
      </c>
      <c r="H168" s="191">
        <f t="shared" si="17"/>
        <v>1720</v>
      </c>
      <c r="I168" s="192">
        <f t="shared" si="8"/>
        <v>0</v>
      </c>
    </row>
    <row r="169" spans="1:9" x14ac:dyDescent="0.2">
      <c r="A169" s="189" t="s">
        <v>1221</v>
      </c>
      <c r="B169" s="190"/>
      <c r="C169" s="189" t="s">
        <v>498</v>
      </c>
      <c r="D169" s="189" t="s">
        <v>592</v>
      </c>
      <c r="E169" s="189" t="s">
        <v>1220</v>
      </c>
      <c r="F169" s="190"/>
      <c r="G169" s="191">
        <f t="shared" si="17"/>
        <v>1720</v>
      </c>
      <c r="H169" s="191">
        <f t="shared" si="17"/>
        <v>1720</v>
      </c>
      <c r="I169" s="192">
        <f t="shared" si="8"/>
        <v>0</v>
      </c>
    </row>
    <row r="170" spans="1:9" x14ac:dyDescent="0.2">
      <c r="A170" s="189" t="s">
        <v>1347</v>
      </c>
      <c r="B170" s="190"/>
      <c r="C170" s="189" t="s">
        <v>498</v>
      </c>
      <c r="D170" s="189" t="s">
        <v>592</v>
      </c>
      <c r="E170" s="189" t="s">
        <v>1220</v>
      </c>
      <c r="F170" s="190" t="s">
        <v>535</v>
      </c>
      <c r="G170" s="191">
        <f t="shared" si="17"/>
        <v>1720</v>
      </c>
      <c r="H170" s="191">
        <f t="shared" si="17"/>
        <v>1720</v>
      </c>
      <c r="I170" s="192">
        <f t="shared" si="8"/>
        <v>0</v>
      </c>
    </row>
    <row r="171" spans="1:9" ht="24" x14ac:dyDescent="0.2">
      <c r="A171" s="189" t="s">
        <v>534</v>
      </c>
      <c r="B171" s="190"/>
      <c r="C171" s="189" t="s">
        <v>498</v>
      </c>
      <c r="D171" s="189" t="s">
        <v>592</v>
      </c>
      <c r="E171" s="189" t="s">
        <v>1220</v>
      </c>
      <c r="F171" s="190" t="s">
        <v>529</v>
      </c>
      <c r="G171" s="191">
        <v>1720</v>
      </c>
      <c r="H171" s="191">
        <v>1720</v>
      </c>
      <c r="I171" s="192">
        <f t="shared" si="8"/>
        <v>0</v>
      </c>
    </row>
    <row r="172" spans="1:9" x14ac:dyDescent="0.2">
      <c r="A172" s="189" t="s">
        <v>742</v>
      </c>
      <c r="B172" s="190"/>
      <c r="C172" s="189" t="s">
        <v>498</v>
      </c>
      <c r="D172" s="189" t="s">
        <v>592</v>
      </c>
      <c r="E172" s="189" t="s">
        <v>741</v>
      </c>
      <c r="F172" s="190"/>
      <c r="G172" s="191">
        <f>G173</f>
        <v>199479.7</v>
      </c>
      <c r="H172" s="191">
        <f>H173</f>
        <v>203553.7</v>
      </c>
      <c r="I172" s="192">
        <f t="shared" si="8"/>
        <v>4074</v>
      </c>
    </row>
    <row r="173" spans="1:9" ht="36" x14ac:dyDescent="0.2">
      <c r="A173" s="189" t="s">
        <v>1219</v>
      </c>
      <c r="B173" s="190"/>
      <c r="C173" s="189" t="s">
        <v>498</v>
      </c>
      <c r="D173" s="189" t="s">
        <v>592</v>
      </c>
      <c r="E173" s="189" t="s">
        <v>1218</v>
      </c>
      <c r="F173" s="190"/>
      <c r="G173" s="191">
        <f>G174+G184</f>
        <v>199479.7</v>
      </c>
      <c r="H173" s="191">
        <f>H174+H184</f>
        <v>203553.7</v>
      </c>
      <c r="I173" s="192">
        <f t="shared" si="8"/>
        <v>4074</v>
      </c>
    </row>
    <row r="174" spans="1:9" ht="24" x14ac:dyDescent="0.2">
      <c r="A174" s="189" t="s">
        <v>1217</v>
      </c>
      <c r="B174" s="190"/>
      <c r="C174" s="189" t="s">
        <v>498</v>
      </c>
      <c r="D174" s="189" t="s">
        <v>592</v>
      </c>
      <c r="E174" s="189" t="s">
        <v>1216</v>
      </c>
      <c r="F174" s="190"/>
      <c r="G174" s="191">
        <f>G175+G178</f>
        <v>197553.7</v>
      </c>
      <c r="H174" s="191">
        <f>H175+H178+H181</f>
        <v>201627.7</v>
      </c>
      <c r="I174" s="192">
        <f t="shared" si="8"/>
        <v>4074</v>
      </c>
    </row>
    <row r="175" spans="1:9" ht="55.5" customHeight="1" x14ac:dyDescent="0.2">
      <c r="A175" s="189" t="s">
        <v>1215</v>
      </c>
      <c r="B175" s="190"/>
      <c r="C175" s="189" t="s">
        <v>498</v>
      </c>
      <c r="D175" s="189" t="s">
        <v>592</v>
      </c>
      <c r="E175" s="189" t="s">
        <v>1214</v>
      </c>
      <c r="F175" s="190"/>
      <c r="G175" s="191">
        <f>G176</f>
        <v>195814.7</v>
      </c>
      <c r="H175" s="191">
        <f>H176</f>
        <v>195526.7</v>
      </c>
      <c r="I175" s="192">
        <f t="shared" si="8"/>
        <v>-288</v>
      </c>
    </row>
    <row r="176" spans="1:9" ht="24" x14ac:dyDescent="0.2">
      <c r="A176" s="189" t="s">
        <v>547</v>
      </c>
      <c r="B176" s="190"/>
      <c r="C176" s="189" t="s">
        <v>498</v>
      </c>
      <c r="D176" s="189" t="s">
        <v>592</v>
      </c>
      <c r="E176" s="189" t="s">
        <v>1214</v>
      </c>
      <c r="F176" s="190" t="s">
        <v>519</v>
      </c>
      <c r="G176" s="191">
        <f>G177</f>
        <v>195814.7</v>
      </c>
      <c r="H176" s="191">
        <f>H177</f>
        <v>195526.7</v>
      </c>
      <c r="I176" s="192">
        <f t="shared" si="8"/>
        <v>-288</v>
      </c>
    </row>
    <row r="177" spans="1:9" x14ac:dyDescent="0.2">
      <c r="A177" s="189" t="s">
        <v>571</v>
      </c>
      <c r="B177" s="190"/>
      <c r="C177" s="189" t="s">
        <v>498</v>
      </c>
      <c r="D177" s="189" t="s">
        <v>592</v>
      </c>
      <c r="E177" s="189" t="s">
        <v>1214</v>
      </c>
      <c r="F177" s="190" t="s">
        <v>522</v>
      </c>
      <c r="G177" s="191">
        <f>206413.2-10598.5</f>
        <v>195814.7</v>
      </c>
      <c r="H177" s="191">
        <f>206413.2-10598.5-288</f>
        <v>195526.7</v>
      </c>
      <c r="I177" s="192">
        <f t="shared" ref="I177:I255" si="18">H177-G177</f>
        <v>-288</v>
      </c>
    </row>
    <row r="178" spans="1:9" s="284" customFormat="1" ht="76.5" customHeight="1" x14ac:dyDescent="0.2">
      <c r="A178" s="189" t="s">
        <v>1395</v>
      </c>
      <c r="B178" s="190"/>
      <c r="C178" s="189" t="s">
        <v>498</v>
      </c>
      <c r="D178" s="189" t="s">
        <v>592</v>
      </c>
      <c r="E178" s="189" t="s">
        <v>1393</v>
      </c>
      <c r="F178" s="190"/>
      <c r="G178" s="191">
        <f>G179</f>
        <v>1739</v>
      </c>
      <c r="H178" s="191">
        <f>H179</f>
        <v>0</v>
      </c>
      <c r="I178" s="192">
        <f t="shared" si="18"/>
        <v>-1739</v>
      </c>
    </row>
    <row r="179" spans="1:9" s="284" customFormat="1" ht="27" customHeight="1" x14ac:dyDescent="0.2">
      <c r="A179" s="189" t="s">
        <v>547</v>
      </c>
      <c r="B179" s="190"/>
      <c r="C179" s="189" t="s">
        <v>498</v>
      </c>
      <c r="D179" s="189" t="s">
        <v>592</v>
      </c>
      <c r="E179" s="189" t="s">
        <v>1393</v>
      </c>
      <c r="F179" s="190">
        <v>600</v>
      </c>
      <c r="G179" s="191">
        <f>G180</f>
        <v>1739</v>
      </c>
      <c r="H179" s="191">
        <f>H180</f>
        <v>0</v>
      </c>
      <c r="I179" s="192">
        <f t="shared" si="18"/>
        <v>-1739</v>
      </c>
    </row>
    <row r="180" spans="1:9" s="284" customFormat="1" ht="14.25" customHeight="1" x14ac:dyDescent="0.2">
      <c r="A180" s="189" t="s">
        <v>571</v>
      </c>
      <c r="B180" s="190"/>
      <c r="C180" s="189" t="s">
        <v>498</v>
      </c>
      <c r="D180" s="189" t="s">
        <v>592</v>
      </c>
      <c r="E180" s="189" t="s">
        <v>1393</v>
      </c>
      <c r="F180" s="190">
        <v>610</v>
      </c>
      <c r="G180" s="191">
        <v>1739</v>
      </c>
      <c r="H180" s="191">
        <f>1739-1721-18</f>
        <v>0</v>
      </c>
      <c r="I180" s="192">
        <f t="shared" si="18"/>
        <v>-1739</v>
      </c>
    </row>
    <row r="181" spans="1:9" s="416" customFormat="1" ht="96" x14ac:dyDescent="0.2">
      <c r="A181" s="189" t="s">
        <v>1614</v>
      </c>
      <c r="B181" s="190"/>
      <c r="C181" s="189" t="s">
        <v>498</v>
      </c>
      <c r="D181" s="189" t="s">
        <v>592</v>
      </c>
      <c r="E181" s="189" t="s">
        <v>1615</v>
      </c>
      <c r="F181" s="190"/>
      <c r="G181" s="191">
        <f>G182</f>
        <v>0</v>
      </c>
      <c r="H181" s="191">
        <f>H182</f>
        <v>6101</v>
      </c>
      <c r="I181" s="192">
        <f t="shared" si="18"/>
        <v>6101</v>
      </c>
    </row>
    <row r="182" spans="1:9" s="416" customFormat="1" ht="24" x14ac:dyDescent="0.2">
      <c r="A182" s="189" t="s">
        <v>547</v>
      </c>
      <c r="B182" s="190"/>
      <c r="C182" s="189" t="s">
        <v>498</v>
      </c>
      <c r="D182" s="189" t="s">
        <v>592</v>
      </c>
      <c r="E182" s="189" t="s">
        <v>1615</v>
      </c>
      <c r="F182" s="190" t="s">
        <v>519</v>
      </c>
      <c r="G182" s="191">
        <f>G183</f>
        <v>0</v>
      </c>
      <c r="H182" s="191">
        <f>H183</f>
        <v>6101</v>
      </c>
      <c r="I182" s="192">
        <f t="shared" si="18"/>
        <v>6101</v>
      </c>
    </row>
    <row r="183" spans="1:9" s="416" customFormat="1" ht="17.25" customHeight="1" x14ac:dyDescent="0.2">
      <c r="A183" s="189" t="s">
        <v>571</v>
      </c>
      <c r="B183" s="190"/>
      <c r="C183" s="189" t="s">
        <v>498</v>
      </c>
      <c r="D183" s="189" t="s">
        <v>592</v>
      </c>
      <c r="E183" s="189" t="s">
        <v>1615</v>
      </c>
      <c r="F183" s="190" t="s">
        <v>522</v>
      </c>
      <c r="G183" s="191">
        <v>0</v>
      </c>
      <c r="H183" s="191">
        <f>5795+306</f>
        <v>6101</v>
      </c>
      <c r="I183" s="192">
        <f t="shared" si="18"/>
        <v>6101</v>
      </c>
    </row>
    <row r="184" spans="1:9" ht="36" x14ac:dyDescent="0.2">
      <c r="A184" s="189" t="s">
        <v>1213</v>
      </c>
      <c r="B184" s="190"/>
      <c r="C184" s="189" t="s">
        <v>498</v>
      </c>
      <c r="D184" s="189" t="s">
        <v>592</v>
      </c>
      <c r="E184" s="189" t="s">
        <v>1212</v>
      </c>
      <c r="F184" s="190"/>
      <c r="G184" s="191">
        <f t="shared" ref="G184:H186" si="19">G185</f>
        <v>1926</v>
      </c>
      <c r="H184" s="191">
        <f t="shared" si="19"/>
        <v>1926</v>
      </c>
      <c r="I184" s="192">
        <f t="shared" si="18"/>
        <v>0</v>
      </c>
    </row>
    <row r="185" spans="1:9" s="284" customFormat="1" ht="79.5" customHeight="1" x14ac:dyDescent="0.2">
      <c r="A185" s="189" t="s">
        <v>1396</v>
      </c>
      <c r="B185" s="190"/>
      <c r="C185" s="189" t="s">
        <v>498</v>
      </c>
      <c r="D185" s="189" t="s">
        <v>592</v>
      </c>
      <c r="E185" s="189" t="s">
        <v>1394</v>
      </c>
      <c r="F185" s="190"/>
      <c r="G185" s="191">
        <f t="shared" si="19"/>
        <v>1926</v>
      </c>
      <c r="H185" s="191">
        <f t="shared" si="19"/>
        <v>1926</v>
      </c>
      <c r="I185" s="192">
        <f t="shared" si="18"/>
        <v>0</v>
      </c>
    </row>
    <row r="186" spans="1:9" s="284" customFormat="1" ht="24" x14ac:dyDescent="0.2">
      <c r="A186" s="189" t="s">
        <v>547</v>
      </c>
      <c r="B186" s="190"/>
      <c r="C186" s="189" t="s">
        <v>498</v>
      </c>
      <c r="D186" s="189" t="s">
        <v>592</v>
      </c>
      <c r="E186" s="189" t="s">
        <v>1394</v>
      </c>
      <c r="F186" s="190" t="s">
        <v>519</v>
      </c>
      <c r="G186" s="191">
        <f t="shared" si="19"/>
        <v>1926</v>
      </c>
      <c r="H186" s="191">
        <f t="shared" si="19"/>
        <v>1926</v>
      </c>
      <c r="I186" s="192">
        <f t="shared" si="18"/>
        <v>0</v>
      </c>
    </row>
    <row r="187" spans="1:9" s="284" customFormat="1" x14ac:dyDescent="0.2">
      <c r="A187" s="189" t="s">
        <v>571</v>
      </c>
      <c r="B187" s="190"/>
      <c r="C187" s="189" t="s">
        <v>498</v>
      </c>
      <c r="D187" s="189" t="s">
        <v>592</v>
      </c>
      <c r="E187" s="189" t="s">
        <v>1394</v>
      </c>
      <c r="F187" s="190" t="s">
        <v>522</v>
      </c>
      <c r="G187" s="191">
        <v>1926</v>
      </c>
      <c r="H187" s="191">
        <v>1926</v>
      </c>
      <c r="I187" s="192">
        <f t="shared" si="18"/>
        <v>0</v>
      </c>
    </row>
    <row r="188" spans="1:9" s="303" customFormat="1" x14ac:dyDescent="0.2">
      <c r="A188" s="189" t="s">
        <v>994</v>
      </c>
      <c r="B188" s="190"/>
      <c r="C188" s="189" t="s">
        <v>498</v>
      </c>
      <c r="D188" s="189" t="s">
        <v>592</v>
      </c>
      <c r="E188" s="189" t="s">
        <v>993</v>
      </c>
      <c r="F188" s="190"/>
      <c r="G188" s="191">
        <f t="shared" ref="G188:H195" si="20">G189</f>
        <v>1950</v>
      </c>
      <c r="H188" s="191">
        <f t="shared" si="20"/>
        <v>1950</v>
      </c>
      <c r="I188" s="192">
        <f t="shared" si="18"/>
        <v>0</v>
      </c>
    </row>
    <row r="189" spans="1:9" s="303" customFormat="1" x14ac:dyDescent="0.2">
      <c r="A189" s="189" t="s">
        <v>602</v>
      </c>
      <c r="B189" s="190"/>
      <c r="C189" s="189" t="s">
        <v>498</v>
      </c>
      <c r="D189" s="189" t="s">
        <v>592</v>
      </c>
      <c r="E189" s="189" t="s">
        <v>1422</v>
      </c>
      <c r="F189" s="190"/>
      <c r="G189" s="191">
        <f t="shared" si="20"/>
        <v>1950</v>
      </c>
      <c r="H189" s="191">
        <f t="shared" si="20"/>
        <v>1950</v>
      </c>
      <c r="I189" s="192">
        <f t="shared" si="18"/>
        <v>0</v>
      </c>
    </row>
    <row r="190" spans="1:9" s="303" customFormat="1" ht="24" x14ac:dyDescent="0.2">
      <c r="A190" s="189" t="s">
        <v>600</v>
      </c>
      <c r="B190" s="190"/>
      <c r="C190" s="189" t="s">
        <v>498</v>
      </c>
      <c r="D190" s="189" t="s">
        <v>592</v>
      </c>
      <c r="E190" s="189" t="s">
        <v>1423</v>
      </c>
      <c r="F190" s="190"/>
      <c r="G190" s="191">
        <f>G194+G191</f>
        <v>1950</v>
      </c>
      <c r="H190" s="191">
        <f>H194+H191</f>
        <v>1950</v>
      </c>
      <c r="I190" s="192">
        <f t="shared" si="18"/>
        <v>0</v>
      </c>
    </row>
    <row r="191" spans="1:9" s="370" customFormat="1" x14ac:dyDescent="0.2">
      <c r="A191" s="189" t="s">
        <v>1231</v>
      </c>
      <c r="B191" s="190"/>
      <c r="C191" s="189" t="s">
        <v>498</v>
      </c>
      <c r="D191" s="189" t="s">
        <v>592</v>
      </c>
      <c r="E191" s="189" t="s">
        <v>1487</v>
      </c>
      <c r="F191" s="190"/>
      <c r="G191" s="191">
        <f>G192</f>
        <v>1000</v>
      </c>
      <c r="H191" s="191">
        <f>H192</f>
        <v>1000</v>
      </c>
      <c r="I191" s="192">
        <f t="shared" si="18"/>
        <v>0</v>
      </c>
    </row>
    <row r="192" spans="1:9" s="370" customFormat="1" x14ac:dyDescent="0.2">
      <c r="A192" s="189" t="s">
        <v>1347</v>
      </c>
      <c r="B192" s="190"/>
      <c r="C192" s="189" t="s">
        <v>498</v>
      </c>
      <c r="D192" s="189" t="s">
        <v>592</v>
      </c>
      <c r="E192" s="189" t="s">
        <v>1487</v>
      </c>
      <c r="F192" s="190">
        <v>200</v>
      </c>
      <c r="G192" s="191">
        <f>G193</f>
        <v>1000</v>
      </c>
      <c r="H192" s="191">
        <f>H193</f>
        <v>1000</v>
      </c>
      <c r="I192" s="192">
        <f t="shared" si="18"/>
        <v>0</v>
      </c>
    </row>
    <row r="193" spans="1:9" s="370" customFormat="1" ht="24" x14ac:dyDescent="0.2">
      <c r="A193" s="189" t="s">
        <v>534</v>
      </c>
      <c r="B193" s="190"/>
      <c r="C193" s="189" t="s">
        <v>498</v>
      </c>
      <c r="D193" s="189" t="s">
        <v>592</v>
      </c>
      <c r="E193" s="189" t="s">
        <v>1487</v>
      </c>
      <c r="F193" s="190">
        <v>240</v>
      </c>
      <c r="G193" s="191">
        <v>1000</v>
      </c>
      <c r="H193" s="191">
        <v>1000</v>
      </c>
      <c r="I193" s="192">
        <f t="shared" si="18"/>
        <v>0</v>
      </c>
    </row>
    <row r="194" spans="1:9" s="303" customFormat="1" ht="24" x14ac:dyDescent="0.2">
      <c r="A194" s="189" t="s">
        <v>1421</v>
      </c>
      <c r="B194" s="190"/>
      <c r="C194" s="189" t="s">
        <v>498</v>
      </c>
      <c r="D194" s="189" t="s">
        <v>592</v>
      </c>
      <c r="E194" s="189" t="s">
        <v>1424</v>
      </c>
      <c r="F194" s="190"/>
      <c r="G194" s="191">
        <f t="shared" si="20"/>
        <v>950</v>
      </c>
      <c r="H194" s="191">
        <f t="shared" si="20"/>
        <v>950</v>
      </c>
      <c r="I194" s="192">
        <f t="shared" si="18"/>
        <v>0</v>
      </c>
    </row>
    <row r="195" spans="1:9" s="303" customFormat="1" ht="24" x14ac:dyDescent="0.2">
      <c r="A195" s="189" t="s">
        <v>547</v>
      </c>
      <c r="B195" s="190"/>
      <c r="C195" s="189" t="s">
        <v>498</v>
      </c>
      <c r="D195" s="189" t="s">
        <v>592</v>
      </c>
      <c r="E195" s="189" t="s">
        <v>1424</v>
      </c>
      <c r="F195" s="190">
        <v>600</v>
      </c>
      <c r="G195" s="191">
        <f t="shared" si="20"/>
        <v>950</v>
      </c>
      <c r="H195" s="191">
        <f t="shared" si="20"/>
        <v>950</v>
      </c>
      <c r="I195" s="192">
        <f t="shared" si="18"/>
        <v>0</v>
      </c>
    </row>
    <row r="196" spans="1:9" s="303" customFormat="1" x14ac:dyDescent="0.2">
      <c r="A196" s="189" t="s">
        <v>571</v>
      </c>
      <c r="B196" s="190"/>
      <c r="C196" s="189" t="s">
        <v>498</v>
      </c>
      <c r="D196" s="189" t="s">
        <v>592</v>
      </c>
      <c r="E196" s="189" t="s">
        <v>1424</v>
      </c>
      <c r="F196" s="190">
        <v>610</v>
      </c>
      <c r="G196" s="191">
        <v>950</v>
      </c>
      <c r="H196" s="191">
        <v>950</v>
      </c>
      <c r="I196" s="192">
        <f t="shared" si="18"/>
        <v>0</v>
      </c>
    </row>
    <row r="197" spans="1:9" x14ac:dyDescent="0.2">
      <c r="A197" s="189" t="s">
        <v>595</v>
      </c>
      <c r="B197" s="190"/>
      <c r="C197" s="189" t="s">
        <v>498</v>
      </c>
      <c r="D197" s="189" t="s">
        <v>592</v>
      </c>
      <c r="E197" s="189" t="s">
        <v>594</v>
      </c>
      <c r="F197" s="190"/>
      <c r="G197" s="191">
        <f>G207+G210+G198+G204</f>
        <v>29602.400000000001</v>
      </c>
      <c r="H197" s="191">
        <f>H207+H210+H198+H204</f>
        <v>34537.599999999999</v>
      </c>
      <c r="I197" s="192">
        <f t="shared" si="18"/>
        <v>4935.1999999999971</v>
      </c>
    </row>
    <row r="198" spans="1:9" s="299" customFormat="1" x14ac:dyDescent="0.2">
      <c r="A198" s="189" t="s">
        <v>1240</v>
      </c>
      <c r="B198" s="190"/>
      <c r="C198" s="189" t="s">
        <v>498</v>
      </c>
      <c r="D198" s="189" t="s">
        <v>592</v>
      </c>
      <c r="E198" s="189" t="s">
        <v>1239</v>
      </c>
      <c r="F198" s="190"/>
      <c r="G198" s="191">
        <f>G201+G199</f>
        <v>3338.5</v>
      </c>
      <c r="H198" s="191">
        <f>H201+H199</f>
        <v>5358.2</v>
      </c>
      <c r="I198" s="192">
        <f t="shared" si="18"/>
        <v>2019.6999999999998</v>
      </c>
    </row>
    <row r="199" spans="1:9" s="390" customFormat="1" x14ac:dyDescent="0.2">
      <c r="A199" s="189" t="s">
        <v>1347</v>
      </c>
      <c r="B199" s="190"/>
      <c r="C199" s="189" t="s">
        <v>498</v>
      </c>
      <c r="D199" s="189" t="s">
        <v>592</v>
      </c>
      <c r="E199" s="189" t="s">
        <v>1239</v>
      </c>
      <c r="F199" s="190">
        <v>200</v>
      </c>
      <c r="G199" s="191">
        <f>G200</f>
        <v>2388.5</v>
      </c>
      <c r="H199" s="191">
        <f>H200</f>
        <v>2388.5</v>
      </c>
      <c r="I199" s="192">
        <f t="shared" si="18"/>
        <v>0</v>
      </c>
    </row>
    <row r="200" spans="1:9" s="390" customFormat="1" ht="24" x14ac:dyDescent="0.2">
      <c r="A200" s="189" t="s">
        <v>534</v>
      </c>
      <c r="B200" s="190"/>
      <c r="C200" s="189" t="s">
        <v>498</v>
      </c>
      <c r="D200" s="189" t="s">
        <v>592</v>
      </c>
      <c r="E200" s="189" t="s">
        <v>1239</v>
      </c>
      <c r="F200" s="190">
        <v>240</v>
      </c>
      <c r="G200" s="191">
        <f>268.6+442+1677.9</f>
        <v>2388.5</v>
      </c>
      <c r="H200" s="191">
        <f>268.6+442+1677.9</f>
        <v>2388.5</v>
      </c>
      <c r="I200" s="192">
        <f t="shared" si="18"/>
        <v>0</v>
      </c>
    </row>
    <row r="201" spans="1:9" s="299" customFormat="1" x14ac:dyDescent="0.2">
      <c r="A201" s="189" t="s">
        <v>615</v>
      </c>
      <c r="B201" s="190"/>
      <c r="C201" s="189" t="s">
        <v>498</v>
      </c>
      <c r="D201" s="189" t="s">
        <v>592</v>
      </c>
      <c r="E201" s="189" t="s">
        <v>1239</v>
      </c>
      <c r="F201" s="190">
        <v>800</v>
      </c>
      <c r="G201" s="191">
        <f>G203</f>
        <v>950</v>
      </c>
      <c r="H201" s="191">
        <f>H203+H202</f>
        <v>2969.7</v>
      </c>
      <c r="I201" s="192">
        <f t="shared" si="18"/>
        <v>2019.6999999999998</v>
      </c>
    </row>
    <row r="202" spans="1:9" s="418" customFormat="1" ht="24" x14ac:dyDescent="0.2">
      <c r="A202" s="189" t="s">
        <v>1346</v>
      </c>
      <c r="B202" s="190"/>
      <c r="C202" s="189" t="s">
        <v>498</v>
      </c>
      <c r="D202" s="189" t="s">
        <v>592</v>
      </c>
      <c r="E202" s="189" t="s">
        <v>1239</v>
      </c>
      <c r="F202" s="190">
        <v>810</v>
      </c>
      <c r="G202" s="191">
        <v>0</v>
      </c>
      <c r="H202" s="191">
        <v>584</v>
      </c>
      <c r="I202" s="192">
        <f t="shared" si="18"/>
        <v>584</v>
      </c>
    </row>
    <row r="203" spans="1:9" s="299" customFormat="1" x14ac:dyDescent="0.2">
      <c r="A203" s="189" t="s">
        <v>1412</v>
      </c>
      <c r="B203" s="190"/>
      <c r="C203" s="189" t="s">
        <v>498</v>
      </c>
      <c r="D203" s="189" t="s">
        <v>592</v>
      </c>
      <c r="E203" s="189" t="s">
        <v>1239</v>
      </c>
      <c r="F203" s="190">
        <v>830</v>
      </c>
      <c r="G203" s="191">
        <f>70+275+605</f>
        <v>950</v>
      </c>
      <c r="H203" s="191">
        <f>70+275+605+152+59.2+65.5+100+870+30+38+95+26</f>
        <v>2385.6999999999998</v>
      </c>
      <c r="I203" s="192">
        <f t="shared" si="18"/>
        <v>1435.6999999999998</v>
      </c>
    </row>
    <row r="204" spans="1:9" s="301" customFormat="1" x14ac:dyDescent="0.2">
      <c r="A204" s="189" t="s">
        <v>1413</v>
      </c>
      <c r="B204" s="190"/>
      <c r="C204" s="189" t="s">
        <v>498</v>
      </c>
      <c r="D204" s="189" t="s">
        <v>592</v>
      </c>
      <c r="E204" s="189" t="s">
        <v>1414</v>
      </c>
      <c r="F204" s="190"/>
      <c r="G204" s="191">
        <f>G205</f>
        <v>548.20000000000005</v>
      </c>
      <c r="H204" s="191">
        <f>H205</f>
        <v>3463.7</v>
      </c>
      <c r="I204" s="192">
        <f t="shared" si="18"/>
        <v>2915.5</v>
      </c>
    </row>
    <row r="205" spans="1:9" s="301" customFormat="1" x14ac:dyDescent="0.2">
      <c r="A205" s="189" t="s">
        <v>615</v>
      </c>
      <c r="B205" s="190"/>
      <c r="C205" s="189" t="s">
        <v>498</v>
      </c>
      <c r="D205" s="189" t="s">
        <v>592</v>
      </c>
      <c r="E205" s="189" t="s">
        <v>1414</v>
      </c>
      <c r="F205" s="190">
        <v>800</v>
      </c>
      <c r="G205" s="191">
        <f>G206</f>
        <v>548.20000000000005</v>
      </c>
      <c r="H205" s="191">
        <f>H206</f>
        <v>3463.7</v>
      </c>
      <c r="I205" s="192">
        <f t="shared" si="18"/>
        <v>2915.5</v>
      </c>
    </row>
    <row r="206" spans="1:9" s="301" customFormat="1" x14ac:dyDescent="0.2">
      <c r="A206" s="189" t="s">
        <v>1412</v>
      </c>
      <c r="B206" s="190"/>
      <c r="C206" s="189" t="s">
        <v>498</v>
      </c>
      <c r="D206" s="189" t="s">
        <v>592</v>
      </c>
      <c r="E206" s="189" t="s">
        <v>1414</v>
      </c>
      <c r="F206" s="190">
        <v>830</v>
      </c>
      <c r="G206" s="191">
        <f>49.8+70+92+336.4</f>
        <v>548.20000000000005</v>
      </c>
      <c r="H206" s="191">
        <f>49.8+70+92+336.4+2875.5+40</f>
        <v>3463.7</v>
      </c>
      <c r="I206" s="192">
        <f t="shared" si="18"/>
        <v>2915.5</v>
      </c>
    </row>
    <row r="207" spans="1:9" x14ac:dyDescent="0.2">
      <c r="A207" s="189" t="s">
        <v>871</v>
      </c>
      <c r="B207" s="190"/>
      <c r="C207" s="189" t="s">
        <v>498</v>
      </c>
      <c r="D207" s="189" t="s">
        <v>592</v>
      </c>
      <c r="E207" s="189" t="s">
        <v>870</v>
      </c>
      <c r="F207" s="190"/>
      <c r="G207" s="191">
        <f>G208</f>
        <v>715.7</v>
      </c>
      <c r="H207" s="191">
        <f>H208</f>
        <v>715.7</v>
      </c>
      <c r="I207" s="192">
        <f t="shared" si="18"/>
        <v>0</v>
      </c>
    </row>
    <row r="208" spans="1:9" x14ac:dyDescent="0.2">
      <c r="A208" s="189" t="s">
        <v>615</v>
      </c>
      <c r="B208" s="190"/>
      <c r="C208" s="189" t="s">
        <v>498</v>
      </c>
      <c r="D208" s="189" t="s">
        <v>592</v>
      </c>
      <c r="E208" s="189" t="s">
        <v>870</v>
      </c>
      <c r="F208" s="190" t="s">
        <v>509</v>
      </c>
      <c r="G208" s="191">
        <f>G209</f>
        <v>715.7</v>
      </c>
      <c r="H208" s="191">
        <f>H209</f>
        <v>715.7</v>
      </c>
      <c r="I208" s="192">
        <f t="shared" si="18"/>
        <v>0</v>
      </c>
    </row>
    <row r="209" spans="1:9" x14ac:dyDescent="0.2">
      <c r="A209" s="189" t="s">
        <v>752</v>
      </c>
      <c r="B209" s="190"/>
      <c r="C209" s="189" t="s">
        <v>498</v>
      </c>
      <c r="D209" s="189" t="s">
        <v>592</v>
      </c>
      <c r="E209" s="189" t="s">
        <v>870</v>
      </c>
      <c r="F209" s="190" t="s">
        <v>750</v>
      </c>
      <c r="G209" s="191">
        <v>715.7</v>
      </c>
      <c r="H209" s="191">
        <v>715.7</v>
      </c>
      <c r="I209" s="192">
        <f t="shared" si="18"/>
        <v>0</v>
      </c>
    </row>
    <row r="210" spans="1:9" s="293" customFormat="1" x14ac:dyDescent="0.2">
      <c r="A210" s="189" t="s">
        <v>1404</v>
      </c>
      <c r="B210" s="190"/>
      <c r="C210" s="189" t="s">
        <v>498</v>
      </c>
      <c r="D210" s="189" t="s">
        <v>592</v>
      </c>
      <c r="E210" s="189" t="s">
        <v>1405</v>
      </c>
      <c r="F210" s="190"/>
      <c r="G210" s="191">
        <f>G211</f>
        <v>25000</v>
      </c>
      <c r="H210" s="191">
        <f>H211</f>
        <v>25000</v>
      </c>
      <c r="I210" s="192">
        <f t="shared" si="18"/>
        <v>0</v>
      </c>
    </row>
    <row r="211" spans="1:9" s="293" customFormat="1" ht="24" x14ac:dyDescent="0.2">
      <c r="A211" s="189" t="s">
        <v>547</v>
      </c>
      <c r="B211" s="190"/>
      <c r="C211" s="189" t="s">
        <v>498</v>
      </c>
      <c r="D211" s="189" t="s">
        <v>592</v>
      </c>
      <c r="E211" s="189" t="s">
        <v>1405</v>
      </c>
      <c r="F211" s="190">
        <v>600</v>
      </c>
      <c r="G211" s="191">
        <f>G212</f>
        <v>25000</v>
      </c>
      <c r="H211" s="191">
        <f>H212</f>
        <v>25000</v>
      </c>
      <c r="I211" s="192">
        <f t="shared" si="18"/>
        <v>0</v>
      </c>
    </row>
    <row r="212" spans="1:9" s="293" customFormat="1" ht="24" x14ac:dyDescent="0.2">
      <c r="A212" s="189" t="s">
        <v>705</v>
      </c>
      <c r="B212" s="190"/>
      <c r="C212" s="189" t="s">
        <v>498</v>
      </c>
      <c r="D212" s="189" t="s">
        <v>592</v>
      </c>
      <c r="E212" s="189" t="s">
        <v>1405</v>
      </c>
      <c r="F212" s="190">
        <v>630</v>
      </c>
      <c r="G212" s="191">
        <v>25000</v>
      </c>
      <c r="H212" s="191">
        <v>25000</v>
      </c>
      <c r="I212" s="192">
        <f t="shared" si="18"/>
        <v>0</v>
      </c>
    </row>
    <row r="213" spans="1:9" s="78" customFormat="1" x14ac:dyDescent="0.2">
      <c r="A213" s="185" t="s">
        <v>1206</v>
      </c>
      <c r="B213" s="186"/>
      <c r="C213" s="185" t="s">
        <v>531</v>
      </c>
      <c r="D213" s="185"/>
      <c r="E213" s="185"/>
      <c r="F213" s="186"/>
      <c r="G213" s="187">
        <f>G214+G254</f>
        <v>89562.199999999983</v>
      </c>
      <c r="H213" s="187">
        <f>H214+H254</f>
        <v>87243.199999999983</v>
      </c>
      <c r="I213" s="188">
        <f t="shared" si="18"/>
        <v>-2319</v>
      </c>
    </row>
    <row r="214" spans="1:9" ht="24" x14ac:dyDescent="0.2">
      <c r="A214" s="189" t="s">
        <v>1205</v>
      </c>
      <c r="B214" s="190"/>
      <c r="C214" s="189" t="s">
        <v>531</v>
      </c>
      <c r="D214" s="189" t="s">
        <v>670</v>
      </c>
      <c r="E214" s="189"/>
      <c r="F214" s="190"/>
      <c r="G214" s="191">
        <f>G215</f>
        <v>47101.69999999999</v>
      </c>
      <c r="H214" s="191">
        <f>H215</f>
        <v>47010.599999999991</v>
      </c>
      <c r="I214" s="192">
        <f t="shared" si="18"/>
        <v>-91.099999999998545</v>
      </c>
    </row>
    <row r="215" spans="1:9" ht="24" x14ac:dyDescent="0.2">
      <c r="A215" s="189" t="s">
        <v>1005</v>
      </c>
      <c r="B215" s="190"/>
      <c r="C215" s="189" t="s">
        <v>531</v>
      </c>
      <c r="D215" s="189" t="s">
        <v>670</v>
      </c>
      <c r="E215" s="189" t="s">
        <v>1004</v>
      </c>
      <c r="F215" s="190"/>
      <c r="G215" s="191">
        <f>G216+G224+G229+G245</f>
        <v>47101.69999999999</v>
      </c>
      <c r="H215" s="191">
        <f>H216+H224+H229+H245</f>
        <v>47010.599999999991</v>
      </c>
      <c r="I215" s="192">
        <f t="shared" si="18"/>
        <v>-91.099999999998545</v>
      </c>
    </row>
    <row r="216" spans="1:9" ht="24" x14ac:dyDescent="0.2">
      <c r="A216" s="189" t="s">
        <v>1204</v>
      </c>
      <c r="B216" s="190"/>
      <c r="C216" s="189" t="s">
        <v>531</v>
      </c>
      <c r="D216" s="189" t="s">
        <v>670</v>
      </c>
      <c r="E216" s="189" t="s">
        <v>1203</v>
      </c>
      <c r="F216" s="190"/>
      <c r="G216" s="191">
        <f>G217</f>
        <v>6400</v>
      </c>
      <c r="H216" s="191">
        <f>H217</f>
        <v>6222.9</v>
      </c>
      <c r="I216" s="192">
        <f t="shared" si="18"/>
        <v>-177.10000000000036</v>
      </c>
    </row>
    <row r="217" spans="1:9" ht="24" x14ac:dyDescent="0.2">
      <c r="A217" s="189" t="s">
        <v>1198</v>
      </c>
      <c r="B217" s="190"/>
      <c r="C217" s="189" t="s">
        <v>531</v>
      </c>
      <c r="D217" s="189" t="s">
        <v>670</v>
      </c>
      <c r="E217" s="189" t="s">
        <v>1197</v>
      </c>
      <c r="F217" s="190"/>
      <c r="G217" s="191">
        <f>G221+G218</f>
        <v>6400</v>
      </c>
      <c r="H217" s="191">
        <f>H221+H218</f>
        <v>6222.9</v>
      </c>
      <c r="I217" s="192">
        <f t="shared" si="18"/>
        <v>-177.10000000000036</v>
      </c>
    </row>
    <row r="218" spans="1:9" s="376" customFormat="1" ht="24" x14ac:dyDescent="0.2">
      <c r="A218" s="189" t="s">
        <v>1506</v>
      </c>
      <c r="B218" s="189"/>
      <c r="C218" s="189" t="s">
        <v>531</v>
      </c>
      <c r="D218" s="189" t="s">
        <v>670</v>
      </c>
      <c r="E218" s="189" t="s">
        <v>1507</v>
      </c>
      <c r="F218" s="189"/>
      <c r="G218" s="191">
        <f>G219</f>
        <v>3700</v>
      </c>
      <c r="H218" s="191">
        <f>H219</f>
        <v>3700</v>
      </c>
      <c r="I218" s="192">
        <f t="shared" si="18"/>
        <v>0</v>
      </c>
    </row>
    <row r="219" spans="1:9" s="376" customFormat="1" x14ac:dyDescent="0.2">
      <c r="A219" s="189" t="s">
        <v>1347</v>
      </c>
      <c r="B219" s="189"/>
      <c r="C219" s="189" t="s">
        <v>531</v>
      </c>
      <c r="D219" s="189" t="s">
        <v>670</v>
      </c>
      <c r="E219" s="189" t="s">
        <v>1507</v>
      </c>
      <c r="F219" s="190" t="s">
        <v>535</v>
      </c>
      <c r="G219" s="191">
        <f>G220</f>
        <v>3700</v>
      </c>
      <c r="H219" s="191">
        <f>H220</f>
        <v>3700</v>
      </c>
      <c r="I219" s="192">
        <f t="shared" si="18"/>
        <v>0</v>
      </c>
    </row>
    <row r="220" spans="1:9" s="376" customFormat="1" ht="24" x14ac:dyDescent="0.2">
      <c r="A220" s="189" t="s">
        <v>534</v>
      </c>
      <c r="B220" s="189"/>
      <c r="C220" s="189" t="s">
        <v>531</v>
      </c>
      <c r="D220" s="189" t="s">
        <v>670</v>
      </c>
      <c r="E220" s="189" t="s">
        <v>1507</v>
      </c>
      <c r="F220" s="190" t="s">
        <v>529</v>
      </c>
      <c r="G220" s="191">
        <v>3700</v>
      </c>
      <c r="H220" s="191">
        <v>3700</v>
      </c>
      <c r="I220" s="192">
        <f t="shared" si="18"/>
        <v>0</v>
      </c>
    </row>
    <row r="221" spans="1:9" ht="24" x14ac:dyDescent="0.2">
      <c r="A221" s="189" t="s">
        <v>1524</v>
      </c>
      <c r="B221" s="190"/>
      <c r="C221" s="189" t="s">
        <v>531</v>
      </c>
      <c r="D221" s="189" t="s">
        <v>670</v>
      </c>
      <c r="E221" s="189" t="s">
        <v>1196</v>
      </c>
      <c r="F221" s="190"/>
      <c r="G221" s="191">
        <f>G222</f>
        <v>2700</v>
      </c>
      <c r="H221" s="191">
        <f>H222</f>
        <v>2522.9</v>
      </c>
      <c r="I221" s="192">
        <f t="shared" si="18"/>
        <v>-177.09999999999991</v>
      </c>
    </row>
    <row r="222" spans="1:9" s="387" customFormat="1" ht="24" x14ac:dyDescent="0.2">
      <c r="A222" s="189" t="s">
        <v>547</v>
      </c>
      <c r="B222" s="408"/>
      <c r="C222" s="189" t="s">
        <v>531</v>
      </c>
      <c r="D222" s="189" t="s">
        <v>670</v>
      </c>
      <c r="E222" s="189" t="s">
        <v>1196</v>
      </c>
      <c r="F222" s="396">
        <v>600</v>
      </c>
      <c r="G222" s="397">
        <f>G223</f>
        <v>2700</v>
      </c>
      <c r="H222" s="397">
        <f>H223</f>
        <v>2522.9</v>
      </c>
      <c r="I222" s="398">
        <f t="shared" si="18"/>
        <v>-177.09999999999991</v>
      </c>
    </row>
    <row r="223" spans="1:9" s="387" customFormat="1" x14ac:dyDescent="0.2">
      <c r="A223" s="189" t="s">
        <v>571</v>
      </c>
      <c r="B223" s="408"/>
      <c r="C223" s="189" t="s">
        <v>531</v>
      </c>
      <c r="D223" s="189" t="s">
        <v>670</v>
      </c>
      <c r="E223" s="189" t="s">
        <v>1196</v>
      </c>
      <c r="F223" s="396">
        <v>610</v>
      </c>
      <c r="G223" s="397">
        <v>2700</v>
      </c>
      <c r="H223" s="397">
        <f>2700-177.1</f>
        <v>2522.9</v>
      </c>
      <c r="I223" s="398">
        <f t="shared" si="18"/>
        <v>-177.09999999999991</v>
      </c>
    </row>
    <row r="224" spans="1:9" ht="24" x14ac:dyDescent="0.2">
      <c r="A224" s="189" t="s">
        <v>1195</v>
      </c>
      <c r="B224" s="190"/>
      <c r="C224" s="189" t="s">
        <v>531</v>
      </c>
      <c r="D224" s="189" t="s">
        <v>670</v>
      </c>
      <c r="E224" s="189" t="s">
        <v>1194</v>
      </c>
      <c r="F224" s="190"/>
      <c r="G224" s="191">
        <f t="shared" ref="G224:H227" si="21">G225</f>
        <v>1076</v>
      </c>
      <c r="H224" s="191">
        <f t="shared" si="21"/>
        <v>1076</v>
      </c>
      <c r="I224" s="192">
        <f t="shared" si="18"/>
        <v>0</v>
      </c>
    </row>
    <row r="225" spans="1:9" ht="48" x14ac:dyDescent="0.2">
      <c r="A225" s="189" t="s">
        <v>1193</v>
      </c>
      <c r="B225" s="190"/>
      <c r="C225" s="189" t="s">
        <v>531</v>
      </c>
      <c r="D225" s="189" t="s">
        <v>670</v>
      </c>
      <c r="E225" s="189" t="s">
        <v>1192</v>
      </c>
      <c r="F225" s="190"/>
      <c r="G225" s="191">
        <f t="shared" si="21"/>
        <v>1076</v>
      </c>
      <c r="H225" s="191">
        <f t="shared" si="21"/>
        <v>1076</v>
      </c>
      <c r="I225" s="192">
        <f t="shared" si="18"/>
        <v>0</v>
      </c>
    </row>
    <row r="226" spans="1:9" ht="24" x14ac:dyDescent="0.2">
      <c r="A226" s="189" t="s">
        <v>1191</v>
      </c>
      <c r="B226" s="190"/>
      <c r="C226" s="189" t="s">
        <v>531</v>
      </c>
      <c r="D226" s="189" t="s">
        <v>670</v>
      </c>
      <c r="E226" s="189" t="s">
        <v>1190</v>
      </c>
      <c r="F226" s="190"/>
      <c r="G226" s="191">
        <f t="shared" si="21"/>
        <v>1076</v>
      </c>
      <c r="H226" s="191">
        <f t="shared" si="21"/>
        <v>1076</v>
      </c>
      <c r="I226" s="192">
        <f t="shared" si="18"/>
        <v>0</v>
      </c>
    </row>
    <row r="227" spans="1:9" x14ac:dyDescent="0.2">
      <c r="A227" s="189" t="s">
        <v>1347</v>
      </c>
      <c r="B227" s="190"/>
      <c r="C227" s="189" t="s">
        <v>531</v>
      </c>
      <c r="D227" s="189" t="s">
        <v>670</v>
      </c>
      <c r="E227" s="189" t="s">
        <v>1190</v>
      </c>
      <c r="F227" s="190" t="s">
        <v>535</v>
      </c>
      <c r="G227" s="191">
        <f t="shared" si="21"/>
        <v>1076</v>
      </c>
      <c r="H227" s="191">
        <f t="shared" si="21"/>
        <v>1076</v>
      </c>
      <c r="I227" s="192">
        <f t="shared" si="18"/>
        <v>0</v>
      </c>
    </row>
    <row r="228" spans="1:9" ht="24" x14ac:dyDescent="0.2">
      <c r="A228" s="189" t="s">
        <v>534</v>
      </c>
      <c r="B228" s="190"/>
      <c r="C228" s="189" t="s">
        <v>531</v>
      </c>
      <c r="D228" s="189" t="s">
        <v>670</v>
      </c>
      <c r="E228" s="189" t="s">
        <v>1190</v>
      </c>
      <c r="F228" s="190" t="s">
        <v>529</v>
      </c>
      <c r="G228" s="191">
        <f>1100-24</f>
        <v>1076</v>
      </c>
      <c r="H228" s="191">
        <f>1100-24</f>
        <v>1076</v>
      </c>
      <c r="I228" s="192">
        <f t="shared" si="18"/>
        <v>0</v>
      </c>
    </row>
    <row r="229" spans="1:9" x14ac:dyDescent="0.2">
      <c r="A229" s="189" t="s">
        <v>1189</v>
      </c>
      <c r="B229" s="190"/>
      <c r="C229" s="189" t="s">
        <v>531</v>
      </c>
      <c r="D229" s="189" t="s">
        <v>670</v>
      </c>
      <c r="E229" s="189" t="s">
        <v>1188</v>
      </c>
      <c r="F229" s="190"/>
      <c r="G229" s="191">
        <f>G230</f>
        <v>1776.5</v>
      </c>
      <c r="H229" s="191">
        <f>H230</f>
        <v>1862.5</v>
      </c>
      <c r="I229" s="192">
        <f t="shared" si="18"/>
        <v>86</v>
      </c>
    </row>
    <row r="230" spans="1:9" x14ac:dyDescent="0.2">
      <c r="A230" s="189" t="s">
        <v>1187</v>
      </c>
      <c r="B230" s="190"/>
      <c r="C230" s="189" t="s">
        <v>531</v>
      </c>
      <c r="D230" s="189" t="s">
        <v>670</v>
      </c>
      <c r="E230" s="189" t="s">
        <v>1186</v>
      </c>
      <c r="F230" s="190"/>
      <c r="G230" s="191">
        <f>G231+G239+G242+G236</f>
        <v>1776.5</v>
      </c>
      <c r="H230" s="191">
        <f>H231+H239+H242+H236</f>
        <v>1862.5</v>
      </c>
      <c r="I230" s="192">
        <f t="shared" si="18"/>
        <v>86</v>
      </c>
    </row>
    <row r="231" spans="1:9" ht="24" x14ac:dyDescent="0.2">
      <c r="A231" s="189" t="s">
        <v>1185</v>
      </c>
      <c r="B231" s="190"/>
      <c r="C231" s="189" t="s">
        <v>531</v>
      </c>
      <c r="D231" s="189" t="s">
        <v>670</v>
      </c>
      <c r="E231" s="189" t="s">
        <v>1184</v>
      </c>
      <c r="F231" s="190"/>
      <c r="G231" s="191">
        <f>G232+G234</f>
        <v>879</v>
      </c>
      <c r="H231" s="191">
        <f>H232+H234</f>
        <v>880</v>
      </c>
      <c r="I231" s="192">
        <f t="shared" si="18"/>
        <v>1</v>
      </c>
    </row>
    <row r="232" spans="1:9" x14ac:dyDescent="0.2">
      <c r="A232" s="189" t="s">
        <v>1347</v>
      </c>
      <c r="B232" s="190"/>
      <c r="C232" s="189" t="s">
        <v>531</v>
      </c>
      <c r="D232" s="189" t="s">
        <v>670</v>
      </c>
      <c r="E232" s="189" t="s">
        <v>1184</v>
      </c>
      <c r="F232" s="190" t="s">
        <v>535</v>
      </c>
      <c r="G232" s="191">
        <f>G233</f>
        <v>3</v>
      </c>
      <c r="H232" s="191">
        <f>H233</f>
        <v>3</v>
      </c>
      <c r="I232" s="192">
        <f t="shared" si="18"/>
        <v>0</v>
      </c>
    </row>
    <row r="233" spans="1:9" ht="24" x14ac:dyDescent="0.2">
      <c r="A233" s="189" t="s">
        <v>534</v>
      </c>
      <c r="B233" s="190"/>
      <c r="C233" s="189" t="s">
        <v>531</v>
      </c>
      <c r="D233" s="189" t="s">
        <v>670</v>
      </c>
      <c r="E233" s="189" t="s">
        <v>1184</v>
      </c>
      <c r="F233" s="190" t="s">
        <v>529</v>
      </c>
      <c r="G233" s="191">
        <v>3</v>
      </c>
      <c r="H233" s="191">
        <v>3</v>
      </c>
      <c r="I233" s="192">
        <f t="shared" si="18"/>
        <v>0</v>
      </c>
    </row>
    <row r="234" spans="1:9" x14ac:dyDescent="0.2">
      <c r="A234" s="189" t="s">
        <v>553</v>
      </c>
      <c r="B234" s="190"/>
      <c r="C234" s="189" t="s">
        <v>531</v>
      </c>
      <c r="D234" s="189" t="s">
        <v>670</v>
      </c>
      <c r="E234" s="189" t="s">
        <v>1184</v>
      </c>
      <c r="F234" s="190" t="s">
        <v>552</v>
      </c>
      <c r="G234" s="191">
        <f>G235</f>
        <v>876</v>
      </c>
      <c r="H234" s="191">
        <f>H235</f>
        <v>877</v>
      </c>
      <c r="I234" s="192">
        <f t="shared" si="18"/>
        <v>1</v>
      </c>
    </row>
    <row r="235" spans="1:9" x14ac:dyDescent="0.2">
      <c r="A235" s="189" t="s">
        <v>841</v>
      </c>
      <c r="B235" s="190"/>
      <c r="C235" s="189" t="s">
        <v>531</v>
      </c>
      <c r="D235" s="189" t="s">
        <v>670</v>
      </c>
      <c r="E235" s="189" t="s">
        <v>1184</v>
      </c>
      <c r="F235" s="190" t="s">
        <v>840</v>
      </c>
      <c r="G235" s="191">
        <v>876</v>
      </c>
      <c r="H235" s="191">
        <f>876+1</f>
        <v>877</v>
      </c>
      <c r="I235" s="192">
        <f t="shared" si="18"/>
        <v>1</v>
      </c>
    </row>
    <row r="236" spans="1:9" s="376" customFormat="1" ht="24" x14ac:dyDescent="0.2">
      <c r="A236" s="189" t="s">
        <v>1493</v>
      </c>
      <c r="B236" s="190"/>
      <c r="C236" s="189" t="s">
        <v>531</v>
      </c>
      <c r="D236" s="189" t="s">
        <v>670</v>
      </c>
      <c r="E236" s="189" t="s">
        <v>1492</v>
      </c>
      <c r="F236" s="190"/>
      <c r="G236" s="191">
        <f>G237</f>
        <v>60</v>
      </c>
      <c r="H236" s="191">
        <f>H237</f>
        <v>145</v>
      </c>
      <c r="I236" s="192">
        <f t="shared" si="18"/>
        <v>85</v>
      </c>
    </row>
    <row r="237" spans="1:9" s="376" customFormat="1" x14ac:dyDescent="0.2">
      <c r="A237" s="189" t="s">
        <v>1347</v>
      </c>
      <c r="B237" s="190"/>
      <c r="C237" s="189" t="s">
        <v>531</v>
      </c>
      <c r="D237" s="189" t="s">
        <v>670</v>
      </c>
      <c r="E237" s="189" t="s">
        <v>1492</v>
      </c>
      <c r="F237" s="190" t="s">
        <v>535</v>
      </c>
      <c r="G237" s="191">
        <f>G238</f>
        <v>60</v>
      </c>
      <c r="H237" s="191">
        <f>H238</f>
        <v>145</v>
      </c>
      <c r="I237" s="192">
        <f t="shared" si="18"/>
        <v>85</v>
      </c>
    </row>
    <row r="238" spans="1:9" s="376" customFormat="1" ht="24" x14ac:dyDescent="0.2">
      <c r="A238" s="189" t="s">
        <v>534</v>
      </c>
      <c r="B238" s="190"/>
      <c r="C238" s="189" t="s">
        <v>531</v>
      </c>
      <c r="D238" s="189" t="s">
        <v>670</v>
      </c>
      <c r="E238" s="189" t="s">
        <v>1492</v>
      </c>
      <c r="F238" s="190" t="s">
        <v>529</v>
      </c>
      <c r="G238" s="191">
        <v>60</v>
      </c>
      <c r="H238" s="191">
        <f>60-5+90</f>
        <v>145</v>
      </c>
      <c r="I238" s="192">
        <f t="shared" si="18"/>
        <v>85</v>
      </c>
    </row>
    <row r="239" spans="1:9" ht="24" x14ac:dyDescent="0.2">
      <c r="A239" s="189" t="s">
        <v>1183</v>
      </c>
      <c r="B239" s="190"/>
      <c r="C239" s="189" t="s">
        <v>531</v>
      </c>
      <c r="D239" s="189" t="s">
        <v>670</v>
      </c>
      <c r="E239" s="189" t="s">
        <v>1182</v>
      </c>
      <c r="F239" s="190"/>
      <c r="G239" s="191">
        <f>G240</f>
        <v>307.5</v>
      </c>
      <c r="H239" s="191">
        <f>H240</f>
        <v>307.5</v>
      </c>
      <c r="I239" s="192">
        <f t="shared" si="18"/>
        <v>0</v>
      </c>
    </row>
    <row r="240" spans="1:9" ht="24" x14ac:dyDescent="0.2">
      <c r="A240" s="189" t="s">
        <v>547</v>
      </c>
      <c r="B240" s="190"/>
      <c r="C240" s="189" t="s">
        <v>531</v>
      </c>
      <c r="D240" s="189" t="s">
        <v>670</v>
      </c>
      <c r="E240" s="189" t="s">
        <v>1182</v>
      </c>
      <c r="F240" s="190" t="s">
        <v>519</v>
      </c>
      <c r="G240" s="191">
        <f>G241</f>
        <v>307.5</v>
      </c>
      <c r="H240" s="191">
        <f>H241</f>
        <v>307.5</v>
      </c>
      <c r="I240" s="192">
        <f t="shared" si="18"/>
        <v>0</v>
      </c>
    </row>
    <row r="241" spans="1:9" x14ac:dyDescent="0.2">
      <c r="A241" s="189" t="s">
        <v>546</v>
      </c>
      <c r="B241" s="190"/>
      <c r="C241" s="189" t="s">
        <v>531</v>
      </c>
      <c r="D241" s="189" t="s">
        <v>670</v>
      </c>
      <c r="E241" s="189" t="s">
        <v>1182</v>
      </c>
      <c r="F241" s="190" t="s">
        <v>544</v>
      </c>
      <c r="G241" s="191">
        <v>307.5</v>
      </c>
      <c r="H241" s="191">
        <v>307.5</v>
      </c>
      <c r="I241" s="192">
        <f t="shared" si="18"/>
        <v>0</v>
      </c>
    </row>
    <row r="242" spans="1:9" ht="24" x14ac:dyDescent="0.2">
      <c r="A242" s="189" t="s">
        <v>1366</v>
      </c>
      <c r="B242" s="190"/>
      <c r="C242" s="189" t="s">
        <v>531</v>
      </c>
      <c r="D242" s="189" t="s">
        <v>670</v>
      </c>
      <c r="E242" s="189" t="s">
        <v>1181</v>
      </c>
      <c r="F242" s="190"/>
      <c r="G242" s="191">
        <f>G243</f>
        <v>530</v>
      </c>
      <c r="H242" s="191">
        <f>H243</f>
        <v>530</v>
      </c>
      <c r="I242" s="192">
        <f t="shared" si="18"/>
        <v>0</v>
      </c>
    </row>
    <row r="243" spans="1:9" ht="36" x14ac:dyDescent="0.2">
      <c r="A243" s="189" t="s">
        <v>1348</v>
      </c>
      <c r="B243" s="190"/>
      <c r="C243" s="189" t="s">
        <v>531</v>
      </c>
      <c r="D243" s="189" t="s">
        <v>670</v>
      </c>
      <c r="E243" s="189" t="s">
        <v>1181</v>
      </c>
      <c r="F243" s="190" t="s">
        <v>556</v>
      </c>
      <c r="G243" s="191">
        <f>G244</f>
        <v>530</v>
      </c>
      <c r="H243" s="191">
        <f>H244</f>
        <v>530</v>
      </c>
      <c r="I243" s="192">
        <f t="shared" si="18"/>
        <v>0</v>
      </c>
    </row>
    <row r="244" spans="1:9" x14ac:dyDescent="0.2">
      <c r="A244" s="189" t="s">
        <v>555</v>
      </c>
      <c r="B244" s="190"/>
      <c r="C244" s="189" t="s">
        <v>531</v>
      </c>
      <c r="D244" s="189" t="s">
        <v>670</v>
      </c>
      <c r="E244" s="189" t="s">
        <v>1181</v>
      </c>
      <c r="F244" s="190" t="s">
        <v>554</v>
      </c>
      <c r="G244" s="191">
        <v>530</v>
      </c>
      <c r="H244" s="191">
        <v>530</v>
      </c>
      <c r="I244" s="192">
        <f t="shared" si="18"/>
        <v>0</v>
      </c>
    </row>
    <row r="245" spans="1:9" x14ac:dyDescent="0.2">
      <c r="A245" s="189" t="s">
        <v>602</v>
      </c>
      <c r="B245" s="190"/>
      <c r="C245" s="189" t="s">
        <v>531</v>
      </c>
      <c r="D245" s="189" t="s">
        <v>670</v>
      </c>
      <c r="E245" s="189" t="s">
        <v>1174</v>
      </c>
      <c r="F245" s="190"/>
      <c r="G245" s="191">
        <f>G246</f>
        <v>37849.19999999999</v>
      </c>
      <c r="H245" s="191">
        <f>H246</f>
        <v>37849.19999999999</v>
      </c>
      <c r="I245" s="192">
        <f t="shared" si="18"/>
        <v>0</v>
      </c>
    </row>
    <row r="246" spans="1:9" ht="24" x14ac:dyDescent="0.2">
      <c r="A246" s="189" t="s">
        <v>600</v>
      </c>
      <c r="B246" s="190"/>
      <c r="C246" s="189" t="s">
        <v>531</v>
      </c>
      <c r="D246" s="189" t="s">
        <v>670</v>
      </c>
      <c r="E246" s="189" t="s">
        <v>1173</v>
      </c>
      <c r="F246" s="190"/>
      <c r="G246" s="191">
        <f>G247</f>
        <v>37849.19999999999</v>
      </c>
      <c r="H246" s="191">
        <f>H247</f>
        <v>37849.19999999999</v>
      </c>
      <c r="I246" s="192">
        <f t="shared" si="18"/>
        <v>0</v>
      </c>
    </row>
    <row r="247" spans="1:9" ht="24" x14ac:dyDescent="0.2">
      <c r="A247" s="189" t="s">
        <v>1350</v>
      </c>
      <c r="B247" s="190"/>
      <c r="C247" s="189" t="s">
        <v>531</v>
      </c>
      <c r="D247" s="189" t="s">
        <v>670</v>
      </c>
      <c r="E247" s="189" t="s">
        <v>1172</v>
      </c>
      <c r="F247" s="190"/>
      <c r="G247" s="191">
        <f>G248+G250+G252</f>
        <v>37849.19999999999</v>
      </c>
      <c r="H247" s="191">
        <f>H248+H250+H252</f>
        <v>37849.19999999999</v>
      </c>
      <c r="I247" s="192">
        <f t="shared" si="18"/>
        <v>0</v>
      </c>
    </row>
    <row r="248" spans="1:9" ht="36" x14ac:dyDescent="0.2">
      <c r="A248" s="189" t="s">
        <v>1348</v>
      </c>
      <c r="B248" s="190"/>
      <c r="C248" s="189" t="s">
        <v>531</v>
      </c>
      <c r="D248" s="189" t="s">
        <v>670</v>
      </c>
      <c r="E248" s="189" t="s">
        <v>1172</v>
      </c>
      <c r="F248" s="190" t="s">
        <v>556</v>
      </c>
      <c r="G248" s="191">
        <f>G249</f>
        <v>35875.499999999993</v>
      </c>
      <c r="H248" s="191">
        <f>H249</f>
        <v>35875.499999999993</v>
      </c>
      <c r="I248" s="192">
        <f t="shared" si="18"/>
        <v>0</v>
      </c>
    </row>
    <row r="249" spans="1:9" x14ac:dyDescent="0.2">
      <c r="A249" s="189" t="s">
        <v>555</v>
      </c>
      <c r="B249" s="190"/>
      <c r="C249" s="189" t="s">
        <v>531</v>
      </c>
      <c r="D249" s="189" t="s">
        <v>670</v>
      </c>
      <c r="E249" s="189" t="s">
        <v>1172</v>
      </c>
      <c r="F249" s="190" t="s">
        <v>554</v>
      </c>
      <c r="G249" s="191">
        <f>36741.2-729.6-220.4+1974.7-1890.4</f>
        <v>35875.499999999993</v>
      </c>
      <c r="H249" s="191">
        <f>36741.2-729.6-220.4+1974.7-1890.4</f>
        <v>35875.499999999993</v>
      </c>
      <c r="I249" s="192">
        <f t="shared" si="18"/>
        <v>0</v>
      </c>
    </row>
    <row r="250" spans="1:9" x14ac:dyDescent="0.2">
      <c r="A250" s="189" t="s">
        <v>1347</v>
      </c>
      <c r="B250" s="190"/>
      <c r="C250" s="189" t="s">
        <v>531</v>
      </c>
      <c r="D250" s="189" t="s">
        <v>670</v>
      </c>
      <c r="E250" s="189" t="s">
        <v>1172</v>
      </c>
      <c r="F250" s="190" t="s">
        <v>535</v>
      </c>
      <c r="G250" s="191">
        <f>G251</f>
        <v>1023.7</v>
      </c>
      <c r="H250" s="191">
        <f>H251</f>
        <v>1023.7</v>
      </c>
      <c r="I250" s="192">
        <f t="shared" si="18"/>
        <v>0</v>
      </c>
    </row>
    <row r="251" spans="1:9" ht="24" x14ac:dyDescent="0.2">
      <c r="A251" s="189" t="s">
        <v>534</v>
      </c>
      <c r="B251" s="190"/>
      <c r="C251" s="189" t="s">
        <v>531</v>
      </c>
      <c r="D251" s="189" t="s">
        <v>670</v>
      </c>
      <c r="E251" s="189" t="s">
        <v>1172</v>
      </c>
      <c r="F251" s="190" t="s">
        <v>529</v>
      </c>
      <c r="G251" s="191">
        <v>1023.7</v>
      </c>
      <c r="H251" s="191">
        <v>1023.7</v>
      </c>
      <c r="I251" s="192">
        <f t="shared" si="18"/>
        <v>0</v>
      </c>
    </row>
    <row r="252" spans="1:9" s="230" customFormat="1" x14ac:dyDescent="0.2">
      <c r="A252" s="189" t="s">
        <v>553</v>
      </c>
      <c r="B252" s="190"/>
      <c r="C252" s="189" t="s">
        <v>531</v>
      </c>
      <c r="D252" s="189" t="s">
        <v>670</v>
      </c>
      <c r="E252" s="189" t="s">
        <v>1172</v>
      </c>
      <c r="F252" s="190">
        <v>300</v>
      </c>
      <c r="G252" s="191">
        <f>G253</f>
        <v>950</v>
      </c>
      <c r="H252" s="191">
        <f>H253</f>
        <v>950</v>
      </c>
      <c r="I252" s="192">
        <f t="shared" si="18"/>
        <v>0</v>
      </c>
    </row>
    <row r="253" spans="1:9" s="230" customFormat="1" x14ac:dyDescent="0.2">
      <c r="A253" s="189" t="s">
        <v>832</v>
      </c>
      <c r="B253" s="190"/>
      <c r="C253" s="189" t="s">
        <v>531</v>
      </c>
      <c r="D253" s="189" t="s">
        <v>670</v>
      </c>
      <c r="E253" s="189" t="s">
        <v>1172</v>
      </c>
      <c r="F253" s="190">
        <v>320</v>
      </c>
      <c r="G253" s="191">
        <v>950</v>
      </c>
      <c r="H253" s="191">
        <v>950</v>
      </c>
      <c r="I253" s="192">
        <f t="shared" si="18"/>
        <v>0</v>
      </c>
    </row>
    <row r="254" spans="1:9" x14ac:dyDescent="0.2">
      <c r="A254" s="189" t="s">
        <v>1171</v>
      </c>
      <c r="B254" s="190"/>
      <c r="C254" s="189" t="s">
        <v>531</v>
      </c>
      <c r="D254" s="189" t="s">
        <v>1151</v>
      </c>
      <c r="E254" s="189"/>
      <c r="F254" s="190"/>
      <c r="G254" s="191">
        <f>G255</f>
        <v>42460.5</v>
      </c>
      <c r="H254" s="191">
        <f>H255</f>
        <v>40232.6</v>
      </c>
      <c r="I254" s="192">
        <f t="shared" si="18"/>
        <v>-2227.9000000000015</v>
      </c>
    </row>
    <row r="255" spans="1:9" ht="24" x14ac:dyDescent="0.2">
      <c r="A255" s="189" t="s">
        <v>1005</v>
      </c>
      <c r="B255" s="190"/>
      <c r="C255" s="189" t="s">
        <v>531</v>
      </c>
      <c r="D255" s="189" t="s">
        <v>1151</v>
      </c>
      <c r="E255" s="189" t="s">
        <v>1004</v>
      </c>
      <c r="F255" s="190"/>
      <c r="G255" s="191">
        <f>G256</f>
        <v>42460.5</v>
      </c>
      <c r="H255" s="191">
        <f>H256</f>
        <v>40232.6</v>
      </c>
      <c r="I255" s="192">
        <f t="shared" si="18"/>
        <v>-2227.9000000000015</v>
      </c>
    </row>
    <row r="256" spans="1:9" x14ac:dyDescent="0.2">
      <c r="A256" s="189" t="s">
        <v>1003</v>
      </c>
      <c r="B256" s="190"/>
      <c r="C256" s="189" t="s">
        <v>531</v>
      </c>
      <c r="D256" s="189" t="s">
        <v>1151</v>
      </c>
      <c r="E256" s="189" t="s">
        <v>1002</v>
      </c>
      <c r="F256" s="190"/>
      <c r="G256" s="191">
        <f>G257+G270+G274+G281</f>
        <v>42460.5</v>
      </c>
      <c r="H256" s="191">
        <f>H257+H270+H274+H281</f>
        <v>40232.6</v>
      </c>
      <c r="I256" s="192">
        <f t="shared" ref="I256:I339" si="22">H256-G256</f>
        <v>-2227.9000000000015</v>
      </c>
    </row>
    <row r="257" spans="1:9" ht="36" x14ac:dyDescent="0.2">
      <c r="A257" s="189" t="s">
        <v>1170</v>
      </c>
      <c r="B257" s="190"/>
      <c r="C257" s="189" t="s">
        <v>531</v>
      </c>
      <c r="D257" s="189" t="s">
        <v>1151</v>
      </c>
      <c r="E257" s="189" t="s">
        <v>1169</v>
      </c>
      <c r="F257" s="190"/>
      <c r="G257" s="191">
        <f>G258+G261+G264+G267</f>
        <v>5348.1</v>
      </c>
      <c r="H257" s="191">
        <f>H258+H261+H264+H267</f>
        <v>5334.6</v>
      </c>
      <c r="I257" s="192">
        <f t="shared" si="22"/>
        <v>-13.5</v>
      </c>
    </row>
    <row r="258" spans="1:9" ht="48" x14ac:dyDescent="0.2">
      <c r="A258" s="189" t="s">
        <v>1168</v>
      </c>
      <c r="B258" s="190"/>
      <c r="C258" s="189" t="s">
        <v>531</v>
      </c>
      <c r="D258" s="189" t="s">
        <v>1151</v>
      </c>
      <c r="E258" s="189" t="s">
        <v>1167</v>
      </c>
      <c r="F258" s="190"/>
      <c r="G258" s="191">
        <f>G259</f>
        <v>4623.3</v>
      </c>
      <c r="H258" s="191">
        <f>H259</f>
        <v>4623.3</v>
      </c>
      <c r="I258" s="192">
        <f t="shared" si="22"/>
        <v>0</v>
      </c>
    </row>
    <row r="259" spans="1:9" x14ac:dyDescent="0.2">
      <c r="A259" s="189" t="s">
        <v>1347</v>
      </c>
      <c r="B259" s="190"/>
      <c r="C259" s="189" t="s">
        <v>531</v>
      </c>
      <c r="D259" s="189" t="s">
        <v>1151</v>
      </c>
      <c r="E259" s="189" t="s">
        <v>1167</v>
      </c>
      <c r="F259" s="190" t="s">
        <v>535</v>
      </c>
      <c r="G259" s="191">
        <f>G260</f>
        <v>4623.3</v>
      </c>
      <c r="H259" s="191">
        <f>H260</f>
        <v>4623.3</v>
      </c>
      <c r="I259" s="192">
        <f t="shared" si="22"/>
        <v>0</v>
      </c>
    </row>
    <row r="260" spans="1:9" ht="24" x14ac:dyDescent="0.2">
      <c r="A260" s="189" t="s">
        <v>534</v>
      </c>
      <c r="B260" s="190"/>
      <c r="C260" s="189" t="s">
        <v>531</v>
      </c>
      <c r="D260" s="189" t="s">
        <v>1151</v>
      </c>
      <c r="E260" s="189" t="s">
        <v>1167</v>
      </c>
      <c r="F260" s="190" t="s">
        <v>529</v>
      </c>
      <c r="G260" s="191">
        <f>8000-1870.2-1506.5</f>
        <v>4623.3</v>
      </c>
      <c r="H260" s="191">
        <f>8000-1870.2-1506.5</f>
        <v>4623.3</v>
      </c>
      <c r="I260" s="192">
        <f t="shared" si="22"/>
        <v>0</v>
      </c>
    </row>
    <row r="261" spans="1:9" ht="48" x14ac:dyDescent="0.2">
      <c r="A261" s="189" t="s">
        <v>1525</v>
      </c>
      <c r="B261" s="190"/>
      <c r="C261" s="189" t="s">
        <v>531</v>
      </c>
      <c r="D261" s="189" t="s">
        <v>1151</v>
      </c>
      <c r="E261" s="189" t="s">
        <v>1166</v>
      </c>
      <c r="F261" s="190"/>
      <c r="G261" s="191">
        <f>G262</f>
        <v>90</v>
      </c>
      <c r="H261" s="191">
        <f>H262</f>
        <v>90</v>
      </c>
      <c r="I261" s="192">
        <f t="shared" si="22"/>
        <v>0</v>
      </c>
    </row>
    <row r="262" spans="1:9" s="387" customFormat="1" ht="24" x14ac:dyDescent="0.2">
      <c r="A262" s="189" t="s">
        <v>547</v>
      </c>
      <c r="B262" s="190"/>
      <c r="C262" s="189" t="s">
        <v>531</v>
      </c>
      <c r="D262" s="189" t="s">
        <v>1151</v>
      </c>
      <c r="E262" s="189" t="s">
        <v>1166</v>
      </c>
      <c r="F262" s="190">
        <v>600</v>
      </c>
      <c r="G262" s="191">
        <f>G263</f>
        <v>90</v>
      </c>
      <c r="H262" s="191">
        <f>H263</f>
        <v>90</v>
      </c>
      <c r="I262" s="192">
        <f t="shared" si="22"/>
        <v>0</v>
      </c>
    </row>
    <row r="263" spans="1:9" s="387" customFormat="1" x14ac:dyDescent="0.2">
      <c r="A263" s="189" t="s">
        <v>571</v>
      </c>
      <c r="B263" s="190"/>
      <c r="C263" s="189" t="s">
        <v>531</v>
      </c>
      <c r="D263" s="189" t="s">
        <v>1151</v>
      </c>
      <c r="E263" s="189" t="s">
        <v>1166</v>
      </c>
      <c r="F263" s="190">
        <v>610</v>
      </c>
      <c r="G263" s="191">
        <v>90</v>
      </c>
      <c r="H263" s="191">
        <v>90</v>
      </c>
      <c r="I263" s="192">
        <f t="shared" si="22"/>
        <v>0</v>
      </c>
    </row>
    <row r="264" spans="1:9" ht="48" x14ac:dyDescent="0.2">
      <c r="A264" s="189" t="s">
        <v>1165</v>
      </c>
      <c r="B264" s="190"/>
      <c r="C264" s="189" t="s">
        <v>531</v>
      </c>
      <c r="D264" s="189" t="s">
        <v>1151</v>
      </c>
      <c r="E264" s="189" t="s">
        <v>1164</v>
      </c>
      <c r="F264" s="190"/>
      <c r="G264" s="191">
        <f>G265</f>
        <v>549.79999999999995</v>
      </c>
      <c r="H264" s="191">
        <f>H265</f>
        <v>536.29999999999995</v>
      </c>
      <c r="I264" s="192">
        <f t="shared" si="22"/>
        <v>-13.5</v>
      </c>
    </row>
    <row r="265" spans="1:9" x14ac:dyDescent="0.2">
      <c r="A265" s="189" t="s">
        <v>1347</v>
      </c>
      <c r="B265" s="190"/>
      <c r="C265" s="189" t="s">
        <v>531</v>
      </c>
      <c r="D265" s="189" t="s">
        <v>1151</v>
      </c>
      <c r="E265" s="189" t="s">
        <v>1164</v>
      </c>
      <c r="F265" s="190" t="s">
        <v>535</v>
      </c>
      <c r="G265" s="191">
        <f>G266</f>
        <v>549.79999999999995</v>
      </c>
      <c r="H265" s="191">
        <f>H266</f>
        <v>536.29999999999995</v>
      </c>
      <c r="I265" s="192">
        <f t="shared" si="22"/>
        <v>-13.5</v>
      </c>
    </row>
    <row r="266" spans="1:9" ht="24" x14ac:dyDescent="0.2">
      <c r="A266" s="189" t="s">
        <v>534</v>
      </c>
      <c r="B266" s="190"/>
      <c r="C266" s="189" t="s">
        <v>531</v>
      </c>
      <c r="D266" s="189" t="s">
        <v>1151</v>
      </c>
      <c r="E266" s="189" t="s">
        <v>1164</v>
      </c>
      <c r="F266" s="190" t="s">
        <v>529</v>
      </c>
      <c r="G266" s="191">
        <f>650-100.2</f>
        <v>549.79999999999995</v>
      </c>
      <c r="H266" s="191">
        <f>650-100.2-13.5</f>
        <v>536.29999999999995</v>
      </c>
      <c r="I266" s="192">
        <f t="shared" si="22"/>
        <v>-13.5</v>
      </c>
    </row>
    <row r="267" spans="1:9" ht="48" x14ac:dyDescent="0.2">
      <c r="A267" s="189" t="s">
        <v>1161</v>
      </c>
      <c r="B267" s="190"/>
      <c r="C267" s="189" t="s">
        <v>531</v>
      </c>
      <c r="D267" s="189" t="s">
        <v>1151</v>
      </c>
      <c r="E267" s="189" t="s">
        <v>1160</v>
      </c>
      <c r="F267" s="190"/>
      <c r="G267" s="191">
        <f>G268</f>
        <v>85</v>
      </c>
      <c r="H267" s="191">
        <f>H268</f>
        <v>85</v>
      </c>
      <c r="I267" s="192">
        <f t="shared" si="22"/>
        <v>0</v>
      </c>
    </row>
    <row r="268" spans="1:9" ht="24" x14ac:dyDescent="0.2">
      <c r="A268" s="189" t="s">
        <v>547</v>
      </c>
      <c r="B268" s="190"/>
      <c r="C268" s="189" t="s">
        <v>531</v>
      </c>
      <c r="D268" s="189" t="s">
        <v>1151</v>
      </c>
      <c r="E268" s="189" t="s">
        <v>1160</v>
      </c>
      <c r="F268" s="190" t="s">
        <v>519</v>
      </c>
      <c r="G268" s="191">
        <f>G269</f>
        <v>85</v>
      </c>
      <c r="H268" s="191">
        <f>H269</f>
        <v>85</v>
      </c>
      <c r="I268" s="192">
        <f t="shared" si="22"/>
        <v>0</v>
      </c>
    </row>
    <row r="269" spans="1:9" x14ac:dyDescent="0.2">
      <c r="A269" s="189" t="s">
        <v>546</v>
      </c>
      <c r="B269" s="190"/>
      <c r="C269" s="189" t="s">
        <v>531</v>
      </c>
      <c r="D269" s="189" t="s">
        <v>1151</v>
      </c>
      <c r="E269" s="189" t="s">
        <v>1160</v>
      </c>
      <c r="F269" s="190" t="s">
        <v>544</v>
      </c>
      <c r="G269" s="191">
        <v>85</v>
      </c>
      <c r="H269" s="191">
        <v>85</v>
      </c>
      <c r="I269" s="192">
        <f t="shared" si="22"/>
        <v>0</v>
      </c>
    </row>
    <row r="270" spans="1:9" ht="36" x14ac:dyDescent="0.2">
      <c r="A270" s="189" t="s">
        <v>1159</v>
      </c>
      <c r="B270" s="190"/>
      <c r="C270" s="189" t="s">
        <v>531</v>
      </c>
      <c r="D270" s="189" t="s">
        <v>1151</v>
      </c>
      <c r="E270" s="189" t="s">
        <v>1158</v>
      </c>
      <c r="F270" s="190"/>
      <c r="G270" s="191">
        <f t="shared" ref="G270:H272" si="23">G271</f>
        <v>18</v>
      </c>
      <c r="H270" s="191">
        <f t="shared" si="23"/>
        <v>18</v>
      </c>
      <c r="I270" s="192">
        <f t="shared" si="22"/>
        <v>0</v>
      </c>
    </row>
    <row r="271" spans="1:9" ht="24" x14ac:dyDescent="0.2">
      <c r="A271" s="189" t="s">
        <v>1157</v>
      </c>
      <c r="B271" s="190"/>
      <c r="C271" s="189" t="s">
        <v>531</v>
      </c>
      <c r="D271" s="189" t="s">
        <v>1151</v>
      </c>
      <c r="E271" s="189" t="s">
        <v>1156</v>
      </c>
      <c r="F271" s="190"/>
      <c r="G271" s="191">
        <f t="shared" si="23"/>
        <v>18</v>
      </c>
      <c r="H271" s="191">
        <f t="shared" si="23"/>
        <v>18</v>
      </c>
      <c r="I271" s="192">
        <f t="shared" si="22"/>
        <v>0</v>
      </c>
    </row>
    <row r="272" spans="1:9" ht="24" x14ac:dyDescent="0.2">
      <c r="A272" s="189" t="s">
        <v>547</v>
      </c>
      <c r="B272" s="190"/>
      <c r="C272" s="189" t="s">
        <v>531</v>
      </c>
      <c r="D272" s="189" t="s">
        <v>1151</v>
      </c>
      <c r="E272" s="189" t="s">
        <v>1156</v>
      </c>
      <c r="F272" s="190" t="s">
        <v>519</v>
      </c>
      <c r="G272" s="191">
        <f t="shared" si="23"/>
        <v>18</v>
      </c>
      <c r="H272" s="191">
        <f t="shared" si="23"/>
        <v>18</v>
      </c>
      <c r="I272" s="192">
        <f t="shared" si="22"/>
        <v>0</v>
      </c>
    </row>
    <row r="273" spans="1:9" x14ac:dyDescent="0.2">
      <c r="A273" s="189" t="s">
        <v>546</v>
      </c>
      <c r="B273" s="190"/>
      <c r="C273" s="189" t="s">
        <v>531</v>
      </c>
      <c r="D273" s="189" t="s">
        <v>1151</v>
      </c>
      <c r="E273" s="189" t="s">
        <v>1156</v>
      </c>
      <c r="F273" s="190" t="s">
        <v>544</v>
      </c>
      <c r="G273" s="191">
        <v>18</v>
      </c>
      <c r="H273" s="191">
        <v>18</v>
      </c>
      <c r="I273" s="192">
        <f t="shared" si="22"/>
        <v>0</v>
      </c>
    </row>
    <row r="274" spans="1:9" ht="24" x14ac:dyDescent="0.2">
      <c r="A274" s="189" t="s">
        <v>1155</v>
      </c>
      <c r="B274" s="190"/>
      <c r="C274" s="189" t="s">
        <v>531</v>
      </c>
      <c r="D274" s="189" t="s">
        <v>1151</v>
      </c>
      <c r="E274" s="189" t="s">
        <v>1154</v>
      </c>
      <c r="F274" s="190"/>
      <c r="G274" s="191">
        <f>G275+G278</f>
        <v>36974.400000000001</v>
      </c>
      <c r="H274" s="191">
        <f>H275+H278</f>
        <v>34760</v>
      </c>
      <c r="I274" s="192">
        <f t="shared" si="22"/>
        <v>-2214.4000000000015</v>
      </c>
    </row>
    <row r="275" spans="1:9" x14ac:dyDescent="0.2">
      <c r="A275" s="189" t="s">
        <v>1153</v>
      </c>
      <c r="B275" s="190"/>
      <c r="C275" s="189" t="s">
        <v>531</v>
      </c>
      <c r="D275" s="189" t="s">
        <v>1151</v>
      </c>
      <c r="E275" s="189" t="s">
        <v>1152</v>
      </c>
      <c r="F275" s="190"/>
      <c r="G275" s="191">
        <f>G276</f>
        <v>8832.1</v>
      </c>
      <c r="H275" s="191">
        <f>H276</f>
        <v>8832.1</v>
      </c>
      <c r="I275" s="192">
        <f t="shared" si="22"/>
        <v>0</v>
      </c>
    </row>
    <row r="276" spans="1:9" x14ac:dyDescent="0.2">
      <c r="A276" s="189" t="s">
        <v>1347</v>
      </c>
      <c r="B276" s="190"/>
      <c r="C276" s="189" t="s">
        <v>531</v>
      </c>
      <c r="D276" s="189" t="s">
        <v>1151</v>
      </c>
      <c r="E276" s="189" t="s">
        <v>1152</v>
      </c>
      <c r="F276" s="190" t="s">
        <v>535</v>
      </c>
      <c r="G276" s="191">
        <f>G277</f>
        <v>8832.1</v>
      </c>
      <c r="H276" s="191">
        <f>H277</f>
        <v>8832.1</v>
      </c>
      <c r="I276" s="192">
        <f t="shared" si="22"/>
        <v>0</v>
      </c>
    </row>
    <row r="277" spans="1:9" ht="24" x14ac:dyDescent="0.2">
      <c r="A277" s="189" t="s">
        <v>534</v>
      </c>
      <c r="B277" s="190"/>
      <c r="C277" s="189" t="s">
        <v>531</v>
      </c>
      <c r="D277" s="189" t="s">
        <v>1151</v>
      </c>
      <c r="E277" s="189" t="s">
        <v>1152</v>
      </c>
      <c r="F277" s="190" t="s">
        <v>529</v>
      </c>
      <c r="G277" s="191">
        <f>8850-17.9</f>
        <v>8832.1</v>
      </c>
      <c r="H277" s="191">
        <f>8850-17.9</f>
        <v>8832.1</v>
      </c>
      <c r="I277" s="192">
        <f t="shared" si="22"/>
        <v>0</v>
      </c>
    </row>
    <row r="278" spans="1:9" ht="30.75" customHeight="1" x14ac:dyDescent="0.2">
      <c r="A278" s="189" t="s">
        <v>1351</v>
      </c>
      <c r="B278" s="190"/>
      <c r="C278" s="189" t="s">
        <v>531</v>
      </c>
      <c r="D278" s="189" t="s">
        <v>1151</v>
      </c>
      <c r="E278" s="189" t="s">
        <v>1150</v>
      </c>
      <c r="F278" s="190"/>
      <c r="G278" s="191">
        <f>G279</f>
        <v>28142.3</v>
      </c>
      <c r="H278" s="191">
        <f>H279</f>
        <v>25927.9</v>
      </c>
      <c r="I278" s="192">
        <f t="shared" si="22"/>
        <v>-2214.3999999999978</v>
      </c>
    </row>
    <row r="279" spans="1:9" ht="24" x14ac:dyDescent="0.2">
      <c r="A279" s="189" t="s">
        <v>547</v>
      </c>
      <c r="B279" s="190"/>
      <c r="C279" s="189" t="s">
        <v>531</v>
      </c>
      <c r="D279" s="189" t="s">
        <v>1151</v>
      </c>
      <c r="E279" s="189" t="s">
        <v>1150</v>
      </c>
      <c r="F279" s="190" t="s">
        <v>519</v>
      </c>
      <c r="G279" s="191">
        <f>G280</f>
        <v>28142.3</v>
      </c>
      <c r="H279" s="191">
        <f>H280</f>
        <v>25927.9</v>
      </c>
      <c r="I279" s="192">
        <f t="shared" si="22"/>
        <v>-2214.3999999999978</v>
      </c>
    </row>
    <row r="280" spans="1:9" x14ac:dyDescent="0.2">
      <c r="A280" s="189" t="s">
        <v>546</v>
      </c>
      <c r="B280" s="190"/>
      <c r="C280" s="189" t="s">
        <v>531</v>
      </c>
      <c r="D280" s="189" t="s">
        <v>1151</v>
      </c>
      <c r="E280" s="189" t="s">
        <v>1150</v>
      </c>
      <c r="F280" s="190" t="s">
        <v>544</v>
      </c>
      <c r="G280" s="191">
        <f>28359.5-217.2</f>
        <v>28142.3</v>
      </c>
      <c r="H280" s="191">
        <f>28359.5-217.2-439.3-1775.1</f>
        <v>25927.9</v>
      </c>
      <c r="I280" s="192">
        <f t="shared" si="22"/>
        <v>-2214.3999999999978</v>
      </c>
    </row>
    <row r="281" spans="1:9" s="376" customFormat="1" ht="60" x14ac:dyDescent="0.2">
      <c r="A281" s="189" t="s">
        <v>1502</v>
      </c>
      <c r="B281" s="189"/>
      <c r="C281" s="189" t="s">
        <v>531</v>
      </c>
      <c r="D281" s="189" t="s">
        <v>1151</v>
      </c>
      <c r="E281" s="189" t="s">
        <v>1503</v>
      </c>
      <c r="F281" s="189"/>
      <c r="G281" s="191">
        <f t="shared" ref="G281:H283" si="24">G282</f>
        <v>120</v>
      </c>
      <c r="H281" s="191">
        <f t="shared" si="24"/>
        <v>120</v>
      </c>
      <c r="I281" s="192">
        <f t="shared" si="22"/>
        <v>0</v>
      </c>
    </row>
    <row r="282" spans="1:9" s="376" customFormat="1" ht="48" x14ac:dyDescent="0.2">
      <c r="A282" s="189" t="s">
        <v>1504</v>
      </c>
      <c r="B282" s="189"/>
      <c r="C282" s="189" t="s">
        <v>531</v>
      </c>
      <c r="D282" s="189" t="s">
        <v>1151</v>
      </c>
      <c r="E282" s="189" t="s">
        <v>1505</v>
      </c>
      <c r="F282" s="189"/>
      <c r="G282" s="191">
        <f t="shared" si="24"/>
        <v>120</v>
      </c>
      <c r="H282" s="191">
        <f t="shared" si="24"/>
        <v>120</v>
      </c>
      <c r="I282" s="192">
        <f t="shared" si="22"/>
        <v>0</v>
      </c>
    </row>
    <row r="283" spans="1:9" s="376" customFormat="1" x14ac:dyDescent="0.2">
      <c r="A283" s="189" t="s">
        <v>1347</v>
      </c>
      <c r="B283" s="189"/>
      <c r="C283" s="189" t="s">
        <v>531</v>
      </c>
      <c r="D283" s="189" t="s">
        <v>1151</v>
      </c>
      <c r="E283" s="189" t="s">
        <v>1505</v>
      </c>
      <c r="F283" s="189" t="s">
        <v>535</v>
      </c>
      <c r="G283" s="191">
        <f t="shared" si="24"/>
        <v>120</v>
      </c>
      <c r="H283" s="191">
        <f t="shared" si="24"/>
        <v>120</v>
      </c>
      <c r="I283" s="192">
        <f t="shared" si="22"/>
        <v>0</v>
      </c>
    </row>
    <row r="284" spans="1:9" s="376" customFormat="1" ht="24" x14ac:dyDescent="0.2">
      <c r="A284" s="189" t="s">
        <v>534</v>
      </c>
      <c r="B284" s="189"/>
      <c r="C284" s="189" t="s">
        <v>531</v>
      </c>
      <c r="D284" s="189" t="s">
        <v>1151</v>
      </c>
      <c r="E284" s="189" t="s">
        <v>1505</v>
      </c>
      <c r="F284" s="189" t="s">
        <v>529</v>
      </c>
      <c r="G284" s="191">
        <v>120</v>
      </c>
      <c r="H284" s="191">
        <v>120</v>
      </c>
      <c r="I284" s="192">
        <f t="shared" si="22"/>
        <v>0</v>
      </c>
    </row>
    <row r="285" spans="1:9" s="78" customFormat="1" x14ac:dyDescent="0.2">
      <c r="A285" s="185" t="s">
        <v>590</v>
      </c>
      <c r="B285" s="186"/>
      <c r="C285" s="185" t="s">
        <v>507</v>
      </c>
      <c r="D285" s="185"/>
      <c r="E285" s="185"/>
      <c r="F285" s="186"/>
      <c r="G285" s="187">
        <f>G286+G331+G346+G359+G452+G474</f>
        <v>731914.19999999984</v>
      </c>
      <c r="H285" s="187">
        <f>H286+H331+H346+H359+H452+H474</f>
        <v>735767.2</v>
      </c>
      <c r="I285" s="188">
        <f t="shared" si="22"/>
        <v>3853.0000000001164</v>
      </c>
    </row>
    <row r="286" spans="1:9" x14ac:dyDescent="0.2">
      <c r="A286" s="189" t="s">
        <v>589</v>
      </c>
      <c r="B286" s="190"/>
      <c r="C286" s="189" t="s">
        <v>507</v>
      </c>
      <c r="D286" s="189" t="s">
        <v>498</v>
      </c>
      <c r="E286" s="189"/>
      <c r="F286" s="190"/>
      <c r="G286" s="191">
        <f>G287+G298+G304</f>
        <v>1949.6999999999998</v>
      </c>
      <c r="H286" s="191">
        <f>H287+H298+H304</f>
        <v>1949.6999999999998</v>
      </c>
      <c r="I286" s="192">
        <f t="shared" si="22"/>
        <v>0</v>
      </c>
    </row>
    <row r="287" spans="1:9" x14ac:dyDescent="0.2">
      <c r="A287" s="189" t="s">
        <v>653</v>
      </c>
      <c r="B287" s="190"/>
      <c r="C287" s="189" t="s">
        <v>507</v>
      </c>
      <c r="D287" s="189" t="s">
        <v>498</v>
      </c>
      <c r="E287" s="189" t="s">
        <v>652</v>
      </c>
      <c r="F287" s="190"/>
      <c r="G287" s="191">
        <f>G288</f>
        <v>695.59999999999991</v>
      </c>
      <c r="H287" s="191">
        <f>H288</f>
        <v>695.59999999999991</v>
      </c>
      <c r="I287" s="192">
        <f t="shared" si="22"/>
        <v>0</v>
      </c>
    </row>
    <row r="288" spans="1:9" ht="24" x14ac:dyDescent="0.2">
      <c r="A288" s="189" t="s">
        <v>639</v>
      </c>
      <c r="B288" s="190"/>
      <c r="C288" s="189" t="s">
        <v>507</v>
      </c>
      <c r="D288" s="189" t="s">
        <v>498</v>
      </c>
      <c r="E288" s="189" t="s">
        <v>638</v>
      </c>
      <c r="F288" s="190"/>
      <c r="G288" s="191">
        <f>G289</f>
        <v>695.59999999999991</v>
      </c>
      <c r="H288" s="191">
        <f>H289</f>
        <v>695.59999999999991</v>
      </c>
      <c r="I288" s="192">
        <f t="shared" si="22"/>
        <v>0</v>
      </c>
    </row>
    <row r="289" spans="1:9" x14ac:dyDescent="0.2">
      <c r="A289" s="189" t="s">
        <v>637</v>
      </c>
      <c r="B289" s="190"/>
      <c r="C289" s="189" t="s">
        <v>507</v>
      </c>
      <c r="D289" s="189" t="s">
        <v>498</v>
      </c>
      <c r="E289" s="189" t="s">
        <v>636</v>
      </c>
      <c r="F289" s="190"/>
      <c r="G289" s="191">
        <f>G290+G295</f>
        <v>695.59999999999991</v>
      </c>
      <c r="H289" s="191">
        <f>H290+H295</f>
        <v>695.59999999999991</v>
      </c>
      <c r="I289" s="192">
        <f t="shared" si="22"/>
        <v>0</v>
      </c>
    </row>
    <row r="290" spans="1:9" x14ac:dyDescent="0.2">
      <c r="A290" s="189" t="s">
        <v>622</v>
      </c>
      <c r="B290" s="190"/>
      <c r="C290" s="189" t="s">
        <v>507</v>
      </c>
      <c r="D290" s="189" t="s">
        <v>498</v>
      </c>
      <c r="E290" s="189" t="s">
        <v>635</v>
      </c>
      <c r="F290" s="190"/>
      <c r="G290" s="191">
        <f>G291+G293</f>
        <v>595.59999999999991</v>
      </c>
      <c r="H290" s="191">
        <f>H291+H293</f>
        <v>595.59999999999991</v>
      </c>
      <c r="I290" s="192">
        <f t="shared" si="22"/>
        <v>0</v>
      </c>
    </row>
    <row r="291" spans="1:9" x14ac:dyDescent="0.2">
      <c r="A291" s="189" t="s">
        <v>1347</v>
      </c>
      <c r="B291" s="190"/>
      <c r="C291" s="189" t="s">
        <v>507</v>
      </c>
      <c r="D291" s="189" t="s">
        <v>498</v>
      </c>
      <c r="E291" s="189" t="s">
        <v>635</v>
      </c>
      <c r="F291" s="190" t="s">
        <v>535</v>
      </c>
      <c r="G291" s="191">
        <f>G292</f>
        <v>78.3</v>
      </c>
      <c r="H291" s="191">
        <f>H292</f>
        <v>78.3</v>
      </c>
      <c r="I291" s="192">
        <f t="shared" si="22"/>
        <v>0</v>
      </c>
    </row>
    <row r="292" spans="1:9" ht="24" x14ac:dyDescent="0.2">
      <c r="A292" s="189" t="s">
        <v>534</v>
      </c>
      <c r="B292" s="190"/>
      <c r="C292" s="189" t="s">
        <v>507</v>
      </c>
      <c r="D292" s="189" t="s">
        <v>498</v>
      </c>
      <c r="E292" s="189" t="s">
        <v>635</v>
      </c>
      <c r="F292" s="190" t="s">
        <v>529</v>
      </c>
      <c r="G292" s="191">
        <v>78.3</v>
      </c>
      <c r="H292" s="191">
        <v>78.3</v>
      </c>
      <c r="I292" s="192">
        <f t="shared" si="22"/>
        <v>0</v>
      </c>
    </row>
    <row r="293" spans="1:9" x14ac:dyDescent="0.2">
      <c r="A293" s="189" t="s">
        <v>553</v>
      </c>
      <c r="B293" s="190"/>
      <c r="C293" s="189" t="s">
        <v>507</v>
      </c>
      <c r="D293" s="189" t="s">
        <v>498</v>
      </c>
      <c r="E293" s="189" t="s">
        <v>635</v>
      </c>
      <c r="F293" s="190" t="s">
        <v>552</v>
      </c>
      <c r="G293" s="191">
        <f>G294</f>
        <v>517.29999999999995</v>
      </c>
      <c r="H293" s="191">
        <f>H294</f>
        <v>517.29999999999995</v>
      </c>
      <c r="I293" s="192">
        <f t="shared" si="22"/>
        <v>0</v>
      </c>
    </row>
    <row r="294" spans="1:9" x14ac:dyDescent="0.2">
      <c r="A294" s="189" t="s">
        <v>621</v>
      </c>
      <c r="B294" s="190"/>
      <c r="C294" s="189" t="s">
        <v>507</v>
      </c>
      <c r="D294" s="189" t="s">
        <v>498</v>
      </c>
      <c r="E294" s="189" t="s">
        <v>635</v>
      </c>
      <c r="F294" s="190" t="s">
        <v>619</v>
      </c>
      <c r="G294" s="191">
        <v>517.29999999999995</v>
      </c>
      <c r="H294" s="191">
        <v>517.29999999999995</v>
      </c>
      <c r="I294" s="192">
        <f t="shared" si="22"/>
        <v>0</v>
      </c>
    </row>
    <row r="295" spans="1:9" s="284" customFormat="1" x14ac:dyDescent="0.2">
      <c r="A295" s="189" t="s">
        <v>1397</v>
      </c>
      <c r="B295" s="190"/>
      <c r="C295" s="189" t="s">
        <v>507</v>
      </c>
      <c r="D295" s="189" t="s">
        <v>498</v>
      </c>
      <c r="E295" s="189" t="s">
        <v>1398</v>
      </c>
      <c r="F295" s="190"/>
      <c r="G295" s="191">
        <f>G296</f>
        <v>100</v>
      </c>
      <c r="H295" s="191">
        <f>H296</f>
        <v>100</v>
      </c>
      <c r="I295" s="192">
        <f t="shared" si="22"/>
        <v>0</v>
      </c>
    </row>
    <row r="296" spans="1:9" s="284" customFormat="1" ht="24" x14ac:dyDescent="0.2">
      <c r="A296" s="189" t="s">
        <v>547</v>
      </c>
      <c r="B296" s="190"/>
      <c r="C296" s="189" t="s">
        <v>507</v>
      </c>
      <c r="D296" s="189" t="s">
        <v>498</v>
      </c>
      <c r="E296" s="189" t="s">
        <v>1398</v>
      </c>
      <c r="F296" s="190" t="s">
        <v>519</v>
      </c>
      <c r="G296" s="191">
        <f>G297</f>
        <v>100</v>
      </c>
      <c r="H296" s="191">
        <f>H297</f>
        <v>100</v>
      </c>
      <c r="I296" s="192">
        <f t="shared" si="22"/>
        <v>0</v>
      </c>
    </row>
    <row r="297" spans="1:9" s="284" customFormat="1" x14ac:dyDescent="0.2">
      <c r="A297" s="189" t="s">
        <v>546</v>
      </c>
      <c r="B297" s="190"/>
      <c r="C297" s="189" t="s">
        <v>507</v>
      </c>
      <c r="D297" s="189" t="s">
        <v>498</v>
      </c>
      <c r="E297" s="189" t="s">
        <v>1398</v>
      </c>
      <c r="F297" s="190" t="s">
        <v>544</v>
      </c>
      <c r="G297" s="191">
        <v>100</v>
      </c>
      <c r="H297" s="191">
        <v>100</v>
      </c>
      <c r="I297" s="192">
        <f t="shared" si="22"/>
        <v>0</v>
      </c>
    </row>
    <row r="298" spans="1:9" x14ac:dyDescent="0.2">
      <c r="A298" s="189" t="s">
        <v>604</v>
      </c>
      <c r="B298" s="190"/>
      <c r="C298" s="189" t="s">
        <v>507</v>
      </c>
      <c r="D298" s="189" t="s">
        <v>498</v>
      </c>
      <c r="E298" s="189" t="s">
        <v>603</v>
      </c>
      <c r="F298" s="190"/>
      <c r="G298" s="191">
        <f t="shared" ref="G298:H302" si="25">G299</f>
        <v>57</v>
      </c>
      <c r="H298" s="191">
        <f t="shared" si="25"/>
        <v>57</v>
      </c>
      <c r="I298" s="192">
        <f t="shared" si="22"/>
        <v>0</v>
      </c>
    </row>
    <row r="299" spans="1:9" x14ac:dyDescent="0.2">
      <c r="A299" s="189" t="s">
        <v>602</v>
      </c>
      <c r="B299" s="190"/>
      <c r="C299" s="189" t="s">
        <v>507</v>
      </c>
      <c r="D299" s="189" t="s">
        <v>498</v>
      </c>
      <c r="E299" s="189" t="s">
        <v>601</v>
      </c>
      <c r="F299" s="190"/>
      <c r="G299" s="191">
        <f t="shared" si="25"/>
        <v>57</v>
      </c>
      <c r="H299" s="191">
        <f t="shared" si="25"/>
        <v>57</v>
      </c>
      <c r="I299" s="192">
        <f t="shared" si="22"/>
        <v>0</v>
      </c>
    </row>
    <row r="300" spans="1:9" ht="24" x14ac:dyDescent="0.2">
      <c r="A300" s="189" t="s">
        <v>600</v>
      </c>
      <c r="B300" s="190"/>
      <c r="C300" s="189" t="s">
        <v>507</v>
      </c>
      <c r="D300" s="189" t="s">
        <v>498</v>
      </c>
      <c r="E300" s="189" t="s">
        <v>599</v>
      </c>
      <c r="F300" s="190"/>
      <c r="G300" s="191">
        <f t="shared" si="25"/>
        <v>57</v>
      </c>
      <c r="H300" s="191">
        <f t="shared" si="25"/>
        <v>57</v>
      </c>
      <c r="I300" s="192">
        <f t="shared" si="22"/>
        <v>0</v>
      </c>
    </row>
    <row r="301" spans="1:9" x14ac:dyDescent="0.2">
      <c r="A301" s="189" t="s">
        <v>598</v>
      </c>
      <c r="B301" s="190"/>
      <c r="C301" s="189" t="s">
        <v>507</v>
      </c>
      <c r="D301" s="189" t="s">
        <v>498</v>
      </c>
      <c r="E301" s="189" t="s">
        <v>597</v>
      </c>
      <c r="F301" s="190"/>
      <c r="G301" s="191">
        <f t="shared" si="25"/>
        <v>57</v>
      </c>
      <c r="H301" s="191">
        <f t="shared" si="25"/>
        <v>57</v>
      </c>
      <c r="I301" s="192">
        <f t="shared" si="22"/>
        <v>0</v>
      </c>
    </row>
    <row r="302" spans="1:9" x14ac:dyDescent="0.2">
      <c r="A302" s="189" t="s">
        <v>1347</v>
      </c>
      <c r="B302" s="190"/>
      <c r="C302" s="189" t="s">
        <v>507</v>
      </c>
      <c r="D302" s="189" t="s">
        <v>498</v>
      </c>
      <c r="E302" s="189" t="s">
        <v>597</v>
      </c>
      <c r="F302" s="190" t="s">
        <v>535</v>
      </c>
      <c r="G302" s="191">
        <f t="shared" si="25"/>
        <v>57</v>
      </c>
      <c r="H302" s="191">
        <f t="shared" si="25"/>
        <v>57</v>
      </c>
      <c r="I302" s="192">
        <f t="shared" si="22"/>
        <v>0</v>
      </c>
    </row>
    <row r="303" spans="1:9" ht="24" x14ac:dyDescent="0.2">
      <c r="A303" s="189" t="s">
        <v>534</v>
      </c>
      <c r="B303" s="190"/>
      <c r="C303" s="189" t="s">
        <v>507</v>
      </c>
      <c r="D303" s="189" t="s">
        <v>498</v>
      </c>
      <c r="E303" s="189" t="s">
        <v>597</v>
      </c>
      <c r="F303" s="190" t="s">
        <v>529</v>
      </c>
      <c r="G303" s="191">
        <v>57</v>
      </c>
      <c r="H303" s="191">
        <v>57</v>
      </c>
      <c r="I303" s="192">
        <f t="shared" si="22"/>
        <v>0</v>
      </c>
    </row>
    <row r="304" spans="1:9" ht="24" x14ac:dyDescent="0.2">
      <c r="A304" s="189" t="s">
        <v>588</v>
      </c>
      <c r="B304" s="190"/>
      <c r="C304" s="189" t="s">
        <v>507</v>
      </c>
      <c r="D304" s="189" t="s">
        <v>498</v>
      </c>
      <c r="E304" s="189" t="s">
        <v>587</v>
      </c>
      <c r="F304" s="190"/>
      <c r="G304" s="191">
        <f>G305</f>
        <v>1197.0999999999999</v>
      </c>
      <c r="H304" s="191">
        <f>H305</f>
        <v>1197.0999999999999</v>
      </c>
      <c r="I304" s="192">
        <f t="shared" si="22"/>
        <v>0</v>
      </c>
    </row>
    <row r="305" spans="1:9" x14ac:dyDescent="0.2">
      <c r="A305" s="189" t="s">
        <v>586</v>
      </c>
      <c r="B305" s="190"/>
      <c r="C305" s="189" t="s">
        <v>507</v>
      </c>
      <c r="D305" s="189" t="s">
        <v>498</v>
      </c>
      <c r="E305" s="189" t="s">
        <v>585</v>
      </c>
      <c r="F305" s="190"/>
      <c r="G305" s="191">
        <f>G306</f>
        <v>1197.0999999999999</v>
      </c>
      <c r="H305" s="191">
        <f>H306</f>
        <v>1197.0999999999999</v>
      </c>
      <c r="I305" s="192">
        <f t="shared" si="22"/>
        <v>0</v>
      </c>
    </row>
    <row r="306" spans="1:9" ht="36" x14ac:dyDescent="0.2">
      <c r="A306" s="189" t="s">
        <v>584</v>
      </c>
      <c r="B306" s="190"/>
      <c r="C306" s="189" t="s">
        <v>507</v>
      </c>
      <c r="D306" s="189" t="s">
        <v>498</v>
      </c>
      <c r="E306" s="189" t="s">
        <v>583</v>
      </c>
      <c r="F306" s="190"/>
      <c r="G306" s="191">
        <f>G307+G328+G310+G313+G316+G319+G322+G325</f>
        <v>1197.0999999999999</v>
      </c>
      <c r="H306" s="191">
        <f>H307+H328+H310+H313+H316+H319+H322+H325</f>
        <v>1197.0999999999999</v>
      </c>
      <c r="I306" s="192">
        <f t="shared" si="22"/>
        <v>0</v>
      </c>
    </row>
    <row r="307" spans="1:9" ht="24" x14ac:dyDescent="0.2">
      <c r="A307" s="189" t="s">
        <v>1526</v>
      </c>
      <c r="B307" s="190"/>
      <c r="C307" s="189" t="s">
        <v>507</v>
      </c>
      <c r="D307" s="189" t="s">
        <v>498</v>
      </c>
      <c r="E307" s="189" t="s">
        <v>1149</v>
      </c>
      <c r="F307" s="190"/>
      <c r="G307" s="191">
        <f>G308</f>
        <v>600.29999999999995</v>
      </c>
      <c r="H307" s="191">
        <f>H308</f>
        <v>600.29999999999995</v>
      </c>
      <c r="I307" s="192">
        <f t="shared" si="22"/>
        <v>0</v>
      </c>
    </row>
    <row r="308" spans="1:9" s="387" customFormat="1" ht="24" x14ac:dyDescent="0.2">
      <c r="A308" s="189" t="s">
        <v>547</v>
      </c>
      <c r="B308" s="190"/>
      <c r="C308" s="189" t="s">
        <v>507</v>
      </c>
      <c r="D308" s="189" t="s">
        <v>498</v>
      </c>
      <c r="E308" s="189" t="s">
        <v>1149</v>
      </c>
      <c r="F308" s="190">
        <v>600</v>
      </c>
      <c r="G308" s="191">
        <f>G309</f>
        <v>600.29999999999995</v>
      </c>
      <c r="H308" s="191">
        <f>H309</f>
        <v>600.29999999999995</v>
      </c>
      <c r="I308" s="192">
        <f t="shared" si="22"/>
        <v>0</v>
      </c>
    </row>
    <row r="309" spans="1:9" s="387" customFormat="1" x14ac:dyDescent="0.2">
      <c r="A309" s="189" t="s">
        <v>571</v>
      </c>
      <c r="B309" s="190"/>
      <c r="C309" s="189" t="s">
        <v>507</v>
      </c>
      <c r="D309" s="189" t="s">
        <v>498</v>
      </c>
      <c r="E309" s="189" t="s">
        <v>1149</v>
      </c>
      <c r="F309" s="190">
        <v>610</v>
      </c>
      <c r="G309" s="191">
        <f>459.6+140.7</f>
        <v>600.29999999999995</v>
      </c>
      <c r="H309" s="191">
        <f>459.6+140.7</f>
        <v>600.29999999999995</v>
      </c>
      <c r="I309" s="192">
        <f t="shared" si="22"/>
        <v>0</v>
      </c>
    </row>
    <row r="310" spans="1:9" s="382" customFormat="1" ht="24" x14ac:dyDescent="0.2">
      <c r="A310" s="189" t="s">
        <v>1508</v>
      </c>
      <c r="B310" s="189"/>
      <c r="C310" s="189" t="s">
        <v>507</v>
      </c>
      <c r="D310" s="189" t="s">
        <v>498</v>
      </c>
      <c r="E310" s="189" t="s">
        <v>1509</v>
      </c>
      <c r="F310" s="189"/>
      <c r="G310" s="191">
        <f>G311</f>
        <v>137</v>
      </c>
      <c r="H310" s="191">
        <f>H311</f>
        <v>137</v>
      </c>
      <c r="I310" s="192">
        <f t="shared" si="22"/>
        <v>0</v>
      </c>
    </row>
    <row r="311" spans="1:9" s="382" customFormat="1" ht="36" x14ac:dyDescent="0.2">
      <c r="A311" s="189" t="s">
        <v>1348</v>
      </c>
      <c r="B311" s="189"/>
      <c r="C311" s="189" t="s">
        <v>507</v>
      </c>
      <c r="D311" s="189" t="s">
        <v>498</v>
      </c>
      <c r="E311" s="189" t="s">
        <v>1509</v>
      </c>
      <c r="F311" s="190" t="s">
        <v>556</v>
      </c>
      <c r="G311" s="191">
        <f>G312</f>
        <v>137</v>
      </c>
      <c r="H311" s="191">
        <f>H312</f>
        <v>137</v>
      </c>
      <c r="I311" s="192">
        <f t="shared" si="22"/>
        <v>0</v>
      </c>
    </row>
    <row r="312" spans="1:9" s="382" customFormat="1" x14ac:dyDescent="0.2">
      <c r="A312" s="189" t="s">
        <v>555</v>
      </c>
      <c r="B312" s="189"/>
      <c r="C312" s="189" t="s">
        <v>507</v>
      </c>
      <c r="D312" s="189" t="s">
        <v>498</v>
      </c>
      <c r="E312" s="189" t="s">
        <v>1509</v>
      </c>
      <c r="F312" s="190" t="s">
        <v>554</v>
      </c>
      <c r="G312" s="191">
        <v>137</v>
      </c>
      <c r="H312" s="191">
        <v>137</v>
      </c>
      <c r="I312" s="192">
        <f t="shared" si="22"/>
        <v>0</v>
      </c>
    </row>
    <row r="313" spans="1:9" s="382" customFormat="1" ht="24" x14ac:dyDescent="0.2">
      <c r="A313" s="189" t="s">
        <v>1510</v>
      </c>
      <c r="B313" s="189"/>
      <c r="C313" s="189" t="s">
        <v>507</v>
      </c>
      <c r="D313" s="189" t="s">
        <v>498</v>
      </c>
      <c r="E313" s="189" t="s">
        <v>1511</v>
      </c>
      <c r="F313" s="190"/>
      <c r="G313" s="191">
        <f>G314</f>
        <v>49.2</v>
      </c>
      <c r="H313" s="191">
        <f>H314</f>
        <v>49.2</v>
      </c>
      <c r="I313" s="192">
        <f t="shared" si="22"/>
        <v>0</v>
      </c>
    </row>
    <row r="314" spans="1:9" s="382" customFormat="1" ht="36" x14ac:dyDescent="0.2">
      <c r="A314" s="189" t="s">
        <v>1348</v>
      </c>
      <c r="B314" s="189"/>
      <c r="C314" s="189" t="s">
        <v>507</v>
      </c>
      <c r="D314" s="189" t="s">
        <v>498</v>
      </c>
      <c r="E314" s="189" t="s">
        <v>1511</v>
      </c>
      <c r="F314" s="190" t="s">
        <v>556</v>
      </c>
      <c r="G314" s="191">
        <f>G315</f>
        <v>49.2</v>
      </c>
      <c r="H314" s="191">
        <f>H315</f>
        <v>49.2</v>
      </c>
      <c r="I314" s="192">
        <f t="shared" si="22"/>
        <v>0</v>
      </c>
    </row>
    <row r="315" spans="1:9" s="382" customFormat="1" x14ac:dyDescent="0.2">
      <c r="A315" s="189" t="s">
        <v>555</v>
      </c>
      <c r="B315" s="189"/>
      <c r="C315" s="189" t="s">
        <v>507</v>
      </c>
      <c r="D315" s="189" t="s">
        <v>498</v>
      </c>
      <c r="E315" s="189" t="s">
        <v>1511</v>
      </c>
      <c r="F315" s="190" t="s">
        <v>554</v>
      </c>
      <c r="G315" s="191">
        <v>49.2</v>
      </c>
      <c r="H315" s="191">
        <v>49.2</v>
      </c>
      <c r="I315" s="192">
        <f t="shared" si="22"/>
        <v>0</v>
      </c>
    </row>
    <row r="316" spans="1:9" s="382" customFormat="1" ht="24" x14ac:dyDescent="0.2">
      <c r="A316" s="189" t="s">
        <v>1512</v>
      </c>
      <c r="B316" s="189"/>
      <c r="C316" s="189" t="s">
        <v>507</v>
      </c>
      <c r="D316" s="189" t="s">
        <v>498</v>
      </c>
      <c r="E316" s="189" t="s">
        <v>1513</v>
      </c>
      <c r="F316" s="190"/>
      <c r="G316" s="191">
        <f>G317</f>
        <v>176</v>
      </c>
      <c r="H316" s="191">
        <f>H317</f>
        <v>176</v>
      </c>
      <c r="I316" s="192">
        <f t="shared" si="22"/>
        <v>0</v>
      </c>
    </row>
    <row r="317" spans="1:9" s="382" customFormat="1" ht="36" x14ac:dyDescent="0.2">
      <c r="A317" s="189" t="s">
        <v>1348</v>
      </c>
      <c r="B317" s="189"/>
      <c r="C317" s="189" t="s">
        <v>507</v>
      </c>
      <c r="D317" s="189" t="s">
        <v>498</v>
      </c>
      <c r="E317" s="189" t="s">
        <v>1513</v>
      </c>
      <c r="F317" s="190" t="s">
        <v>556</v>
      </c>
      <c r="G317" s="191">
        <f>G318</f>
        <v>176</v>
      </c>
      <c r="H317" s="191">
        <f>H318</f>
        <v>176</v>
      </c>
      <c r="I317" s="192">
        <f t="shared" si="22"/>
        <v>0</v>
      </c>
    </row>
    <row r="318" spans="1:9" s="382" customFormat="1" x14ac:dyDescent="0.2">
      <c r="A318" s="189" t="s">
        <v>555</v>
      </c>
      <c r="B318" s="189"/>
      <c r="C318" s="189" t="s">
        <v>507</v>
      </c>
      <c r="D318" s="189" t="s">
        <v>498</v>
      </c>
      <c r="E318" s="189" t="s">
        <v>1513</v>
      </c>
      <c r="F318" s="190" t="s">
        <v>554</v>
      </c>
      <c r="G318" s="191">
        <v>176</v>
      </c>
      <c r="H318" s="191">
        <v>176</v>
      </c>
      <c r="I318" s="192">
        <f t="shared" si="22"/>
        <v>0</v>
      </c>
    </row>
    <row r="319" spans="1:9" s="382" customFormat="1" ht="24" x14ac:dyDescent="0.2">
      <c r="A319" s="189" t="s">
        <v>1514</v>
      </c>
      <c r="B319" s="189"/>
      <c r="C319" s="189" t="s">
        <v>507</v>
      </c>
      <c r="D319" s="189" t="s">
        <v>498</v>
      </c>
      <c r="E319" s="189" t="s">
        <v>1515</v>
      </c>
      <c r="F319" s="190"/>
      <c r="G319" s="191">
        <f>G320</f>
        <v>39.299999999999997</v>
      </c>
      <c r="H319" s="191">
        <f>H320</f>
        <v>39.299999999999997</v>
      </c>
      <c r="I319" s="192">
        <f t="shared" si="22"/>
        <v>0</v>
      </c>
    </row>
    <row r="320" spans="1:9" s="382" customFormat="1" ht="36" x14ac:dyDescent="0.2">
      <c r="A320" s="189" t="s">
        <v>1348</v>
      </c>
      <c r="B320" s="189"/>
      <c r="C320" s="189" t="s">
        <v>507</v>
      </c>
      <c r="D320" s="189" t="s">
        <v>498</v>
      </c>
      <c r="E320" s="189" t="s">
        <v>1515</v>
      </c>
      <c r="F320" s="190" t="s">
        <v>556</v>
      </c>
      <c r="G320" s="191">
        <f>G321</f>
        <v>39.299999999999997</v>
      </c>
      <c r="H320" s="191">
        <f>H321</f>
        <v>39.299999999999997</v>
      </c>
      <c r="I320" s="192">
        <f t="shared" si="22"/>
        <v>0</v>
      </c>
    </row>
    <row r="321" spans="1:9" s="382" customFormat="1" x14ac:dyDescent="0.2">
      <c r="A321" s="189" t="s">
        <v>555</v>
      </c>
      <c r="B321" s="189"/>
      <c r="C321" s="189" t="s">
        <v>507</v>
      </c>
      <c r="D321" s="189" t="s">
        <v>498</v>
      </c>
      <c r="E321" s="189" t="s">
        <v>1515</v>
      </c>
      <c r="F321" s="190" t="s">
        <v>554</v>
      </c>
      <c r="G321" s="191">
        <v>39.299999999999997</v>
      </c>
      <c r="H321" s="191">
        <v>39.299999999999997</v>
      </c>
      <c r="I321" s="192">
        <f t="shared" si="22"/>
        <v>0</v>
      </c>
    </row>
    <row r="322" spans="1:9" s="382" customFormat="1" ht="24" x14ac:dyDescent="0.2">
      <c r="A322" s="189" t="s">
        <v>1516</v>
      </c>
      <c r="B322" s="189"/>
      <c r="C322" s="189" t="s">
        <v>507</v>
      </c>
      <c r="D322" s="189" t="s">
        <v>498</v>
      </c>
      <c r="E322" s="189" t="s">
        <v>1517</v>
      </c>
      <c r="F322" s="190"/>
      <c r="G322" s="191">
        <f>G323</f>
        <v>29.3</v>
      </c>
      <c r="H322" s="191">
        <f>H323</f>
        <v>29.3</v>
      </c>
      <c r="I322" s="192">
        <f t="shared" si="22"/>
        <v>0</v>
      </c>
    </row>
    <row r="323" spans="1:9" s="382" customFormat="1" ht="36" x14ac:dyDescent="0.2">
      <c r="A323" s="189" t="s">
        <v>1348</v>
      </c>
      <c r="B323" s="189"/>
      <c r="C323" s="189" t="s">
        <v>507</v>
      </c>
      <c r="D323" s="189" t="s">
        <v>498</v>
      </c>
      <c r="E323" s="189" t="s">
        <v>1517</v>
      </c>
      <c r="F323" s="190" t="s">
        <v>556</v>
      </c>
      <c r="G323" s="191">
        <f>G324</f>
        <v>29.3</v>
      </c>
      <c r="H323" s="191">
        <f>H324</f>
        <v>29.3</v>
      </c>
      <c r="I323" s="192">
        <f t="shared" si="22"/>
        <v>0</v>
      </c>
    </row>
    <row r="324" spans="1:9" s="382" customFormat="1" x14ac:dyDescent="0.2">
      <c r="A324" s="189" t="s">
        <v>555</v>
      </c>
      <c r="B324" s="189"/>
      <c r="C324" s="189" t="s">
        <v>507</v>
      </c>
      <c r="D324" s="189" t="s">
        <v>498</v>
      </c>
      <c r="E324" s="189" t="s">
        <v>1517</v>
      </c>
      <c r="F324" s="190" t="s">
        <v>554</v>
      </c>
      <c r="G324" s="191">
        <v>29.3</v>
      </c>
      <c r="H324" s="191">
        <v>29.3</v>
      </c>
      <c r="I324" s="192">
        <f t="shared" si="22"/>
        <v>0</v>
      </c>
    </row>
    <row r="325" spans="1:9" s="382" customFormat="1" ht="24" x14ac:dyDescent="0.2">
      <c r="A325" s="189" t="s">
        <v>1518</v>
      </c>
      <c r="B325" s="189"/>
      <c r="C325" s="189" t="s">
        <v>507</v>
      </c>
      <c r="D325" s="189" t="s">
        <v>498</v>
      </c>
      <c r="E325" s="189" t="s">
        <v>1519</v>
      </c>
      <c r="F325" s="190"/>
      <c r="G325" s="191">
        <f>G326</f>
        <v>19.5</v>
      </c>
      <c r="H325" s="191">
        <f>H326</f>
        <v>19.5</v>
      </c>
      <c r="I325" s="192">
        <f t="shared" si="22"/>
        <v>0</v>
      </c>
    </row>
    <row r="326" spans="1:9" s="382" customFormat="1" ht="24" x14ac:dyDescent="0.2">
      <c r="A326" s="189" t="s">
        <v>547</v>
      </c>
      <c r="B326" s="189"/>
      <c r="C326" s="189" t="s">
        <v>507</v>
      </c>
      <c r="D326" s="189" t="s">
        <v>498</v>
      </c>
      <c r="E326" s="189" t="s">
        <v>1519</v>
      </c>
      <c r="F326" s="190" t="s">
        <v>519</v>
      </c>
      <c r="G326" s="191">
        <f>G327</f>
        <v>19.5</v>
      </c>
      <c r="H326" s="191">
        <f>H327</f>
        <v>19.5</v>
      </c>
      <c r="I326" s="192">
        <f t="shared" si="22"/>
        <v>0</v>
      </c>
    </row>
    <row r="327" spans="1:9" s="382" customFormat="1" x14ac:dyDescent="0.2">
      <c r="A327" s="189" t="s">
        <v>571</v>
      </c>
      <c r="B327" s="189"/>
      <c r="C327" s="189" t="s">
        <v>507</v>
      </c>
      <c r="D327" s="189" t="s">
        <v>498</v>
      </c>
      <c r="E327" s="189" t="s">
        <v>1519</v>
      </c>
      <c r="F327" s="190" t="s">
        <v>522</v>
      </c>
      <c r="G327" s="191">
        <v>19.5</v>
      </c>
      <c r="H327" s="191">
        <v>19.5</v>
      </c>
      <c r="I327" s="192">
        <f t="shared" si="22"/>
        <v>0</v>
      </c>
    </row>
    <row r="328" spans="1:9" ht="24" x14ac:dyDescent="0.2">
      <c r="A328" s="189" t="s">
        <v>1148</v>
      </c>
      <c r="B328" s="190"/>
      <c r="C328" s="189" t="s">
        <v>507</v>
      </c>
      <c r="D328" s="189" t="s">
        <v>498</v>
      </c>
      <c r="E328" s="189" t="s">
        <v>1147</v>
      </c>
      <c r="F328" s="190"/>
      <c r="G328" s="191">
        <f>G329</f>
        <v>146.5</v>
      </c>
      <c r="H328" s="191">
        <f>H329</f>
        <v>146.5</v>
      </c>
      <c r="I328" s="192">
        <f t="shared" si="22"/>
        <v>0</v>
      </c>
    </row>
    <row r="329" spans="1:9" ht="24" x14ac:dyDescent="0.2">
      <c r="A329" s="189" t="s">
        <v>547</v>
      </c>
      <c r="B329" s="190"/>
      <c r="C329" s="189" t="s">
        <v>507</v>
      </c>
      <c r="D329" s="189" t="s">
        <v>498</v>
      </c>
      <c r="E329" s="189" t="s">
        <v>1147</v>
      </c>
      <c r="F329" s="190" t="s">
        <v>519</v>
      </c>
      <c r="G329" s="191">
        <f>G330</f>
        <v>146.5</v>
      </c>
      <c r="H329" s="191">
        <f>H330</f>
        <v>146.5</v>
      </c>
      <c r="I329" s="192">
        <f t="shared" si="22"/>
        <v>0</v>
      </c>
    </row>
    <row r="330" spans="1:9" x14ac:dyDescent="0.2">
      <c r="A330" s="189" t="s">
        <v>571</v>
      </c>
      <c r="B330" s="190"/>
      <c r="C330" s="189" t="s">
        <v>507</v>
      </c>
      <c r="D330" s="189" t="s">
        <v>498</v>
      </c>
      <c r="E330" s="189" t="s">
        <v>1147</v>
      </c>
      <c r="F330" s="190" t="s">
        <v>522</v>
      </c>
      <c r="G330" s="191">
        <f>138.7+7.8</f>
        <v>146.5</v>
      </c>
      <c r="H330" s="191">
        <f>138.7+7.8</f>
        <v>146.5</v>
      </c>
      <c r="I330" s="192">
        <f t="shared" si="22"/>
        <v>0</v>
      </c>
    </row>
    <row r="331" spans="1:9" x14ac:dyDescent="0.2">
      <c r="A331" s="189" t="s">
        <v>1146</v>
      </c>
      <c r="B331" s="190"/>
      <c r="C331" s="189" t="s">
        <v>507</v>
      </c>
      <c r="D331" s="189" t="s">
        <v>512</v>
      </c>
      <c r="E331" s="189"/>
      <c r="F331" s="190"/>
      <c r="G331" s="191">
        <f>G332</f>
        <v>6344</v>
      </c>
      <c r="H331" s="191">
        <f>H332</f>
        <v>6696</v>
      </c>
      <c r="I331" s="192">
        <f t="shared" si="22"/>
        <v>352</v>
      </c>
    </row>
    <row r="332" spans="1:9" x14ac:dyDescent="0.2">
      <c r="A332" s="189" t="s">
        <v>1145</v>
      </c>
      <c r="B332" s="190"/>
      <c r="C332" s="189" t="s">
        <v>507</v>
      </c>
      <c r="D332" s="189" t="s">
        <v>512</v>
      </c>
      <c r="E332" s="189" t="s">
        <v>1144</v>
      </c>
      <c r="F332" s="190"/>
      <c r="G332" s="191">
        <f>G333+G338</f>
        <v>6344</v>
      </c>
      <c r="H332" s="191">
        <f>H333+H338</f>
        <v>6696</v>
      </c>
      <c r="I332" s="192">
        <f t="shared" si="22"/>
        <v>352</v>
      </c>
    </row>
    <row r="333" spans="1:9" x14ac:dyDescent="0.2">
      <c r="A333" s="189" t="s">
        <v>1143</v>
      </c>
      <c r="B333" s="190"/>
      <c r="C333" s="189" t="s">
        <v>507</v>
      </c>
      <c r="D333" s="189" t="s">
        <v>512</v>
      </c>
      <c r="E333" s="189" t="s">
        <v>1142</v>
      </c>
      <c r="F333" s="190"/>
      <c r="G333" s="191">
        <f t="shared" ref="G333:H336" si="26">G334</f>
        <v>3956</v>
      </c>
      <c r="H333" s="191">
        <f t="shared" si="26"/>
        <v>3956</v>
      </c>
      <c r="I333" s="192">
        <f t="shared" si="22"/>
        <v>0</v>
      </c>
    </row>
    <row r="334" spans="1:9" ht="36" x14ac:dyDescent="0.2">
      <c r="A334" s="189" t="s">
        <v>1141</v>
      </c>
      <c r="B334" s="190"/>
      <c r="C334" s="189" t="s">
        <v>507</v>
      </c>
      <c r="D334" s="189" t="s">
        <v>512</v>
      </c>
      <c r="E334" s="189" t="s">
        <v>1140</v>
      </c>
      <c r="F334" s="190"/>
      <c r="G334" s="191">
        <f t="shared" si="26"/>
        <v>3956</v>
      </c>
      <c r="H334" s="191">
        <f t="shared" si="26"/>
        <v>3956</v>
      </c>
      <c r="I334" s="192">
        <f t="shared" si="22"/>
        <v>0</v>
      </c>
    </row>
    <row r="335" spans="1:9" x14ac:dyDescent="0.2">
      <c r="A335" s="189" t="s">
        <v>1139</v>
      </c>
      <c r="B335" s="190"/>
      <c r="C335" s="189" t="s">
        <v>507</v>
      </c>
      <c r="D335" s="189" t="s">
        <v>512</v>
      </c>
      <c r="E335" s="189" t="s">
        <v>1138</v>
      </c>
      <c r="F335" s="190"/>
      <c r="G335" s="191">
        <f t="shared" si="26"/>
        <v>3956</v>
      </c>
      <c r="H335" s="191">
        <f t="shared" si="26"/>
        <v>3956</v>
      </c>
      <c r="I335" s="192">
        <f t="shared" si="22"/>
        <v>0</v>
      </c>
    </row>
    <row r="336" spans="1:9" x14ac:dyDescent="0.2">
      <c r="A336" s="189" t="s">
        <v>1347</v>
      </c>
      <c r="B336" s="190"/>
      <c r="C336" s="189" t="s">
        <v>507</v>
      </c>
      <c r="D336" s="189" t="s">
        <v>512</v>
      </c>
      <c r="E336" s="189" t="s">
        <v>1138</v>
      </c>
      <c r="F336" s="190" t="s">
        <v>535</v>
      </c>
      <c r="G336" s="191">
        <f t="shared" si="26"/>
        <v>3956</v>
      </c>
      <c r="H336" s="191">
        <f t="shared" si="26"/>
        <v>3956</v>
      </c>
      <c r="I336" s="192">
        <f t="shared" si="22"/>
        <v>0</v>
      </c>
    </row>
    <row r="337" spans="1:9" ht="24" x14ac:dyDescent="0.2">
      <c r="A337" s="189" t="s">
        <v>534</v>
      </c>
      <c r="B337" s="190"/>
      <c r="C337" s="189" t="s">
        <v>507</v>
      </c>
      <c r="D337" s="189" t="s">
        <v>512</v>
      </c>
      <c r="E337" s="189" t="s">
        <v>1138</v>
      </c>
      <c r="F337" s="190" t="s">
        <v>529</v>
      </c>
      <c r="G337" s="191">
        <v>3956</v>
      </c>
      <c r="H337" s="191">
        <v>3956</v>
      </c>
      <c r="I337" s="192">
        <f t="shared" si="22"/>
        <v>0</v>
      </c>
    </row>
    <row r="338" spans="1:9" x14ac:dyDescent="0.2">
      <c r="A338" s="189" t="s">
        <v>1137</v>
      </c>
      <c r="B338" s="190"/>
      <c r="C338" s="189" t="s">
        <v>507</v>
      </c>
      <c r="D338" s="189" t="s">
        <v>512</v>
      </c>
      <c r="E338" s="189" t="s">
        <v>1136</v>
      </c>
      <c r="F338" s="190"/>
      <c r="G338" s="191">
        <f>G339</f>
        <v>2388</v>
      </c>
      <c r="H338" s="191">
        <f>H339</f>
        <v>2740</v>
      </c>
      <c r="I338" s="192">
        <f t="shared" si="22"/>
        <v>352</v>
      </c>
    </row>
    <row r="339" spans="1:9" ht="36" x14ac:dyDescent="0.2">
      <c r="A339" s="189" t="s">
        <v>1135</v>
      </c>
      <c r="B339" s="190"/>
      <c r="C339" s="189" t="s">
        <v>507</v>
      </c>
      <c r="D339" s="189" t="s">
        <v>512</v>
      </c>
      <c r="E339" s="189" t="s">
        <v>1134</v>
      </c>
      <c r="F339" s="190"/>
      <c r="G339" s="191">
        <f>G340+G343</f>
        <v>2388</v>
      </c>
      <c r="H339" s="191">
        <f>H340+H343</f>
        <v>2740</v>
      </c>
      <c r="I339" s="192">
        <f t="shared" si="22"/>
        <v>352</v>
      </c>
    </row>
    <row r="340" spans="1:9" ht="24" x14ac:dyDescent="0.2">
      <c r="A340" s="189" t="s">
        <v>1606</v>
      </c>
      <c r="B340" s="190"/>
      <c r="C340" s="189" t="s">
        <v>507</v>
      </c>
      <c r="D340" s="189" t="s">
        <v>512</v>
      </c>
      <c r="E340" s="189" t="s">
        <v>1133</v>
      </c>
      <c r="F340" s="190"/>
      <c r="G340" s="191">
        <f>G341</f>
        <v>2088</v>
      </c>
      <c r="H340" s="191">
        <f>H341</f>
        <v>2440</v>
      </c>
      <c r="I340" s="192">
        <f t="shared" ref="I340:I405" si="27">H340-G340</f>
        <v>352</v>
      </c>
    </row>
    <row r="341" spans="1:9" x14ac:dyDescent="0.2">
      <c r="A341" s="189" t="s">
        <v>1347</v>
      </c>
      <c r="B341" s="190"/>
      <c r="C341" s="189" t="s">
        <v>507</v>
      </c>
      <c r="D341" s="189" t="s">
        <v>512</v>
      </c>
      <c r="E341" s="189" t="s">
        <v>1133</v>
      </c>
      <c r="F341" s="190" t="s">
        <v>535</v>
      </c>
      <c r="G341" s="191">
        <f>G342</f>
        <v>2088</v>
      </c>
      <c r="H341" s="191">
        <f>H342</f>
        <v>2440</v>
      </c>
      <c r="I341" s="192">
        <f t="shared" si="27"/>
        <v>352</v>
      </c>
    </row>
    <row r="342" spans="1:9" ht="24" x14ac:dyDescent="0.2">
      <c r="A342" s="189" t="s">
        <v>534</v>
      </c>
      <c r="B342" s="190"/>
      <c r="C342" s="189" t="s">
        <v>507</v>
      </c>
      <c r="D342" s="189" t="s">
        <v>512</v>
      </c>
      <c r="E342" s="189" t="s">
        <v>1133</v>
      </c>
      <c r="F342" s="190" t="s">
        <v>529</v>
      </c>
      <c r="G342" s="191">
        <v>2088</v>
      </c>
      <c r="H342" s="191">
        <f>2088+352</f>
        <v>2440</v>
      </c>
      <c r="I342" s="192">
        <f t="shared" si="27"/>
        <v>352</v>
      </c>
    </row>
    <row r="343" spans="1:9" ht="36" x14ac:dyDescent="0.2">
      <c r="A343" s="189" t="s">
        <v>1608</v>
      </c>
      <c r="B343" s="190"/>
      <c r="C343" s="189" t="s">
        <v>507</v>
      </c>
      <c r="D343" s="189" t="s">
        <v>512</v>
      </c>
      <c r="E343" s="189" t="s">
        <v>1132</v>
      </c>
      <c r="F343" s="190"/>
      <c r="G343" s="191">
        <f>G344</f>
        <v>300</v>
      </c>
      <c r="H343" s="191">
        <f>H344</f>
        <v>300</v>
      </c>
      <c r="I343" s="192">
        <f t="shared" si="27"/>
        <v>0</v>
      </c>
    </row>
    <row r="344" spans="1:9" x14ac:dyDescent="0.2">
      <c r="A344" s="189" t="s">
        <v>1347</v>
      </c>
      <c r="B344" s="190"/>
      <c r="C344" s="189" t="s">
        <v>507</v>
      </c>
      <c r="D344" s="189" t="s">
        <v>512</v>
      </c>
      <c r="E344" s="189" t="s">
        <v>1132</v>
      </c>
      <c r="F344" s="190" t="s">
        <v>535</v>
      </c>
      <c r="G344" s="191">
        <f>G345</f>
        <v>300</v>
      </c>
      <c r="H344" s="191">
        <f>H345</f>
        <v>300</v>
      </c>
      <c r="I344" s="192">
        <f t="shared" si="27"/>
        <v>0</v>
      </c>
    </row>
    <row r="345" spans="1:9" ht="24" x14ac:dyDescent="0.2">
      <c r="A345" s="189" t="s">
        <v>534</v>
      </c>
      <c r="B345" s="190"/>
      <c r="C345" s="189" t="s">
        <v>507</v>
      </c>
      <c r="D345" s="189" t="s">
        <v>512</v>
      </c>
      <c r="E345" s="189" t="s">
        <v>1132</v>
      </c>
      <c r="F345" s="190" t="s">
        <v>529</v>
      </c>
      <c r="G345" s="191">
        <v>300</v>
      </c>
      <c r="H345" s="191">
        <v>300</v>
      </c>
      <c r="I345" s="192">
        <f t="shared" si="27"/>
        <v>0</v>
      </c>
    </row>
    <row r="346" spans="1:9" x14ac:dyDescent="0.2">
      <c r="A346" s="189" t="s">
        <v>1131</v>
      </c>
      <c r="B346" s="190"/>
      <c r="C346" s="189" t="s">
        <v>507</v>
      </c>
      <c r="D346" s="189" t="s">
        <v>617</v>
      </c>
      <c r="E346" s="189"/>
      <c r="F346" s="190"/>
      <c r="G346" s="191">
        <f t="shared" ref="G346:H348" si="28">G347</f>
        <v>48620</v>
      </c>
      <c r="H346" s="191">
        <f t="shared" si="28"/>
        <v>44856.3</v>
      </c>
      <c r="I346" s="192">
        <f t="shared" si="27"/>
        <v>-3763.6999999999971</v>
      </c>
    </row>
    <row r="347" spans="1:9" ht="24" x14ac:dyDescent="0.2">
      <c r="A347" s="189" t="s">
        <v>1117</v>
      </c>
      <c r="B347" s="190"/>
      <c r="C347" s="189" t="s">
        <v>507</v>
      </c>
      <c r="D347" s="189" t="s">
        <v>617</v>
      </c>
      <c r="E347" s="189" t="s">
        <v>1116</v>
      </c>
      <c r="F347" s="190"/>
      <c r="G347" s="191">
        <f t="shared" si="28"/>
        <v>48620</v>
      </c>
      <c r="H347" s="191">
        <f t="shared" si="28"/>
        <v>44856.3</v>
      </c>
      <c r="I347" s="192">
        <f t="shared" si="27"/>
        <v>-3763.6999999999971</v>
      </c>
    </row>
    <row r="348" spans="1:9" x14ac:dyDescent="0.2">
      <c r="A348" s="189" t="s">
        <v>1130</v>
      </c>
      <c r="B348" s="190"/>
      <c r="C348" s="189" t="s">
        <v>507</v>
      </c>
      <c r="D348" s="189" t="s">
        <v>617</v>
      </c>
      <c r="E348" s="189" t="s">
        <v>1129</v>
      </c>
      <c r="F348" s="190"/>
      <c r="G348" s="191">
        <f t="shared" si="28"/>
        <v>48620</v>
      </c>
      <c r="H348" s="191">
        <f t="shared" si="28"/>
        <v>44856.3</v>
      </c>
      <c r="I348" s="192">
        <f t="shared" si="27"/>
        <v>-3763.6999999999971</v>
      </c>
    </row>
    <row r="349" spans="1:9" ht="48" x14ac:dyDescent="0.2">
      <c r="A349" s="189" t="s">
        <v>1128</v>
      </c>
      <c r="B349" s="190"/>
      <c r="C349" s="189" t="s">
        <v>507</v>
      </c>
      <c r="D349" s="189" t="s">
        <v>617</v>
      </c>
      <c r="E349" s="189" t="s">
        <v>1127</v>
      </c>
      <c r="F349" s="190"/>
      <c r="G349" s="191">
        <f>G350+G353+G356</f>
        <v>48620</v>
      </c>
      <c r="H349" s="191">
        <f>H350+H353+H356</f>
        <v>44856.3</v>
      </c>
      <c r="I349" s="192">
        <f t="shared" si="27"/>
        <v>-3763.6999999999971</v>
      </c>
    </row>
    <row r="350" spans="1:9" ht="36" x14ac:dyDescent="0.2">
      <c r="A350" s="189" t="s">
        <v>1126</v>
      </c>
      <c r="B350" s="190"/>
      <c r="C350" s="189" t="s">
        <v>507</v>
      </c>
      <c r="D350" s="189" t="s">
        <v>617</v>
      </c>
      <c r="E350" s="189" t="s">
        <v>1125</v>
      </c>
      <c r="F350" s="190"/>
      <c r="G350" s="191">
        <f>G351</f>
        <v>6000</v>
      </c>
      <c r="H350" s="191">
        <f>H351</f>
        <v>5653.4</v>
      </c>
      <c r="I350" s="192">
        <f t="shared" si="27"/>
        <v>-346.60000000000036</v>
      </c>
    </row>
    <row r="351" spans="1:9" x14ac:dyDescent="0.2">
      <c r="A351" s="189" t="s">
        <v>1347</v>
      </c>
      <c r="B351" s="190"/>
      <c r="C351" s="189" t="s">
        <v>507</v>
      </c>
      <c r="D351" s="189" t="s">
        <v>617</v>
      </c>
      <c r="E351" s="189" t="s">
        <v>1125</v>
      </c>
      <c r="F351" s="190" t="s">
        <v>535</v>
      </c>
      <c r="G351" s="191">
        <f>G352</f>
        <v>6000</v>
      </c>
      <c r="H351" s="191">
        <f>H352</f>
        <v>5653.4</v>
      </c>
      <c r="I351" s="192">
        <f t="shared" si="27"/>
        <v>-346.60000000000036</v>
      </c>
    </row>
    <row r="352" spans="1:9" ht="24" x14ac:dyDescent="0.2">
      <c r="A352" s="189" t="s">
        <v>534</v>
      </c>
      <c r="B352" s="190"/>
      <c r="C352" s="189" t="s">
        <v>507</v>
      </c>
      <c r="D352" s="189" t="s">
        <v>617</v>
      </c>
      <c r="E352" s="189" t="s">
        <v>1125</v>
      </c>
      <c r="F352" s="190" t="s">
        <v>529</v>
      </c>
      <c r="G352" s="191">
        <v>6000</v>
      </c>
      <c r="H352" s="191">
        <f>6000-346.6</f>
        <v>5653.4</v>
      </c>
      <c r="I352" s="192">
        <f t="shared" si="27"/>
        <v>-346.60000000000036</v>
      </c>
    </row>
    <row r="353" spans="1:9" ht="36" x14ac:dyDescent="0.2">
      <c r="A353" s="189" t="s">
        <v>1124</v>
      </c>
      <c r="B353" s="190"/>
      <c r="C353" s="189" t="s">
        <v>507</v>
      </c>
      <c r="D353" s="189" t="s">
        <v>617</v>
      </c>
      <c r="E353" s="189" t="s">
        <v>1123</v>
      </c>
      <c r="F353" s="190"/>
      <c r="G353" s="191">
        <f>G354</f>
        <v>3600</v>
      </c>
      <c r="H353" s="191">
        <f>H354</f>
        <v>182.90000000000009</v>
      </c>
      <c r="I353" s="192">
        <f t="shared" si="27"/>
        <v>-3417.1</v>
      </c>
    </row>
    <row r="354" spans="1:9" x14ac:dyDescent="0.2">
      <c r="A354" s="189" t="s">
        <v>1347</v>
      </c>
      <c r="B354" s="190"/>
      <c r="C354" s="189" t="s">
        <v>507</v>
      </c>
      <c r="D354" s="189" t="s">
        <v>617</v>
      </c>
      <c r="E354" s="189" t="s">
        <v>1123</v>
      </c>
      <c r="F354" s="190" t="s">
        <v>535</v>
      </c>
      <c r="G354" s="191">
        <f>G355</f>
        <v>3600</v>
      </c>
      <c r="H354" s="191">
        <f>H355</f>
        <v>182.90000000000009</v>
      </c>
      <c r="I354" s="192">
        <f t="shared" si="27"/>
        <v>-3417.1</v>
      </c>
    </row>
    <row r="355" spans="1:9" ht="24" x14ac:dyDescent="0.2">
      <c r="A355" s="189" t="s">
        <v>534</v>
      </c>
      <c r="B355" s="190"/>
      <c r="C355" s="189" t="s">
        <v>507</v>
      </c>
      <c r="D355" s="189" t="s">
        <v>617</v>
      </c>
      <c r="E355" s="189" t="s">
        <v>1123</v>
      </c>
      <c r="F355" s="190" t="s">
        <v>529</v>
      </c>
      <c r="G355" s="191">
        <v>3600</v>
      </c>
      <c r="H355" s="191">
        <f>3600-3417.1</f>
        <v>182.90000000000009</v>
      </c>
      <c r="I355" s="192">
        <f t="shared" si="27"/>
        <v>-3417.1</v>
      </c>
    </row>
    <row r="356" spans="1:9" ht="24" x14ac:dyDescent="0.2">
      <c r="A356" s="189" t="s">
        <v>1122</v>
      </c>
      <c r="B356" s="190"/>
      <c r="C356" s="189" t="s">
        <v>507</v>
      </c>
      <c r="D356" s="189" t="s">
        <v>617</v>
      </c>
      <c r="E356" s="189" t="s">
        <v>1121</v>
      </c>
      <c r="F356" s="190"/>
      <c r="G356" s="191">
        <f>G357</f>
        <v>39020</v>
      </c>
      <c r="H356" s="191">
        <f>H357</f>
        <v>39020</v>
      </c>
      <c r="I356" s="192">
        <f t="shared" si="27"/>
        <v>0</v>
      </c>
    </row>
    <row r="357" spans="1:9" x14ac:dyDescent="0.2">
      <c r="A357" s="189" t="s">
        <v>1347</v>
      </c>
      <c r="B357" s="190"/>
      <c r="C357" s="189" t="s">
        <v>507</v>
      </c>
      <c r="D357" s="189" t="s">
        <v>617</v>
      </c>
      <c r="E357" s="189" t="s">
        <v>1121</v>
      </c>
      <c r="F357" s="190" t="s">
        <v>535</v>
      </c>
      <c r="G357" s="191">
        <f>G358</f>
        <v>39020</v>
      </c>
      <c r="H357" s="191">
        <f>H358</f>
        <v>39020</v>
      </c>
      <c r="I357" s="192">
        <f t="shared" si="27"/>
        <v>0</v>
      </c>
    </row>
    <row r="358" spans="1:9" ht="24" x14ac:dyDescent="0.2">
      <c r="A358" s="189" t="s">
        <v>534</v>
      </c>
      <c r="B358" s="190"/>
      <c r="C358" s="189" t="s">
        <v>507</v>
      </c>
      <c r="D358" s="189" t="s">
        <v>617</v>
      </c>
      <c r="E358" s="189" t="s">
        <v>1121</v>
      </c>
      <c r="F358" s="190" t="s">
        <v>529</v>
      </c>
      <c r="G358" s="191">
        <f>39125-96-9</f>
        <v>39020</v>
      </c>
      <c r="H358" s="191">
        <f>39125-96-9</f>
        <v>39020</v>
      </c>
      <c r="I358" s="192">
        <f t="shared" si="27"/>
        <v>0</v>
      </c>
    </row>
    <row r="359" spans="1:9" x14ac:dyDescent="0.2">
      <c r="A359" s="189" t="s">
        <v>1120</v>
      </c>
      <c r="B359" s="190"/>
      <c r="C359" s="189" t="s">
        <v>507</v>
      </c>
      <c r="D359" s="189" t="s">
        <v>670</v>
      </c>
      <c r="E359" s="189"/>
      <c r="F359" s="190"/>
      <c r="G359" s="191">
        <f>G360+G369</f>
        <v>622995.89999999991</v>
      </c>
      <c r="H359" s="191">
        <f>H360+H369+H446</f>
        <v>630260.6</v>
      </c>
      <c r="I359" s="192">
        <f t="shared" si="27"/>
        <v>7264.7000000000698</v>
      </c>
    </row>
    <row r="360" spans="1:9" x14ac:dyDescent="0.2">
      <c r="A360" s="189" t="s">
        <v>568</v>
      </c>
      <c r="B360" s="190"/>
      <c r="C360" s="189" t="s">
        <v>507</v>
      </c>
      <c r="D360" s="189" t="s">
        <v>670</v>
      </c>
      <c r="E360" s="189" t="s">
        <v>567</v>
      </c>
      <c r="F360" s="190"/>
      <c r="G360" s="191">
        <f>G361</f>
        <v>486</v>
      </c>
      <c r="H360" s="191">
        <f>H361</f>
        <v>486</v>
      </c>
      <c r="I360" s="192">
        <f t="shared" si="27"/>
        <v>0</v>
      </c>
    </row>
    <row r="361" spans="1:9" x14ac:dyDescent="0.2">
      <c r="A361" s="189" t="s">
        <v>566</v>
      </c>
      <c r="B361" s="190"/>
      <c r="C361" s="189" t="s">
        <v>507</v>
      </c>
      <c r="D361" s="189" t="s">
        <v>670</v>
      </c>
      <c r="E361" s="189" t="s">
        <v>565</v>
      </c>
      <c r="F361" s="190"/>
      <c r="G361" s="191">
        <f>G362</f>
        <v>486</v>
      </c>
      <c r="H361" s="191">
        <f>H362</f>
        <v>486</v>
      </c>
      <c r="I361" s="192">
        <f t="shared" si="27"/>
        <v>0</v>
      </c>
    </row>
    <row r="362" spans="1:9" ht="24" x14ac:dyDescent="0.2">
      <c r="A362" s="189" t="s">
        <v>1387</v>
      </c>
      <c r="B362" s="190"/>
      <c r="C362" s="189" t="s">
        <v>507</v>
      </c>
      <c r="D362" s="189" t="s">
        <v>670</v>
      </c>
      <c r="E362" s="189" t="s">
        <v>578</v>
      </c>
      <c r="F362" s="190"/>
      <c r="G362" s="191">
        <f>G363+G366</f>
        <v>486</v>
      </c>
      <c r="H362" s="191">
        <f>H363+H366</f>
        <v>486</v>
      </c>
      <c r="I362" s="192">
        <f t="shared" si="27"/>
        <v>0</v>
      </c>
    </row>
    <row r="363" spans="1:9" ht="36" x14ac:dyDescent="0.2">
      <c r="A363" s="189" t="s">
        <v>1389</v>
      </c>
      <c r="B363" s="190"/>
      <c r="C363" s="189" t="s">
        <v>507</v>
      </c>
      <c r="D363" s="189" t="s">
        <v>670</v>
      </c>
      <c r="E363" s="189" t="s">
        <v>1119</v>
      </c>
      <c r="F363" s="190"/>
      <c r="G363" s="191">
        <f>G364</f>
        <v>475</v>
      </c>
      <c r="H363" s="191">
        <f>H364</f>
        <v>475</v>
      </c>
      <c r="I363" s="192">
        <f t="shared" si="27"/>
        <v>0</v>
      </c>
    </row>
    <row r="364" spans="1:9" ht="24" x14ac:dyDescent="0.2">
      <c r="A364" s="189" t="s">
        <v>547</v>
      </c>
      <c r="B364" s="190"/>
      <c r="C364" s="189" t="s">
        <v>507</v>
      </c>
      <c r="D364" s="189" t="s">
        <v>670</v>
      </c>
      <c r="E364" s="189" t="s">
        <v>1119</v>
      </c>
      <c r="F364" s="190" t="s">
        <v>519</v>
      </c>
      <c r="G364" s="191">
        <f>G365</f>
        <v>475</v>
      </c>
      <c r="H364" s="191">
        <f>H365</f>
        <v>475</v>
      </c>
      <c r="I364" s="192">
        <f t="shared" si="27"/>
        <v>0</v>
      </c>
    </row>
    <row r="365" spans="1:9" x14ac:dyDescent="0.2">
      <c r="A365" s="189" t="s">
        <v>571</v>
      </c>
      <c r="B365" s="190"/>
      <c r="C365" s="189" t="s">
        <v>507</v>
      </c>
      <c r="D365" s="189" t="s">
        <v>670</v>
      </c>
      <c r="E365" s="189" t="s">
        <v>1119</v>
      </c>
      <c r="F365" s="190" t="s">
        <v>522</v>
      </c>
      <c r="G365" s="191">
        <v>475</v>
      </c>
      <c r="H365" s="191">
        <v>475</v>
      </c>
      <c r="I365" s="192">
        <f t="shared" si="27"/>
        <v>0</v>
      </c>
    </row>
    <row r="366" spans="1:9" ht="36" x14ac:dyDescent="0.2">
      <c r="A366" s="189" t="s">
        <v>1390</v>
      </c>
      <c r="B366" s="190"/>
      <c r="C366" s="189" t="s">
        <v>507</v>
      </c>
      <c r="D366" s="189" t="s">
        <v>670</v>
      </c>
      <c r="E366" s="189" t="s">
        <v>1118</v>
      </c>
      <c r="F366" s="190"/>
      <c r="G366" s="191">
        <f>G367</f>
        <v>11</v>
      </c>
      <c r="H366" s="191">
        <f>H367</f>
        <v>11</v>
      </c>
      <c r="I366" s="192">
        <f t="shared" si="27"/>
        <v>0</v>
      </c>
    </row>
    <row r="367" spans="1:9" x14ac:dyDescent="0.2">
      <c r="A367" s="189" t="s">
        <v>1347</v>
      </c>
      <c r="B367" s="190"/>
      <c r="C367" s="189" t="s">
        <v>507</v>
      </c>
      <c r="D367" s="189" t="s">
        <v>670</v>
      </c>
      <c r="E367" s="189" t="s">
        <v>1118</v>
      </c>
      <c r="F367" s="190" t="s">
        <v>535</v>
      </c>
      <c r="G367" s="191">
        <f>G368</f>
        <v>11</v>
      </c>
      <c r="H367" s="191">
        <f>H368</f>
        <v>11</v>
      </c>
      <c r="I367" s="192">
        <f t="shared" si="27"/>
        <v>0</v>
      </c>
    </row>
    <row r="368" spans="1:9" ht="24" x14ac:dyDescent="0.2">
      <c r="A368" s="189" t="s">
        <v>534</v>
      </c>
      <c r="B368" s="190"/>
      <c r="C368" s="189" t="s">
        <v>507</v>
      </c>
      <c r="D368" s="189" t="s">
        <v>670</v>
      </c>
      <c r="E368" s="189" t="s">
        <v>1118</v>
      </c>
      <c r="F368" s="190" t="s">
        <v>529</v>
      </c>
      <c r="G368" s="191">
        <f>1425-1414</f>
        <v>11</v>
      </c>
      <c r="H368" s="191">
        <f>1425-1414</f>
        <v>11</v>
      </c>
      <c r="I368" s="192">
        <f t="shared" si="27"/>
        <v>0</v>
      </c>
    </row>
    <row r="369" spans="1:9" ht="24" x14ac:dyDescent="0.2">
      <c r="A369" s="189" t="s">
        <v>1117</v>
      </c>
      <c r="B369" s="190"/>
      <c r="C369" s="189" t="s">
        <v>507</v>
      </c>
      <c r="D369" s="189" t="s">
        <v>670</v>
      </c>
      <c r="E369" s="189" t="s">
        <v>1116</v>
      </c>
      <c r="F369" s="190"/>
      <c r="G369" s="191">
        <f>G370</f>
        <v>622509.89999999991</v>
      </c>
      <c r="H369" s="191">
        <f>H370</f>
        <v>621644.5</v>
      </c>
      <c r="I369" s="192">
        <f t="shared" si="27"/>
        <v>-865.39999999990687</v>
      </c>
    </row>
    <row r="370" spans="1:9" x14ac:dyDescent="0.2">
      <c r="A370" s="189" t="s">
        <v>1115</v>
      </c>
      <c r="B370" s="190"/>
      <c r="C370" s="189" t="s">
        <v>507</v>
      </c>
      <c r="D370" s="189" t="s">
        <v>670</v>
      </c>
      <c r="E370" s="189" t="s">
        <v>1114</v>
      </c>
      <c r="F370" s="190"/>
      <c r="G370" s="191">
        <f>G371</f>
        <v>622509.89999999991</v>
      </c>
      <c r="H370" s="191">
        <f>H371</f>
        <v>621644.5</v>
      </c>
      <c r="I370" s="192">
        <f t="shared" si="27"/>
        <v>-865.39999999990687</v>
      </c>
    </row>
    <row r="371" spans="1:9" ht="24" x14ac:dyDescent="0.2">
      <c r="A371" s="189" t="s">
        <v>1113</v>
      </c>
      <c r="B371" s="190"/>
      <c r="C371" s="189" t="s">
        <v>507</v>
      </c>
      <c r="D371" s="189" t="s">
        <v>670</v>
      </c>
      <c r="E371" s="189" t="s">
        <v>1112</v>
      </c>
      <c r="F371" s="190"/>
      <c r="G371" s="191">
        <f>G372+G375+G378+G385+G388+G391+G400+G403+G410+G413+G416+G419+G422+G425+G437+G440+G443+G434+G428</f>
        <v>622509.89999999991</v>
      </c>
      <c r="H371" s="191">
        <f>H372+H375+H378+H385+H388+H391+H400+H403+H410+H413+H416+H419+H422+H425+H437+H440+H443+H434+H428+H431</f>
        <v>621644.5</v>
      </c>
      <c r="I371" s="192">
        <f t="shared" si="27"/>
        <v>-865.39999999990687</v>
      </c>
    </row>
    <row r="372" spans="1:9" ht="24" x14ac:dyDescent="0.2">
      <c r="A372" s="189" t="s">
        <v>1111</v>
      </c>
      <c r="B372" s="190"/>
      <c r="C372" s="189" t="s">
        <v>507</v>
      </c>
      <c r="D372" s="189" t="s">
        <v>670</v>
      </c>
      <c r="E372" s="189" t="s">
        <v>1110</v>
      </c>
      <c r="F372" s="190"/>
      <c r="G372" s="191">
        <f>G373</f>
        <v>12021.800000000001</v>
      </c>
      <c r="H372" s="191">
        <f>H373</f>
        <v>12021.800000000001</v>
      </c>
      <c r="I372" s="192">
        <f t="shared" si="27"/>
        <v>0</v>
      </c>
    </row>
    <row r="373" spans="1:9" x14ac:dyDescent="0.2">
      <c r="A373" s="189" t="s">
        <v>1347</v>
      </c>
      <c r="B373" s="190"/>
      <c r="C373" s="189" t="s">
        <v>507</v>
      </c>
      <c r="D373" s="189" t="s">
        <v>670</v>
      </c>
      <c r="E373" s="189" t="s">
        <v>1110</v>
      </c>
      <c r="F373" s="190" t="s">
        <v>535</v>
      </c>
      <c r="G373" s="191">
        <f>G374</f>
        <v>12021.800000000001</v>
      </c>
      <c r="H373" s="191">
        <f>H374</f>
        <v>12021.800000000001</v>
      </c>
      <c r="I373" s="192">
        <f t="shared" si="27"/>
        <v>0</v>
      </c>
    </row>
    <row r="374" spans="1:9" ht="24" x14ac:dyDescent="0.2">
      <c r="A374" s="189" t="s">
        <v>534</v>
      </c>
      <c r="B374" s="190"/>
      <c r="C374" s="189" t="s">
        <v>507</v>
      </c>
      <c r="D374" s="189" t="s">
        <v>670</v>
      </c>
      <c r="E374" s="189" t="s">
        <v>1110</v>
      </c>
      <c r="F374" s="190" t="s">
        <v>529</v>
      </c>
      <c r="G374" s="191">
        <f>12124.1-102.3</f>
        <v>12021.800000000001</v>
      </c>
      <c r="H374" s="191">
        <f>12124.1-102.3</f>
        <v>12021.800000000001</v>
      </c>
      <c r="I374" s="192">
        <f t="shared" si="27"/>
        <v>0</v>
      </c>
    </row>
    <row r="375" spans="1:9" ht="24" x14ac:dyDescent="0.2">
      <c r="A375" s="189" t="s">
        <v>1099</v>
      </c>
      <c r="B375" s="190"/>
      <c r="C375" s="189" t="s">
        <v>507</v>
      </c>
      <c r="D375" s="189" t="s">
        <v>670</v>
      </c>
      <c r="E375" s="189" t="s">
        <v>1109</v>
      </c>
      <c r="F375" s="190"/>
      <c r="G375" s="191">
        <f>G376</f>
        <v>4791.8</v>
      </c>
      <c r="H375" s="191">
        <f>H376</f>
        <v>5791.8</v>
      </c>
      <c r="I375" s="192">
        <f t="shared" si="27"/>
        <v>1000</v>
      </c>
    </row>
    <row r="376" spans="1:9" x14ac:dyDescent="0.2">
      <c r="A376" s="189" t="s">
        <v>1347</v>
      </c>
      <c r="B376" s="190"/>
      <c r="C376" s="189" t="s">
        <v>507</v>
      </c>
      <c r="D376" s="189" t="s">
        <v>670</v>
      </c>
      <c r="E376" s="189" t="s">
        <v>1109</v>
      </c>
      <c r="F376" s="190" t="s">
        <v>535</v>
      </c>
      <c r="G376" s="191">
        <f>G377</f>
        <v>4791.8</v>
      </c>
      <c r="H376" s="191">
        <f>H377</f>
        <v>5791.8</v>
      </c>
      <c r="I376" s="192">
        <f t="shared" si="27"/>
        <v>1000</v>
      </c>
    </row>
    <row r="377" spans="1:9" ht="24" x14ac:dyDescent="0.2">
      <c r="A377" s="189" t="s">
        <v>534</v>
      </c>
      <c r="B377" s="190"/>
      <c r="C377" s="189" t="s">
        <v>507</v>
      </c>
      <c r="D377" s="189" t="s">
        <v>670</v>
      </c>
      <c r="E377" s="189" t="s">
        <v>1109</v>
      </c>
      <c r="F377" s="190" t="s">
        <v>529</v>
      </c>
      <c r="G377" s="191">
        <f>4791.2-61.4+461.4-399.4</f>
        <v>4791.8</v>
      </c>
      <c r="H377" s="191">
        <f>4791.2-61.4+461.4-399.4+2500-1500</f>
        <v>5791.8</v>
      </c>
      <c r="I377" s="192">
        <f t="shared" si="27"/>
        <v>1000</v>
      </c>
    </row>
    <row r="378" spans="1:9" ht="24" x14ac:dyDescent="0.2">
      <c r="A378" s="189" t="s">
        <v>1108</v>
      </c>
      <c r="B378" s="190"/>
      <c r="C378" s="189" t="s">
        <v>507</v>
      </c>
      <c r="D378" s="189" t="s">
        <v>670</v>
      </c>
      <c r="E378" s="189" t="s">
        <v>1107</v>
      </c>
      <c r="F378" s="190"/>
      <c r="G378" s="191">
        <f>G379+G381+G383</f>
        <v>35282.700000000004</v>
      </c>
      <c r="H378" s="191">
        <f>H379+H381+H383</f>
        <v>35987</v>
      </c>
      <c r="I378" s="192">
        <f t="shared" si="27"/>
        <v>704.29999999999563</v>
      </c>
    </row>
    <row r="379" spans="1:9" ht="36" x14ac:dyDescent="0.2">
      <c r="A379" s="189" t="s">
        <v>1348</v>
      </c>
      <c r="B379" s="190"/>
      <c r="C379" s="189" t="s">
        <v>507</v>
      </c>
      <c r="D379" s="189" t="s">
        <v>670</v>
      </c>
      <c r="E379" s="189" t="s">
        <v>1107</v>
      </c>
      <c r="F379" s="190" t="s">
        <v>556</v>
      </c>
      <c r="G379" s="191">
        <f>G380</f>
        <v>26407.5</v>
      </c>
      <c r="H379" s="191">
        <f>H380</f>
        <v>26407.5</v>
      </c>
      <c r="I379" s="192">
        <f t="shared" si="27"/>
        <v>0</v>
      </c>
    </row>
    <row r="380" spans="1:9" x14ac:dyDescent="0.2">
      <c r="A380" s="189" t="s">
        <v>555</v>
      </c>
      <c r="B380" s="190"/>
      <c r="C380" s="189" t="s">
        <v>507</v>
      </c>
      <c r="D380" s="189" t="s">
        <v>670</v>
      </c>
      <c r="E380" s="189" t="s">
        <v>1107</v>
      </c>
      <c r="F380" s="190" t="s">
        <v>554</v>
      </c>
      <c r="G380" s="191">
        <f>28096.2-1688.7</f>
        <v>26407.5</v>
      </c>
      <c r="H380" s="191">
        <f>28096.2-1688.7</f>
        <v>26407.5</v>
      </c>
      <c r="I380" s="192">
        <f t="shared" si="27"/>
        <v>0</v>
      </c>
    </row>
    <row r="381" spans="1:9" x14ac:dyDescent="0.2">
      <c r="A381" s="189" t="s">
        <v>1347</v>
      </c>
      <c r="B381" s="190"/>
      <c r="C381" s="189" t="s">
        <v>507</v>
      </c>
      <c r="D381" s="189" t="s">
        <v>670</v>
      </c>
      <c r="E381" s="189" t="s">
        <v>1107</v>
      </c>
      <c r="F381" s="190" t="s">
        <v>535</v>
      </c>
      <c r="G381" s="191">
        <f>G382</f>
        <v>7068.9</v>
      </c>
      <c r="H381" s="191">
        <f>H382</f>
        <v>7468.9</v>
      </c>
      <c r="I381" s="192">
        <f t="shared" si="27"/>
        <v>400</v>
      </c>
    </row>
    <row r="382" spans="1:9" ht="24" x14ac:dyDescent="0.2">
      <c r="A382" s="189" t="s">
        <v>534</v>
      </c>
      <c r="B382" s="190"/>
      <c r="C382" s="189" t="s">
        <v>507</v>
      </c>
      <c r="D382" s="189" t="s">
        <v>670</v>
      </c>
      <c r="E382" s="189" t="s">
        <v>1107</v>
      </c>
      <c r="F382" s="190" t="s">
        <v>529</v>
      </c>
      <c r="G382" s="191">
        <v>7068.9</v>
      </c>
      <c r="H382" s="191">
        <f>7068.9+400</f>
        <v>7468.9</v>
      </c>
      <c r="I382" s="192">
        <f t="shared" si="27"/>
        <v>400</v>
      </c>
    </row>
    <row r="383" spans="1:9" x14ac:dyDescent="0.2">
      <c r="A383" s="189" t="s">
        <v>615</v>
      </c>
      <c r="B383" s="190"/>
      <c r="C383" s="189" t="s">
        <v>507</v>
      </c>
      <c r="D383" s="189" t="s">
        <v>670</v>
      </c>
      <c r="E383" s="189" t="s">
        <v>1107</v>
      </c>
      <c r="F383" s="190" t="s">
        <v>509</v>
      </c>
      <c r="G383" s="191">
        <f>G384</f>
        <v>1806.3</v>
      </c>
      <c r="H383" s="191">
        <f>H384</f>
        <v>2110.6</v>
      </c>
      <c r="I383" s="192">
        <f t="shared" si="27"/>
        <v>304.29999999999995</v>
      </c>
    </row>
    <row r="384" spans="1:9" x14ac:dyDescent="0.2">
      <c r="A384" s="189" t="s">
        <v>614</v>
      </c>
      <c r="B384" s="190"/>
      <c r="C384" s="189" t="s">
        <v>507</v>
      </c>
      <c r="D384" s="189" t="s">
        <v>670</v>
      </c>
      <c r="E384" s="189" t="s">
        <v>1107</v>
      </c>
      <c r="F384" s="190" t="s">
        <v>613</v>
      </c>
      <c r="G384" s="191">
        <v>1806.3</v>
      </c>
      <c r="H384" s="191">
        <f>1806.3+150+154.3</f>
        <v>2110.6</v>
      </c>
      <c r="I384" s="192">
        <f t="shared" si="27"/>
        <v>304.29999999999995</v>
      </c>
    </row>
    <row r="385" spans="1:9" ht="24" x14ac:dyDescent="0.2">
      <c r="A385" s="189" t="s">
        <v>1106</v>
      </c>
      <c r="B385" s="190"/>
      <c r="C385" s="189" t="s">
        <v>507</v>
      </c>
      <c r="D385" s="189" t="s">
        <v>670</v>
      </c>
      <c r="E385" s="189" t="s">
        <v>1105</v>
      </c>
      <c r="F385" s="190"/>
      <c r="G385" s="191">
        <f>G386</f>
        <v>2750</v>
      </c>
      <c r="H385" s="191">
        <f>H386</f>
        <v>2750</v>
      </c>
      <c r="I385" s="192">
        <f t="shared" si="27"/>
        <v>0</v>
      </c>
    </row>
    <row r="386" spans="1:9" ht="24" x14ac:dyDescent="0.2">
      <c r="A386" s="189" t="s">
        <v>547</v>
      </c>
      <c r="B386" s="190"/>
      <c r="C386" s="189" t="s">
        <v>507</v>
      </c>
      <c r="D386" s="189" t="s">
        <v>670</v>
      </c>
      <c r="E386" s="189" t="s">
        <v>1105</v>
      </c>
      <c r="F386" s="190" t="s">
        <v>519</v>
      </c>
      <c r="G386" s="191">
        <f>G387</f>
        <v>2750</v>
      </c>
      <c r="H386" s="191">
        <f>H387</f>
        <v>2750</v>
      </c>
      <c r="I386" s="192">
        <f t="shared" si="27"/>
        <v>0</v>
      </c>
    </row>
    <row r="387" spans="1:9" x14ac:dyDescent="0.2">
      <c r="A387" s="189" t="s">
        <v>571</v>
      </c>
      <c r="B387" s="190"/>
      <c r="C387" s="189" t="s">
        <v>507</v>
      </c>
      <c r="D387" s="189" t="s">
        <v>670</v>
      </c>
      <c r="E387" s="189" t="s">
        <v>1105</v>
      </c>
      <c r="F387" s="190" t="s">
        <v>522</v>
      </c>
      <c r="G387" s="191">
        <v>2750</v>
      </c>
      <c r="H387" s="191">
        <v>2750</v>
      </c>
      <c r="I387" s="192">
        <f t="shared" si="27"/>
        <v>0</v>
      </c>
    </row>
    <row r="388" spans="1:9" ht="24" x14ac:dyDescent="0.2">
      <c r="A388" s="189" t="s">
        <v>1104</v>
      </c>
      <c r="B388" s="190"/>
      <c r="C388" s="189" t="s">
        <v>507</v>
      </c>
      <c r="D388" s="189" t="s">
        <v>670</v>
      </c>
      <c r="E388" s="189" t="s">
        <v>1103</v>
      </c>
      <c r="F388" s="190"/>
      <c r="G388" s="191">
        <f>G389</f>
        <v>253725</v>
      </c>
      <c r="H388" s="191">
        <f>H389</f>
        <v>262845.2</v>
      </c>
      <c r="I388" s="192">
        <f t="shared" si="27"/>
        <v>9120.2000000000116</v>
      </c>
    </row>
    <row r="389" spans="1:9" x14ac:dyDescent="0.2">
      <c r="A389" s="189" t="s">
        <v>1347</v>
      </c>
      <c r="B389" s="190"/>
      <c r="C389" s="189" t="s">
        <v>507</v>
      </c>
      <c r="D389" s="189" t="s">
        <v>670</v>
      </c>
      <c r="E389" s="189" t="s">
        <v>1103</v>
      </c>
      <c r="F389" s="190" t="s">
        <v>535</v>
      </c>
      <c r="G389" s="191">
        <f>G390</f>
        <v>253725</v>
      </c>
      <c r="H389" s="191">
        <f>H390</f>
        <v>262845.2</v>
      </c>
      <c r="I389" s="192">
        <f t="shared" si="27"/>
        <v>9120.2000000000116</v>
      </c>
    </row>
    <row r="390" spans="1:9" ht="24" x14ac:dyDescent="0.2">
      <c r="A390" s="189" t="s">
        <v>534</v>
      </c>
      <c r="B390" s="190"/>
      <c r="C390" s="189" t="s">
        <v>507</v>
      </c>
      <c r="D390" s="189" t="s">
        <v>670</v>
      </c>
      <c r="E390" s="189" t="s">
        <v>1103</v>
      </c>
      <c r="F390" s="190" t="s">
        <v>529</v>
      </c>
      <c r="G390" s="191">
        <f>198948.7+67.3+8500-100+2157.9-638.9+42790+2000</f>
        <v>253725</v>
      </c>
      <c r="H390" s="191">
        <f>198948.7+67.3+8500-100+2157.9-638.9+42790+2000-1803.5+2863.7+8000+60</f>
        <v>262845.2</v>
      </c>
      <c r="I390" s="192">
        <f t="shared" si="27"/>
        <v>9120.2000000000116</v>
      </c>
    </row>
    <row r="391" spans="1:9" ht="24" x14ac:dyDescent="0.2">
      <c r="A391" s="189" t="s">
        <v>1527</v>
      </c>
      <c r="B391" s="190"/>
      <c r="C391" s="189" t="s">
        <v>507</v>
      </c>
      <c r="D391" s="189" t="s">
        <v>670</v>
      </c>
      <c r="E391" s="189" t="s">
        <v>1102</v>
      </c>
      <c r="F391" s="190"/>
      <c r="G391" s="191">
        <f>G392+G394+G398+G396</f>
        <v>157791.79999999999</v>
      </c>
      <c r="H391" s="191">
        <f>H392+H394+H398+H396</f>
        <v>158179.79999999999</v>
      </c>
      <c r="I391" s="192">
        <f t="shared" si="27"/>
        <v>388</v>
      </c>
    </row>
    <row r="392" spans="1:9" ht="36" x14ac:dyDescent="0.2">
      <c r="A392" s="189" t="s">
        <v>1348</v>
      </c>
      <c r="B392" s="190"/>
      <c r="C392" s="189" t="s">
        <v>507</v>
      </c>
      <c r="D392" s="189" t="s">
        <v>670</v>
      </c>
      <c r="E392" s="189" t="s">
        <v>1102</v>
      </c>
      <c r="F392" s="190" t="s">
        <v>556</v>
      </c>
      <c r="G392" s="191">
        <f>G393</f>
        <v>23602.899999999994</v>
      </c>
      <c r="H392" s="191">
        <f>H393</f>
        <v>23602.899999999994</v>
      </c>
      <c r="I392" s="192">
        <f t="shared" si="27"/>
        <v>0</v>
      </c>
    </row>
    <row r="393" spans="1:9" x14ac:dyDescent="0.2">
      <c r="A393" s="189" t="s">
        <v>555</v>
      </c>
      <c r="B393" s="190"/>
      <c r="C393" s="189" t="s">
        <v>507</v>
      </c>
      <c r="D393" s="189" t="s">
        <v>670</v>
      </c>
      <c r="E393" s="189" t="s">
        <v>1102</v>
      </c>
      <c r="F393" s="190" t="s">
        <v>554</v>
      </c>
      <c r="G393" s="191">
        <f>95776-72173.1</f>
        <v>23602.899999999994</v>
      </c>
      <c r="H393" s="191">
        <f>95776-72173.1</f>
        <v>23602.899999999994</v>
      </c>
      <c r="I393" s="192">
        <f t="shared" si="27"/>
        <v>0</v>
      </c>
    </row>
    <row r="394" spans="1:9" x14ac:dyDescent="0.2">
      <c r="A394" s="189" t="s">
        <v>1347</v>
      </c>
      <c r="B394" s="190"/>
      <c r="C394" s="189" t="s">
        <v>507</v>
      </c>
      <c r="D394" s="189" t="s">
        <v>670</v>
      </c>
      <c r="E394" s="189" t="s">
        <v>1102</v>
      </c>
      <c r="F394" s="190" t="s">
        <v>535</v>
      </c>
      <c r="G394" s="191">
        <f>G395</f>
        <v>17370.5</v>
      </c>
      <c r="H394" s="191">
        <f>H395</f>
        <v>17370.5</v>
      </c>
      <c r="I394" s="192">
        <f t="shared" si="27"/>
        <v>0</v>
      </c>
    </row>
    <row r="395" spans="1:9" ht="24" x14ac:dyDescent="0.2">
      <c r="A395" s="189" t="s">
        <v>534</v>
      </c>
      <c r="B395" s="190"/>
      <c r="C395" s="189" t="s">
        <v>507</v>
      </c>
      <c r="D395" s="189" t="s">
        <v>670</v>
      </c>
      <c r="E395" s="189" t="s">
        <v>1102</v>
      </c>
      <c r="F395" s="190" t="s">
        <v>529</v>
      </c>
      <c r="G395" s="191">
        <f>60115.8-42745.3</f>
        <v>17370.5</v>
      </c>
      <c r="H395" s="191">
        <f>60115.8-42745.3</f>
        <v>17370.5</v>
      </c>
      <c r="I395" s="192">
        <f t="shared" si="27"/>
        <v>0</v>
      </c>
    </row>
    <row r="396" spans="1:9" s="392" customFormat="1" ht="24" x14ac:dyDescent="0.2">
      <c r="A396" s="189" t="s">
        <v>547</v>
      </c>
      <c r="B396" s="190"/>
      <c r="C396" s="189" t="s">
        <v>507</v>
      </c>
      <c r="D396" s="189" t="s">
        <v>670</v>
      </c>
      <c r="E396" s="189" t="s">
        <v>1102</v>
      </c>
      <c r="F396" s="190">
        <v>600</v>
      </c>
      <c r="G396" s="191">
        <f>G397</f>
        <v>116619.2</v>
      </c>
      <c r="H396" s="191">
        <f>H397</f>
        <v>117007.2</v>
      </c>
      <c r="I396" s="192">
        <f>H396-G396</f>
        <v>388</v>
      </c>
    </row>
    <row r="397" spans="1:9" s="392" customFormat="1" x14ac:dyDescent="0.2">
      <c r="A397" s="189" t="s">
        <v>571</v>
      </c>
      <c r="B397" s="190"/>
      <c r="C397" s="189" t="s">
        <v>507</v>
      </c>
      <c r="D397" s="189" t="s">
        <v>670</v>
      </c>
      <c r="E397" s="189" t="s">
        <v>1102</v>
      </c>
      <c r="F397" s="190">
        <v>610</v>
      </c>
      <c r="G397" s="191">
        <v>116619.2</v>
      </c>
      <c r="H397" s="191">
        <f>116619.2+388</f>
        <v>117007.2</v>
      </c>
      <c r="I397" s="192">
        <f>H397-G397</f>
        <v>388</v>
      </c>
    </row>
    <row r="398" spans="1:9" x14ac:dyDescent="0.2">
      <c r="A398" s="189" t="s">
        <v>615</v>
      </c>
      <c r="B398" s="190"/>
      <c r="C398" s="189" t="s">
        <v>507</v>
      </c>
      <c r="D398" s="189" t="s">
        <v>670</v>
      </c>
      <c r="E398" s="189" t="s">
        <v>1102</v>
      </c>
      <c r="F398" s="190" t="s">
        <v>509</v>
      </c>
      <c r="G398" s="191">
        <f>G399</f>
        <v>199.20000000000005</v>
      </c>
      <c r="H398" s="191">
        <f>H399</f>
        <v>199.20000000000005</v>
      </c>
      <c r="I398" s="192">
        <f t="shared" si="27"/>
        <v>0</v>
      </c>
    </row>
    <row r="399" spans="1:9" x14ac:dyDescent="0.2">
      <c r="A399" s="189" t="s">
        <v>614</v>
      </c>
      <c r="B399" s="190"/>
      <c r="C399" s="189" t="s">
        <v>507</v>
      </c>
      <c r="D399" s="189" t="s">
        <v>670</v>
      </c>
      <c r="E399" s="189" t="s">
        <v>1102</v>
      </c>
      <c r="F399" s="190" t="s">
        <v>613</v>
      </c>
      <c r="G399" s="191">
        <f>1900-1700.8</f>
        <v>199.20000000000005</v>
      </c>
      <c r="H399" s="191">
        <f>1900-1700.8</f>
        <v>199.20000000000005</v>
      </c>
      <c r="I399" s="192">
        <f t="shared" si="27"/>
        <v>0</v>
      </c>
    </row>
    <row r="400" spans="1:9" ht="24" x14ac:dyDescent="0.2">
      <c r="A400" s="189" t="s">
        <v>1101</v>
      </c>
      <c r="B400" s="190"/>
      <c r="C400" s="189" t="s">
        <v>507</v>
      </c>
      <c r="D400" s="189" t="s">
        <v>670</v>
      </c>
      <c r="E400" s="189" t="s">
        <v>1100</v>
      </c>
      <c r="F400" s="190"/>
      <c r="G400" s="191">
        <f>G401</f>
        <v>53449.799999999996</v>
      </c>
      <c r="H400" s="191">
        <f>H401</f>
        <v>53548.299999999996</v>
      </c>
      <c r="I400" s="192">
        <f t="shared" si="27"/>
        <v>98.5</v>
      </c>
    </row>
    <row r="401" spans="1:9" x14ac:dyDescent="0.2">
      <c r="A401" s="189" t="s">
        <v>1347</v>
      </c>
      <c r="B401" s="190"/>
      <c r="C401" s="189" t="s">
        <v>507</v>
      </c>
      <c r="D401" s="189" t="s">
        <v>670</v>
      </c>
      <c r="E401" s="189" t="s">
        <v>1100</v>
      </c>
      <c r="F401" s="190" t="s">
        <v>535</v>
      </c>
      <c r="G401" s="191">
        <f>G402</f>
        <v>53449.799999999996</v>
      </c>
      <c r="H401" s="191">
        <f>H402</f>
        <v>53548.299999999996</v>
      </c>
      <c r="I401" s="192">
        <f t="shared" si="27"/>
        <v>98.5</v>
      </c>
    </row>
    <row r="402" spans="1:9" ht="24" x14ac:dyDescent="0.2">
      <c r="A402" s="189" t="s">
        <v>534</v>
      </c>
      <c r="B402" s="190"/>
      <c r="C402" s="189" t="s">
        <v>507</v>
      </c>
      <c r="D402" s="189" t="s">
        <v>670</v>
      </c>
      <c r="E402" s="189" t="s">
        <v>1100</v>
      </c>
      <c r="F402" s="190" t="s">
        <v>529</v>
      </c>
      <c r="G402" s="191">
        <f>41792.7+1056.7+552.4+1000-690+9738</f>
        <v>53449.799999999996</v>
      </c>
      <c r="H402" s="191">
        <f>41792.7+1056.7+552.4+1000-690+9738+500-339-62.5</f>
        <v>53548.299999999996</v>
      </c>
      <c r="I402" s="192">
        <f t="shared" si="27"/>
        <v>98.5</v>
      </c>
    </row>
    <row r="403" spans="1:9" ht="24" x14ac:dyDescent="0.2">
      <c r="A403" s="189" t="s">
        <v>1099</v>
      </c>
      <c r="B403" s="190"/>
      <c r="C403" s="189" t="s">
        <v>507</v>
      </c>
      <c r="D403" s="189" t="s">
        <v>670</v>
      </c>
      <c r="E403" s="189" t="s">
        <v>1098</v>
      </c>
      <c r="F403" s="190"/>
      <c r="G403" s="191">
        <f>G404+G406+G408</f>
        <v>9581</v>
      </c>
      <c r="H403" s="191">
        <f>H404+H406+H408</f>
        <v>9581</v>
      </c>
      <c r="I403" s="192">
        <f t="shared" si="27"/>
        <v>0</v>
      </c>
    </row>
    <row r="404" spans="1:9" ht="36" x14ac:dyDescent="0.2">
      <c r="A404" s="189" t="s">
        <v>1348</v>
      </c>
      <c r="B404" s="190"/>
      <c r="C404" s="189" t="s">
        <v>507</v>
      </c>
      <c r="D404" s="189" t="s">
        <v>670</v>
      </c>
      <c r="E404" s="189" t="s">
        <v>1098</v>
      </c>
      <c r="F404" s="190" t="s">
        <v>556</v>
      </c>
      <c r="G404" s="191">
        <f>G405</f>
        <v>5217.3</v>
      </c>
      <c r="H404" s="191">
        <f>H405</f>
        <v>5217.3</v>
      </c>
      <c r="I404" s="192">
        <f t="shared" si="27"/>
        <v>0</v>
      </c>
    </row>
    <row r="405" spans="1:9" x14ac:dyDescent="0.2">
      <c r="A405" s="189" t="s">
        <v>555</v>
      </c>
      <c r="B405" s="190"/>
      <c r="C405" s="189" t="s">
        <v>507</v>
      </c>
      <c r="D405" s="189" t="s">
        <v>670</v>
      </c>
      <c r="E405" s="189" t="s">
        <v>1098</v>
      </c>
      <c r="F405" s="190" t="s">
        <v>554</v>
      </c>
      <c r="G405" s="191">
        <v>5217.3</v>
      </c>
      <c r="H405" s="191">
        <v>5217.3</v>
      </c>
      <c r="I405" s="192">
        <f t="shared" si="27"/>
        <v>0</v>
      </c>
    </row>
    <row r="406" spans="1:9" x14ac:dyDescent="0.2">
      <c r="A406" s="189" t="s">
        <v>1347</v>
      </c>
      <c r="B406" s="190"/>
      <c r="C406" s="189" t="s">
        <v>507</v>
      </c>
      <c r="D406" s="189" t="s">
        <v>670</v>
      </c>
      <c r="E406" s="189" t="s">
        <v>1098</v>
      </c>
      <c r="F406" s="190" t="s">
        <v>535</v>
      </c>
      <c r="G406" s="191">
        <f>G407</f>
        <v>4263.7</v>
      </c>
      <c r="H406" s="191">
        <f>H407</f>
        <v>4263.7</v>
      </c>
      <c r="I406" s="192">
        <f t="shared" ref="I406:I483" si="29">H406-G406</f>
        <v>0</v>
      </c>
    </row>
    <row r="407" spans="1:9" ht="24" x14ac:dyDescent="0.2">
      <c r="A407" s="189" t="s">
        <v>534</v>
      </c>
      <c r="B407" s="190"/>
      <c r="C407" s="189" t="s">
        <v>507</v>
      </c>
      <c r="D407" s="189" t="s">
        <v>670</v>
      </c>
      <c r="E407" s="189" t="s">
        <v>1098</v>
      </c>
      <c r="F407" s="190" t="s">
        <v>529</v>
      </c>
      <c r="G407" s="191">
        <f>4263.7</f>
        <v>4263.7</v>
      </c>
      <c r="H407" s="191">
        <f>4263.7</f>
        <v>4263.7</v>
      </c>
      <c r="I407" s="192">
        <f t="shared" si="29"/>
        <v>0</v>
      </c>
    </row>
    <row r="408" spans="1:9" x14ac:dyDescent="0.2">
      <c r="A408" s="189" t="s">
        <v>615</v>
      </c>
      <c r="B408" s="190"/>
      <c r="C408" s="189" t="s">
        <v>507</v>
      </c>
      <c r="D408" s="189" t="s">
        <v>670</v>
      </c>
      <c r="E408" s="189" t="s">
        <v>1098</v>
      </c>
      <c r="F408" s="190" t="s">
        <v>509</v>
      </c>
      <c r="G408" s="191">
        <f>G409</f>
        <v>100</v>
      </c>
      <c r="H408" s="191">
        <f>H409</f>
        <v>100</v>
      </c>
      <c r="I408" s="192">
        <f t="shared" si="29"/>
        <v>0</v>
      </c>
    </row>
    <row r="409" spans="1:9" x14ac:dyDescent="0.2">
      <c r="A409" s="189" t="s">
        <v>614</v>
      </c>
      <c r="B409" s="190"/>
      <c r="C409" s="189" t="s">
        <v>507</v>
      </c>
      <c r="D409" s="189" t="s">
        <v>670</v>
      </c>
      <c r="E409" s="189" t="s">
        <v>1098</v>
      </c>
      <c r="F409" s="190" t="s">
        <v>613</v>
      </c>
      <c r="G409" s="191">
        <v>100</v>
      </c>
      <c r="H409" s="191">
        <v>100</v>
      </c>
      <c r="I409" s="192">
        <f t="shared" si="29"/>
        <v>0</v>
      </c>
    </row>
    <row r="410" spans="1:9" ht="24" x14ac:dyDescent="0.2">
      <c r="A410" s="189" t="s">
        <v>1097</v>
      </c>
      <c r="B410" s="190"/>
      <c r="C410" s="189" t="s">
        <v>507</v>
      </c>
      <c r="D410" s="189" t="s">
        <v>670</v>
      </c>
      <c r="E410" s="189" t="s">
        <v>1096</v>
      </c>
      <c r="F410" s="190"/>
      <c r="G410" s="191">
        <f>G411</f>
        <v>50</v>
      </c>
      <c r="H410" s="191">
        <f>H411</f>
        <v>50</v>
      </c>
      <c r="I410" s="192">
        <f t="shared" si="29"/>
        <v>0</v>
      </c>
    </row>
    <row r="411" spans="1:9" x14ac:dyDescent="0.2">
      <c r="A411" s="189" t="s">
        <v>1347</v>
      </c>
      <c r="B411" s="190"/>
      <c r="C411" s="189" t="s">
        <v>507</v>
      </c>
      <c r="D411" s="189" t="s">
        <v>670</v>
      </c>
      <c r="E411" s="189" t="s">
        <v>1096</v>
      </c>
      <c r="F411" s="190" t="s">
        <v>535</v>
      </c>
      <c r="G411" s="191">
        <f>G412</f>
        <v>50</v>
      </c>
      <c r="H411" s="191">
        <f>H412</f>
        <v>50</v>
      </c>
      <c r="I411" s="192">
        <f t="shared" si="29"/>
        <v>0</v>
      </c>
    </row>
    <row r="412" spans="1:9" ht="24" x14ac:dyDescent="0.2">
      <c r="A412" s="189" t="s">
        <v>534</v>
      </c>
      <c r="B412" s="190"/>
      <c r="C412" s="189" t="s">
        <v>507</v>
      </c>
      <c r="D412" s="189" t="s">
        <v>670</v>
      </c>
      <c r="E412" s="189" t="s">
        <v>1096</v>
      </c>
      <c r="F412" s="190" t="s">
        <v>529</v>
      </c>
      <c r="G412" s="191">
        <v>50</v>
      </c>
      <c r="H412" s="191">
        <v>50</v>
      </c>
      <c r="I412" s="192">
        <f t="shared" si="29"/>
        <v>0</v>
      </c>
    </row>
    <row r="413" spans="1:9" ht="24" x14ac:dyDescent="0.2">
      <c r="A413" s="189" t="s">
        <v>1095</v>
      </c>
      <c r="B413" s="190"/>
      <c r="C413" s="189" t="s">
        <v>507</v>
      </c>
      <c r="D413" s="189" t="s">
        <v>670</v>
      </c>
      <c r="E413" s="189" t="s">
        <v>1094</v>
      </c>
      <c r="F413" s="190"/>
      <c r="G413" s="191">
        <f>G414</f>
        <v>50</v>
      </c>
      <c r="H413" s="191">
        <f>H414</f>
        <v>50</v>
      </c>
      <c r="I413" s="192">
        <f t="shared" si="29"/>
        <v>0</v>
      </c>
    </row>
    <row r="414" spans="1:9" x14ac:dyDescent="0.2">
      <c r="A414" s="189" t="s">
        <v>1347</v>
      </c>
      <c r="B414" s="190"/>
      <c r="C414" s="189" t="s">
        <v>507</v>
      </c>
      <c r="D414" s="189" t="s">
        <v>670</v>
      </c>
      <c r="E414" s="189" t="s">
        <v>1094</v>
      </c>
      <c r="F414" s="190" t="s">
        <v>535</v>
      </c>
      <c r="G414" s="191">
        <f>G415</f>
        <v>50</v>
      </c>
      <c r="H414" s="191">
        <f>H415</f>
        <v>50</v>
      </c>
      <c r="I414" s="192">
        <f t="shared" si="29"/>
        <v>0</v>
      </c>
    </row>
    <row r="415" spans="1:9" ht="24" x14ac:dyDescent="0.2">
      <c r="A415" s="189" t="s">
        <v>534</v>
      </c>
      <c r="B415" s="190"/>
      <c r="C415" s="189" t="s">
        <v>507</v>
      </c>
      <c r="D415" s="189" t="s">
        <v>670</v>
      </c>
      <c r="E415" s="189" t="s">
        <v>1094</v>
      </c>
      <c r="F415" s="190" t="s">
        <v>529</v>
      </c>
      <c r="G415" s="191">
        <v>50</v>
      </c>
      <c r="H415" s="191">
        <v>50</v>
      </c>
      <c r="I415" s="192">
        <f t="shared" si="29"/>
        <v>0</v>
      </c>
    </row>
    <row r="416" spans="1:9" ht="24" x14ac:dyDescent="0.2">
      <c r="A416" s="189" t="s">
        <v>1093</v>
      </c>
      <c r="B416" s="190"/>
      <c r="C416" s="189" t="s">
        <v>507</v>
      </c>
      <c r="D416" s="189" t="s">
        <v>670</v>
      </c>
      <c r="E416" s="189" t="s">
        <v>1092</v>
      </c>
      <c r="F416" s="190"/>
      <c r="G416" s="191">
        <f>G417</f>
        <v>8702</v>
      </c>
      <c r="H416" s="191">
        <f>H417</f>
        <v>9102</v>
      </c>
      <c r="I416" s="192">
        <f t="shared" si="29"/>
        <v>400</v>
      </c>
    </row>
    <row r="417" spans="1:9" x14ac:dyDescent="0.2">
      <c r="A417" s="189" t="s">
        <v>1347</v>
      </c>
      <c r="B417" s="190"/>
      <c r="C417" s="189" t="s">
        <v>507</v>
      </c>
      <c r="D417" s="189" t="s">
        <v>670</v>
      </c>
      <c r="E417" s="189" t="s">
        <v>1092</v>
      </c>
      <c r="F417" s="190" t="s">
        <v>535</v>
      </c>
      <c r="G417" s="191">
        <f>G418</f>
        <v>8702</v>
      </c>
      <c r="H417" s="191">
        <f>H418</f>
        <v>9102</v>
      </c>
      <c r="I417" s="192">
        <f t="shared" si="29"/>
        <v>400</v>
      </c>
    </row>
    <row r="418" spans="1:9" ht="14.25" customHeight="1" x14ac:dyDescent="0.2">
      <c r="A418" s="189" t="s">
        <v>534</v>
      </c>
      <c r="B418" s="190"/>
      <c r="C418" s="189" t="s">
        <v>507</v>
      </c>
      <c r="D418" s="189" t="s">
        <v>670</v>
      </c>
      <c r="E418" s="189" t="s">
        <v>1092</v>
      </c>
      <c r="F418" s="190" t="s">
        <v>529</v>
      </c>
      <c r="G418" s="191">
        <f>7430+1272</f>
        <v>8702</v>
      </c>
      <c r="H418" s="191">
        <f>7430+1272+400</f>
        <v>9102</v>
      </c>
      <c r="I418" s="192">
        <f t="shared" si="29"/>
        <v>400</v>
      </c>
    </row>
    <row r="419" spans="1:9" ht="13.5" customHeight="1" x14ac:dyDescent="0.2">
      <c r="A419" s="189" t="s">
        <v>1528</v>
      </c>
      <c r="B419" s="190"/>
      <c r="C419" s="189" t="s">
        <v>507</v>
      </c>
      <c r="D419" s="189" t="s">
        <v>670</v>
      </c>
      <c r="E419" s="189" t="s">
        <v>1091</v>
      </c>
      <c r="F419" s="190"/>
      <c r="G419" s="191">
        <f>G420</f>
        <v>660</v>
      </c>
      <c r="H419" s="191">
        <f>H420</f>
        <v>660</v>
      </c>
      <c r="I419" s="192">
        <f t="shared" si="29"/>
        <v>0</v>
      </c>
    </row>
    <row r="420" spans="1:9" s="387" customFormat="1" ht="24" x14ac:dyDescent="0.2">
      <c r="A420" s="189" t="s">
        <v>547</v>
      </c>
      <c r="B420" s="190"/>
      <c r="C420" s="189" t="s">
        <v>507</v>
      </c>
      <c r="D420" s="189" t="s">
        <v>670</v>
      </c>
      <c r="E420" s="189" t="s">
        <v>1091</v>
      </c>
      <c r="F420" s="190" t="s">
        <v>519</v>
      </c>
      <c r="G420" s="191">
        <f>G421</f>
        <v>660</v>
      </c>
      <c r="H420" s="191">
        <f>H421</f>
        <v>660</v>
      </c>
      <c r="I420" s="192">
        <f t="shared" si="29"/>
        <v>0</v>
      </c>
    </row>
    <row r="421" spans="1:9" s="387" customFormat="1" x14ac:dyDescent="0.2">
      <c r="A421" s="189" t="s">
        <v>571</v>
      </c>
      <c r="B421" s="190"/>
      <c r="C421" s="189" t="s">
        <v>507</v>
      </c>
      <c r="D421" s="189" t="s">
        <v>670</v>
      </c>
      <c r="E421" s="189" t="s">
        <v>1091</v>
      </c>
      <c r="F421" s="190" t="s">
        <v>522</v>
      </c>
      <c r="G421" s="191">
        <v>660</v>
      </c>
      <c r="H421" s="191">
        <v>660</v>
      </c>
      <c r="I421" s="192">
        <f t="shared" si="29"/>
        <v>0</v>
      </c>
    </row>
    <row r="422" spans="1:9" ht="24" x14ac:dyDescent="0.2">
      <c r="A422" s="189" t="s">
        <v>1090</v>
      </c>
      <c r="B422" s="190"/>
      <c r="C422" s="189" t="s">
        <v>507</v>
      </c>
      <c r="D422" s="189" t="s">
        <v>670</v>
      </c>
      <c r="E422" s="189" t="s">
        <v>1089</v>
      </c>
      <c r="F422" s="190"/>
      <c r="G422" s="191">
        <f>G423</f>
        <v>340</v>
      </c>
      <c r="H422" s="191">
        <f>H423</f>
        <v>814.1</v>
      </c>
      <c r="I422" s="192">
        <f t="shared" si="29"/>
        <v>474.1</v>
      </c>
    </row>
    <row r="423" spans="1:9" x14ac:dyDescent="0.2">
      <c r="A423" s="189" t="s">
        <v>1347</v>
      </c>
      <c r="B423" s="190"/>
      <c r="C423" s="189" t="s">
        <v>507</v>
      </c>
      <c r="D423" s="189" t="s">
        <v>670</v>
      </c>
      <c r="E423" s="189" t="s">
        <v>1089</v>
      </c>
      <c r="F423" s="190" t="s">
        <v>535</v>
      </c>
      <c r="G423" s="191">
        <f>G424</f>
        <v>340</v>
      </c>
      <c r="H423" s="191">
        <f>H424</f>
        <v>814.1</v>
      </c>
      <c r="I423" s="192">
        <f t="shared" si="29"/>
        <v>474.1</v>
      </c>
    </row>
    <row r="424" spans="1:9" ht="24" x14ac:dyDescent="0.2">
      <c r="A424" s="189" t="s">
        <v>534</v>
      </c>
      <c r="B424" s="190"/>
      <c r="C424" s="189" t="s">
        <v>507</v>
      </c>
      <c r="D424" s="189" t="s">
        <v>670</v>
      </c>
      <c r="E424" s="189" t="s">
        <v>1089</v>
      </c>
      <c r="F424" s="190" t="s">
        <v>529</v>
      </c>
      <c r="G424" s="191">
        <f>70+270</f>
        <v>340</v>
      </c>
      <c r="H424" s="191">
        <f>70+270+474.1</f>
        <v>814.1</v>
      </c>
      <c r="I424" s="192">
        <f t="shared" si="29"/>
        <v>474.1</v>
      </c>
    </row>
    <row r="425" spans="1:9" ht="24" x14ac:dyDescent="0.2">
      <c r="A425" s="189" t="s">
        <v>1088</v>
      </c>
      <c r="B425" s="190"/>
      <c r="C425" s="189" t="s">
        <v>507</v>
      </c>
      <c r="D425" s="189" t="s">
        <v>670</v>
      </c>
      <c r="E425" s="189" t="s">
        <v>1087</v>
      </c>
      <c r="F425" s="190"/>
      <c r="G425" s="191">
        <f>G426</f>
        <v>1250</v>
      </c>
      <c r="H425" s="191">
        <f>H426</f>
        <v>1250</v>
      </c>
      <c r="I425" s="192">
        <f t="shared" si="29"/>
        <v>0</v>
      </c>
    </row>
    <row r="426" spans="1:9" ht="24" x14ac:dyDescent="0.2">
      <c r="A426" s="189" t="s">
        <v>547</v>
      </c>
      <c r="B426" s="190"/>
      <c r="C426" s="189" t="s">
        <v>507</v>
      </c>
      <c r="D426" s="189" t="s">
        <v>670</v>
      </c>
      <c r="E426" s="189" t="s">
        <v>1087</v>
      </c>
      <c r="F426" s="190" t="s">
        <v>519</v>
      </c>
      <c r="G426" s="191">
        <f>G427</f>
        <v>1250</v>
      </c>
      <c r="H426" s="191">
        <f>H427</f>
        <v>1250</v>
      </c>
      <c r="I426" s="192">
        <f t="shared" si="29"/>
        <v>0</v>
      </c>
    </row>
    <row r="427" spans="1:9" x14ac:dyDescent="0.2">
      <c r="A427" s="189" t="s">
        <v>571</v>
      </c>
      <c r="B427" s="190"/>
      <c r="C427" s="189" t="s">
        <v>507</v>
      </c>
      <c r="D427" s="189" t="s">
        <v>670</v>
      </c>
      <c r="E427" s="189" t="s">
        <v>1087</v>
      </c>
      <c r="F427" s="190" t="s">
        <v>522</v>
      </c>
      <c r="G427" s="191">
        <v>1250</v>
      </c>
      <c r="H427" s="191">
        <v>1250</v>
      </c>
      <c r="I427" s="192">
        <f t="shared" si="29"/>
        <v>0</v>
      </c>
    </row>
    <row r="428" spans="1:9" s="385" customFormat="1" ht="24" x14ac:dyDescent="0.2">
      <c r="A428" s="189" t="s">
        <v>1522</v>
      </c>
      <c r="B428" s="189"/>
      <c r="C428" s="189" t="s">
        <v>507</v>
      </c>
      <c r="D428" s="189" t="s">
        <v>670</v>
      </c>
      <c r="E428" s="189" t="s">
        <v>1523</v>
      </c>
      <c r="F428" s="189"/>
      <c r="G428" s="191">
        <f>G429</f>
        <v>100</v>
      </c>
      <c r="H428" s="191">
        <f>H429</f>
        <v>100</v>
      </c>
      <c r="I428" s="192">
        <f t="shared" si="29"/>
        <v>0</v>
      </c>
    </row>
    <row r="429" spans="1:9" s="385" customFormat="1" x14ac:dyDescent="0.2">
      <c r="A429" s="189" t="s">
        <v>1347</v>
      </c>
      <c r="B429" s="189"/>
      <c r="C429" s="189" t="s">
        <v>507</v>
      </c>
      <c r="D429" s="189" t="s">
        <v>670</v>
      </c>
      <c r="E429" s="189" t="s">
        <v>1523</v>
      </c>
      <c r="F429" s="190" t="s">
        <v>535</v>
      </c>
      <c r="G429" s="191">
        <f>G430</f>
        <v>100</v>
      </c>
      <c r="H429" s="191">
        <f>H430</f>
        <v>100</v>
      </c>
      <c r="I429" s="192">
        <f t="shared" si="29"/>
        <v>0</v>
      </c>
    </row>
    <row r="430" spans="1:9" s="385" customFormat="1" ht="24" x14ac:dyDescent="0.2">
      <c r="A430" s="189" t="s">
        <v>534</v>
      </c>
      <c r="B430" s="189"/>
      <c r="C430" s="189" t="s">
        <v>507</v>
      </c>
      <c r="D430" s="189" t="s">
        <v>670</v>
      </c>
      <c r="E430" s="189" t="s">
        <v>1523</v>
      </c>
      <c r="F430" s="190" t="s">
        <v>529</v>
      </c>
      <c r="G430" s="191">
        <v>100</v>
      </c>
      <c r="H430" s="191">
        <v>100</v>
      </c>
      <c r="I430" s="192">
        <f t="shared" si="29"/>
        <v>0</v>
      </c>
    </row>
    <row r="431" spans="1:9" s="435" customFormat="1" ht="36" x14ac:dyDescent="0.2">
      <c r="A431" s="189" t="s">
        <v>1735</v>
      </c>
      <c r="B431" s="189"/>
      <c r="C431" s="189" t="s">
        <v>507</v>
      </c>
      <c r="D431" s="189" t="s">
        <v>670</v>
      </c>
      <c r="E431" s="189" t="s">
        <v>1642</v>
      </c>
      <c r="F431" s="189"/>
      <c r="G431" s="191">
        <f>G432</f>
        <v>0</v>
      </c>
      <c r="H431" s="191">
        <f>H432</f>
        <v>1803.5</v>
      </c>
      <c r="I431" s="192">
        <f t="shared" si="29"/>
        <v>1803.5</v>
      </c>
    </row>
    <row r="432" spans="1:9" s="435" customFormat="1" x14ac:dyDescent="0.2">
      <c r="A432" s="189" t="s">
        <v>1347</v>
      </c>
      <c r="B432" s="189"/>
      <c r="C432" s="189" t="s">
        <v>507</v>
      </c>
      <c r="D432" s="189" t="s">
        <v>670</v>
      </c>
      <c r="E432" s="189" t="s">
        <v>1642</v>
      </c>
      <c r="F432" s="189" t="s">
        <v>535</v>
      </c>
      <c r="G432" s="191">
        <f>G433</f>
        <v>0</v>
      </c>
      <c r="H432" s="191">
        <f>H433</f>
        <v>1803.5</v>
      </c>
      <c r="I432" s="192">
        <f t="shared" si="29"/>
        <v>1803.5</v>
      </c>
    </row>
    <row r="433" spans="1:9" s="435" customFormat="1" ht="24" x14ac:dyDescent="0.2">
      <c r="A433" s="189" t="s">
        <v>534</v>
      </c>
      <c r="B433" s="189"/>
      <c r="C433" s="189" t="s">
        <v>507</v>
      </c>
      <c r="D433" s="189" t="s">
        <v>670</v>
      </c>
      <c r="E433" s="189" t="s">
        <v>1642</v>
      </c>
      <c r="F433" s="189" t="s">
        <v>529</v>
      </c>
      <c r="G433" s="191">
        <v>0</v>
      </c>
      <c r="H433" s="191">
        <v>1803.5</v>
      </c>
      <c r="I433" s="192">
        <f t="shared" si="29"/>
        <v>1803.5</v>
      </c>
    </row>
    <row r="434" spans="1:9" s="383" customFormat="1" ht="36" x14ac:dyDescent="0.2">
      <c r="A434" s="189" t="s">
        <v>1520</v>
      </c>
      <c r="B434" s="189"/>
      <c r="C434" s="189" t="s">
        <v>507</v>
      </c>
      <c r="D434" s="189" t="s">
        <v>670</v>
      </c>
      <c r="E434" s="189" t="s">
        <v>1521</v>
      </c>
      <c r="F434" s="189"/>
      <c r="G434" s="191">
        <f>G435</f>
        <v>690</v>
      </c>
      <c r="H434" s="191">
        <f>H435</f>
        <v>690</v>
      </c>
      <c r="I434" s="192">
        <f t="shared" si="29"/>
        <v>0</v>
      </c>
    </row>
    <row r="435" spans="1:9" s="383" customFormat="1" x14ac:dyDescent="0.2">
      <c r="A435" s="189" t="s">
        <v>1347</v>
      </c>
      <c r="B435" s="189"/>
      <c r="C435" s="189" t="s">
        <v>507</v>
      </c>
      <c r="D435" s="189" t="s">
        <v>670</v>
      </c>
      <c r="E435" s="189" t="s">
        <v>1521</v>
      </c>
      <c r="F435" s="190" t="s">
        <v>535</v>
      </c>
      <c r="G435" s="191">
        <f>G436</f>
        <v>690</v>
      </c>
      <c r="H435" s="191">
        <f>H436</f>
        <v>690</v>
      </c>
      <c r="I435" s="192">
        <f t="shared" si="29"/>
        <v>0</v>
      </c>
    </row>
    <row r="436" spans="1:9" s="383" customFormat="1" ht="24" x14ac:dyDescent="0.2">
      <c r="A436" s="189" t="s">
        <v>534</v>
      </c>
      <c r="B436" s="189"/>
      <c r="C436" s="189" t="s">
        <v>507</v>
      </c>
      <c r="D436" s="189" t="s">
        <v>670</v>
      </c>
      <c r="E436" s="189" t="s">
        <v>1521</v>
      </c>
      <c r="F436" s="190" t="s">
        <v>529</v>
      </c>
      <c r="G436" s="191">
        <v>690</v>
      </c>
      <c r="H436" s="191">
        <v>690</v>
      </c>
      <c r="I436" s="192">
        <f t="shared" si="29"/>
        <v>0</v>
      </c>
    </row>
    <row r="437" spans="1:9" ht="24" x14ac:dyDescent="0.2">
      <c r="A437" s="189" t="s">
        <v>1086</v>
      </c>
      <c r="B437" s="190"/>
      <c r="C437" s="189" t="s">
        <v>507</v>
      </c>
      <c r="D437" s="189" t="s">
        <v>670</v>
      </c>
      <c r="E437" s="189" t="s">
        <v>1085</v>
      </c>
      <c r="F437" s="190"/>
      <c r="G437" s="191">
        <f>G438</f>
        <v>10399</v>
      </c>
      <c r="H437" s="191">
        <f>H438</f>
        <v>7219.5</v>
      </c>
      <c r="I437" s="192">
        <f t="shared" si="29"/>
        <v>-3179.5</v>
      </c>
    </row>
    <row r="438" spans="1:9" x14ac:dyDescent="0.2">
      <c r="A438" s="189" t="s">
        <v>1347</v>
      </c>
      <c r="B438" s="190"/>
      <c r="C438" s="189" t="s">
        <v>507</v>
      </c>
      <c r="D438" s="189" t="s">
        <v>670</v>
      </c>
      <c r="E438" s="189" t="s">
        <v>1085</v>
      </c>
      <c r="F438" s="190" t="s">
        <v>535</v>
      </c>
      <c r="G438" s="191">
        <f>G439</f>
        <v>10399</v>
      </c>
      <c r="H438" s="191">
        <f>H439</f>
        <v>7219.5</v>
      </c>
      <c r="I438" s="192">
        <f t="shared" si="29"/>
        <v>-3179.5</v>
      </c>
    </row>
    <row r="439" spans="1:9" ht="24" x14ac:dyDescent="0.2">
      <c r="A439" s="189" t="s">
        <v>534</v>
      </c>
      <c r="B439" s="190"/>
      <c r="C439" s="189" t="s">
        <v>507</v>
      </c>
      <c r="D439" s="189" t="s">
        <v>670</v>
      </c>
      <c r="E439" s="189" t="s">
        <v>1085</v>
      </c>
      <c r="F439" s="190" t="s">
        <v>529</v>
      </c>
      <c r="G439" s="191">
        <f>10590-191</f>
        <v>10399</v>
      </c>
      <c r="H439" s="191">
        <f>10590-191-3179.5</f>
        <v>7219.5</v>
      </c>
      <c r="I439" s="192">
        <f t="shared" si="29"/>
        <v>-3179.5</v>
      </c>
    </row>
    <row r="440" spans="1:9" ht="24" x14ac:dyDescent="0.2">
      <c r="A440" s="189" t="s">
        <v>1084</v>
      </c>
      <c r="B440" s="190"/>
      <c r="C440" s="189" t="s">
        <v>507</v>
      </c>
      <c r="D440" s="189" t="s">
        <v>670</v>
      </c>
      <c r="E440" s="189" t="s">
        <v>1083</v>
      </c>
      <c r="F440" s="190"/>
      <c r="G440" s="191">
        <f>G441</f>
        <v>55457</v>
      </c>
      <c r="H440" s="191">
        <f>H441</f>
        <v>46080.9</v>
      </c>
      <c r="I440" s="192">
        <f t="shared" si="29"/>
        <v>-9376.0999999999985</v>
      </c>
    </row>
    <row r="441" spans="1:9" x14ac:dyDescent="0.2">
      <c r="A441" s="189" t="s">
        <v>1347</v>
      </c>
      <c r="B441" s="190"/>
      <c r="C441" s="189" t="s">
        <v>507</v>
      </c>
      <c r="D441" s="189" t="s">
        <v>670</v>
      </c>
      <c r="E441" s="189" t="s">
        <v>1083</v>
      </c>
      <c r="F441" s="190" t="s">
        <v>535</v>
      </c>
      <c r="G441" s="191">
        <f>G442</f>
        <v>55457</v>
      </c>
      <c r="H441" s="191">
        <f>H442</f>
        <v>46080.9</v>
      </c>
      <c r="I441" s="192">
        <f t="shared" si="29"/>
        <v>-9376.0999999999985</v>
      </c>
    </row>
    <row r="442" spans="1:9" ht="24" x14ac:dyDescent="0.2">
      <c r="A442" s="189" t="s">
        <v>534</v>
      </c>
      <c r="B442" s="190"/>
      <c r="C442" s="189" t="s">
        <v>507</v>
      </c>
      <c r="D442" s="189" t="s">
        <v>670</v>
      </c>
      <c r="E442" s="189" t="s">
        <v>1083</v>
      </c>
      <c r="F442" s="190" t="s">
        <v>529</v>
      </c>
      <c r="G442" s="191">
        <f>56073-616</f>
        <v>55457</v>
      </c>
      <c r="H442" s="191">
        <f>56073-616-9376.1</f>
        <v>46080.9</v>
      </c>
      <c r="I442" s="192">
        <f t="shared" si="29"/>
        <v>-9376.0999999999985</v>
      </c>
    </row>
    <row r="443" spans="1:9" ht="24" x14ac:dyDescent="0.2">
      <c r="A443" s="189" t="s">
        <v>1082</v>
      </c>
      <c r="B443" s="190"/>
      <c r="C443" s="189" t="s">
        <v>507</v>
      </c>
      <c r="D443" s="189" t="s">
        <v>670</v>
      </c>
      <c r="E443" s="189" t="s">
        <v>1081</v>
      </c>
      <c r="F443" s="190"/>
      <c r="G443" s="191">
        <f>G444</f>
        <v>15418</v>
      </c>
      <c r="H443" s="191">
        <f>H444</f>
        <v>13119.6</v>
      </c>
      <c r="I443" s="192">
        <f t="shared" si="29"/>
        <v>-2298.3999999999996</v>
      </c>
    </row>
    <row r="444" spans="1:9" x14ac:dyDescent="0.2">
      <c r="A444" s="189" t="s">
        <v>1347</v>
      </c>
      <c r="B444" s="190"/>
      <c r="C444" s="189" t="s">
        <v>507</v>
      </c>
      <c r="D444" s="189" t="s">
        <v>670</v>
      </c>
      <c r="E444" s="189" t="s">
        <v>1081</v>
      </c>
      <c r="F444" s="190" t="s">
        <v>535</v>
      </c>
      <c r="G444" s="191">
        <f>G445</f>
        <v>15418</v>
      </c>
      <c r="H444" s="191">
        <f>H445</f>
        <v>13119.6</v>
      </c>
      <c r="I444" s="192">
        <f t="shared" si="29"/>
        <v>-2298.3999999999996</v>
      </c>
    </row>
    <row r="445" spans="1:9" ht="24" x14ac:dyDescent="0.2">
      <c r="A445" s="189" t="s">
        <v>534</v>
      </c>
      <c r="B445" s="190"/>
      <c r="C445" s="189" t="s">
        <v>507</v>
      </c>
      <c r="D445" s="189" t="s">
        <v>670</v>
      </c>
      <c r="E445" s="189" t="s">
        <v>1081</v>
      </c>
      <c r="F445" s="190" t="s">
        <v>529</v>
      </c>
      <c r="G445" s="191">
        <f>15574-156</f>
        <v>15418</v>
      </c>
      <c r="H445" s="191">
        <f>15574-156-2298.4</f>
        <v>13119.6</v>
      </c>
      <c r="I445" s="192">
        <f t="shared" si="29"/>
        <v>-2298.3999999999996</v>
      </c>
    </row>
    <row r="446" spans="1:9" s="423" customFormat="1" ht="15" x14ac:dyDescent="0.2">
      <c r="A446" s="189" t="s">
        <v>986</v>
      </c>
      <c r="B446" s="448"/>
      <c r="C446" s="189" t="s">
        <v>507</v>
      </c>
      <c r="D446" s="189" t="s">
        <v>670</v>
      </c>
      <c r="E446" s="189" t="s">
        <v>985</v>
      </c>
      <c r="F446" s="189"/>
      <c r="G446" s="191">
        <f t="shared" ref="G446:H450" si="30">G447</f>
        <v>0</v>
      </c>
      <c r="H446" s="191">
        <f t="shared" si="30"/>
        <v>8130.1</v>
      </c>
      <c r="I446" s="192">
        <f t="shared" si="29"/>
        <v>8130.1</v>
      </c>
    </row>
    <row r="447" spans="1:9" s="423" customFormat="1" ht="15" x14ac:dyDescent="0.2">
      <c r="A447" s="189" t="s">
        <v>984</v>
      </c>
      <c r="B447" s="448"/>
      <c r="C447" s="189" t="s">
        <v>507</v>
      </c>
      <c r="D447" s="189" t="s">
        <v>670</v>
      </c>
      <c r="E447" s="189" t="s">
        <v>983</v>
      </c>
      <c r="F447" s="189"/>
      <c r="G447" s="191">
        <f t="shared" si="30"/>
        <v>0</v>
      </c>
      <c r="H447" s="191">
        <f t="shared" si="30"/>
        <v>8130.1</v>
      </c>
      <c r="I447" s="192">
        <f t="shared" si="29"/>
        <v>8130.1</v>
      </c>
    </row>
    <row r="448" spans="1:9" s="423" customFormat="1" ht="15" x14ac:dyDescent="0.2">
      <c r="A448" s="189" t="s">
        <v>978</v>
      </c>
      <c r="B448" s="448"/>
      <c r="C448" s="189" t="s">
        <v>507</v>
      </c>
      <c r="D448" s="189" t="s">
        <v>670</v>
      </c>
      <c r="E448" s="189" t="s">
        <v>977</v>
      </c>
      <c r="F448" s="189"/>
      <c r="G448" s="191">
        <f t="shared" si="30"/>
        <v>0</v>
      </c>
      <c r="H448" s="191">
        <f t="shared" si="30"/>
        <v>8130.1</v>
      </c>
      <c r="I448" s="192">
        <f t="shared" si="29"/>
        <v>8130.1</v>
      </c>
    </row>
    <row r="449" spans="1:9" s="423" customFormat="1" ht="15" x14ac:dyDescent="0.2">
      <c r="A449" s="189" t="s">
        <v>1622</v>
      </c>
      <c r="B449" s="448"/>
      <c r="C449" s="189" t="s">
        <v>507</v>
      </c>
      <c r="D449" s="189" t="s">
        <v>670</v>
      </c>
      <c r="E449" s="189" t="s">
        <v>1623</v>
      </c>
      <c r="F449" s="189"/>
      <c r="G449" s="191">
        <f t="shared" si="30"/>
        <v>0</v>
      </c>
      <c r="H449" s="191">
        <f t="shared" si="30"/>
        <v>8130.1</v>
      </c>
      <c r="I449" s="192">
        <f t="shared" si="29"/>
        <v>8130.1</v>
      </c>
    </row>
    <row r="450" spans="1:9" s="423" customFormat="1" ht="15" x14ac:dyDescent="0.2">
      <c r="A450" s="189" t="s">
        <v>1347</v>
      </c>
      <c r="B450" s="448"/>
      <c r="C450" s="189" t="s">
        <v>507</v>
      </c>
      <c r="D450" s="189" t="s">
        <v>670</v>
      </c>
      <c r="E450" s="189" t="s">
        <v>1623</v>
      </c>
      <c r="F450" s="189" t="s">
        <v>535</v>
      </c>
      <c r="G450" s="191">
        <f t="shared" si="30"/>
        <v>0</v>
      </c>
      <c r="H450" s="191">
        <f t="shared" si="30"/>
        <v>8130.1</v>
      </c>
      <c r="I450" s="192">
        <f t="shared" si="29"/>
        <v>8130.1</v>
      </c>
    </row>
    <row r="451" spans="1:9" s="423" customFormat="1" ht="24" x14ac:dyDescent="0.2">
      <c r="A451" s="189" t="s">
        <v>534</v>
      </c>
      <c r="B451" s="448"/>
      <c r="C451" s="189" t="s">
        <v>507</v>
      </c>
      <c r="D451" s="189" t="s">
        <v>670</v>
      </c>
      <c r="E451" s="189" t="s">
        <v>1623</v>
      </c>
      <c r="F451" s="189" t="s">
        <v>529</v>
      </c>
      <c r="G451" s="191">
        <v>0</v>
      </c>
      <c r="H451" s="191">
        <f>5081.3+3048.8</f>
        <v>8130.1</v>
      </c>
      <c r="I451" s="192">
        <f t="shared" si="29"/>
        <v>8130.1</v>
      </c>
    </row>
    <row r="452" spans="1:9" x14ac:dyDescent="0.2">
      <c r="A452" s="189" t="s">
        <v>743</v>
      </c>
      <c r="B452" s="190"/>
      <c r="C452" s="189" t="s">
        <v>507</v>
      </c>
      <c r="D452" s="189" t="s">
        <v>657</v>
      </c>
      <c r="E452" s="189"/>
      <c r="F452" s="190"/>
      <c r="G452" s="191">
        <f>G453</f>
        <v>39473.199999999997</v>
      </c>
      <c r="H452" s="191">
        <f>H453</f>
        <v>39473.199999999997</v>
      </c>
      <c r="I452" s="192">
        <f t="shared" si="29"/>
        <v>0</v>
      </c>
    </row>
    <row r="453" spans="1:9" x14ac:dyDescent="0.2">
      <c r="A453" s="189" t="s">
        <v>742</v>
      </c>
      <c r="B453" s="190"/>
      <c r="C453" s="189" t="s">
        <v>507</v>
      </c>
      <c r="D453" s="189" t="s">
        <v>657</v>
      </c>
      <c r="E453" s="189" t="s">
        <v>741</v>
      </c>
      <c r="F453" s="190"/>
      <c r="G453" s="191">
        <f>G454</f>
        <v>39473.199999999997</v>
      </c>
      <c r="H453" s="191">
        <f>H454</f>
        <v>39473.199999999997</v>
      </c>
      <c r="I453" s="192">
        <f t="shared" si="29"/>
        <v>0</v>
      </c>
    </row>
    <row r="454" spans="1:9" ht="24" x14ac:dyDescent="0.2">
      <c r="A454" s="189" t="s">
        <v>740</v>
      </c>
      <c r="B454" s="190"/>
      <c r="C454" s="189" t="s">
        <v>507</v>
      </c>
      <c r="D454" s="189" t="s">
        <v>657</v>
      </c>
      <c r="E454" s="189" t="s">
        <v>739</v>
      </c>
      <c r="F454" s="190"/>
      <c r="G454" s="191">
        <f>G455+G459+G463+G470</f>
        <v>39473.199999999997</v>
      </c>
      <c r="H454" s="191">
        <f>H455+H459+H463+H470</f>
        <v>39473.199999999997</v>
      </c>
      <c r="I454" s="192">
        <f t="shared" si="29"/>
        <v>0</v>
      </c>
    </row>
    <row r="455" spans="1:9" x14ac:dyDescent="0.2">
      <c r="A455" s="189" t="s">
        <v>786</v>
      </c>
      <c r="B455" s="190"/>
      <c r="C455" s="189" t="s">
        <v>507</v>
      </c>
      <c r="D455" s="189" t="s">
        <v>657</v>
      </c>
      <c r="E455" s="189" t="s">
        <v>785</v>
      </c>
      <c r="F455" s="190"/>
      <c r="G455" s="191">
        <f t="shared" ref="G455:H457" si="31">G456</f>
        <v>14818</v>
      </c>
      <c r="H455" s="191">
        <f t="shared" si="31"/>
        <v>14818</v>
      </c>
      <c r="I455" s="192">
        <f t="shared" si="29"/>
        <v>0</v>
      </c>
    </row>
    <row r="456" spans="1:9" x14ac:dyDescent="0.2">
      <c r="A456" s="189" t="s">
        <v>1080</v>
      </c>
      <c r="B456" s="190"/>
      <c r="C456" s="189" t="s">
        <v>507</v>
      </c>
      <c r="D456" s="189" t="s">
        <v>657</v>
      </c>
      <c r="E456" s="189" t="s">
        <v>1079</v>
      </c>
      <c r="F456" s="190"/>
      <c r="G456" s="191">
        <f t="shared" si="31"/>
        <v>14818</v>
      </c>
      <c r="H456" s="191">
        <f t="shared" si="31"/>
        <v>14818</v>
      </c>
      <c r="I456" s="192">
        <f t="shared" si="29"/>
        <v>0</v>
      </c>
    </row>
    <row r="457" spans="1:9" x14ac:dyDescent="0.2">
      <c r="A457" s="189" t="s">
        <v>1347</v>
      </c>
      <c r="B457" s="190"/>
      <c r="C457" s="189" t="s">
        <v>507</v>
      </c>
      <c r="D457" s="189" t="s">
        <v>657</v>
      </c>
      <c r="E457" s="189" t="s">
        <v>1079</v>
      </c>
      <c r="F457" s="190" t="s">
        <v>535</v>
      </c>
      <c r="G457" s="191">
        <f t="shared" si="31"/>
        <v>14818</v>
      </c>
      <c r="H457" s="191">
        <f t="shared" si="31"/>
        <v>14818</v>
      </c>
      <c r="I457" s="192">
        <f t="shared" si="29"/>
        <v>0</v>
      </c>
    </row>
    <row r="458" spans="1:9" ht="24" x14ac:dyDescent="0.2">
      <c r="A458" s="189" t="s">
        <v>534</v>
      </c>
      <c r="B458" s="190"/>
      <c r="C458" s="189" t="s">
        <v>507</v>
      </c>
      <c r="D458" s="189" t="s">
        <v>657</v>
      </c>
      <c r="E458" s="189" t="s">
        <v>1079</v>
      </c>
      <c r="F458" s="190" t="s">
        <v>529</v>
      </c>
      <c r="G458" s="191">
        <f>15149.4+50-381.4+5253.5-5253.5</f>
        <v>14818</v>
      </c>
      <c r="H458" s="191">
        <f>15149.4+50-381.4+5253.5-5253.5</f>
        <v>14818</v>
      </c>
      <c r="I458" s="192">
        <f t="shared" si="29"/>
        <v>0</v>
      </c>
    </row>
    <row r="459" spans="1:9" x14ac:dyDescent="0.2">
      <c r="A459" s="189" t="s">
        <v>1078</v>
      </c>
      <c r="B459" s="190"/>
      <c r="C459" s="189" t="s">
        <v>507</v>
      </c>
      <c r="D459" s="189" t="s">
        <v>657</v>
      </c>
      <c r="E459" s="189" t="s">
        <v>1077</v>
      </c>
      <c r="F459" s="190"/>
      <c r="G459" s="191">
        <f t="shared" ref="G459:H461" si="32">G460</f>
        <v>850</v>
      </c>
      <c r="H459" s="191">
        <f t="shared" si="32"/>
        <v>850</v>
      </c>
      <c r="I459" s="192">
        <f t="shared" si="29"/>
        <v>0</v>
      </c>
    </row>
    <row r="460" spans="1:9" x14ac:dyDescent="0.2">
      <c r="A460" s="189" t="s">
        <v>1076</v>
      </c>
      <c r="B460" s="190"/>
      <c r="C460" s="189" t="s">
        <v>507</v>
      </c>
      <c r="D460" s="189" t="s">
        <v>657</v>
      </c>
      <c r="E460" s="189" t="s">
        <v>1075</v>
      </c>
      <c r="F460" s="190"/>
      <c r="G460" s="191">
        <f t="shared" si="32"/>
        <v>850</v>
      </c>
      <c r="H460" s="191">
        <f t="shared" si="32"/>
        <v>850</v>
      </c>
      <c r="I460" s="192">
        <f t="shared" si="29"/>
        <v>0</v>
      </c>
    </row>
    <row r="461" spans="1:9" x14ac:dyDescent="0.2">
      <c r="A461" s="189" t="s">
        <v>1347</v>
      </c>
      <c r="B461" s="190"/>
      <c r="C461" s="189" t="s">
        <v>507</v>
      </c>
      <c r="D461" s="189" t="s">
        <v>657</v>
      </c>
      <c r="E461" s="189" t="s">
        <v>1075</v>
      </c>
      <c r="F461" s="190" t="s">
        <v>535</v>
      </c>
      <c r="G461" s="191">
        <f t="shared" si="32"/>
        <v>850</v>
      </c>
      <c r="H461" s="191">
        <f t="shared" si="32"/>
        <v>850</v>
      </c>
      <c r="I461" s="192">
        <f t="shared" si="29"/>
        <v>0</v>
      </c>
    </row>
    <row r="462" spans="1:9" ht="24" x14ac:dyDescent="0.2">
      <c r="A462" s="189" t="s">
        <v>534</v>
      </c>
      <c r="B462" s="190"/>
      <c r="C462" s="189" t="s">
        <v>507</v>
      </c>
      <c r="D462" s="189" t="s">
        <v>657</v>
      </c>
      <c r="E462" s="189" t="s">
        <v>1075</v>
      </c>
      <c r="F462" s="190" t="s">
        <v>529</v>
      </c>
      <c r="G462" s="191">
        <f>600+250</f>
        <v>850</v>
      </c>
      <c r="H462" s="191">
        <f>600+250</f>
        <v>850</v>
      </c>
      <c r="I462" s="192">
        <f t="shared" si="29"/>
        <v>0</v>
      </c>
    </row>
    <row r="463" spans="1:9" x14ac:dyDescent="0.2">
      <c r="A463" s="189" t="s">
        <v>1074</v>
      </c>
      <c r="B463" s="190"/>
      <c r="C463" s="189" t="s">
        <v>507</v>
      </c>
      <c r="D463" s="189" t="s">
        <v>657</v>
      </c>
      <c r="E463" s="189" t="s">
        <v>1073</v>
      </c>
      <c r="F463" s="190"/>
      <c r="G463" s="191">
        <f>G464+G467</f>
        <v>19829.2</v>
      </c>
      <c r="H463" s="191">
        <f>H464+H467</f>
        <v>19829.2</v>
      </c>
      <c r="I463" s="192">
        <f t="shared" si="29"/>
        <v>0</v>
      </c>
    </row>
    <row r="464" spans="1:9" x14ac:dyDescent="0.2">
      <c r="A464" s="189" t="s">
        <v>1072</v>
      </c>
      <c r="B464" s="190"/>
      <c r="C464" s="189" t="s">
        <v>507</v>
      </c>
      <c r="D464" s="189" t="s">
        <v>657</v>
      </c>
      <c r="E464" s="189" t="s">
        <v>1071</v>
      </c>
      <c r="F464" s="190"/>
      <c r="G464" s="191">
        <f>G465</f>
        <v>5781.4</v>
      </c>
      <c r="H464" s="191">
        <f>H465</f>
        <v>5781.4</v>
      </c>
      <c r="I464" s="192">
        <f t="shared" si="29"/>
        <v>0</v>
      </c>
    </row>
    <row r="465" spans="1:9" x14ac:dyDescent="0.2">
      <c r="A465" s="189" t="s">
        <v>1347</v>
      </c>
      <c r="B465" s="190"/>
      <c r="C465" s="189" t="s">
        <v>507</v>
      </c>
      <c r="D465" s="189" t="s">
        <v>657</v>
      </c>
      <c r="E465" s="189" t="s">
        <v>1071</v>
      </c>
      <c r="F465" s="190" t="s">
        <v>535</v>
      </c>
      <c r="G465" s="191">
        <f>G466</f>
        <v>5781.4</v>
      </c>
      <c r="H465" s="191">
        <f>H466</f>
        <v>5781.4</v>
      </c>
      <c r="I465" s="192">
        <f t="shared" si="29"/>
        <v>0</v>
      </c>
    </row>
    <row r="466" spans="1:9" ht="24" x14ac:dyDescent="0.2">
      <c r="A466" s="189" t="s">
        <v>534</v>
      </c>
      <c r="B466" s="190"/>
      <c r="C466" s="189" t="s">
        <v>507</v>
      </c>
      <c r="D466" s="189" t="s">
        <v>657</v>
      </c>
      <c r="E466" s="189" t="s">
        <v>1071</v>
      </c>
      <c r="F466" s="190" t="s">
        <v>529</v>
      </c>
      <c r="G466" s="191">
        <f>5400+381.4</f>
        <v>5781.4</v>
      </c>
      <c r="H466" s="191">
        <f>5400+381.4</f>
        <v>5781.4</v>
      </c>
      <c r="I466" s="192">
        <f t="shared" si="29"/>
        <v>0</v>
      </c>
    </row>
    <row r="467" spans="1:9" x14ac:dyDescent="0.2">
      <c r="A467" s="189" t="s">
        <v>1352</v>
      </c>
      <c r="B467" s="190"/>
      <c r="C467" s="189" t="s">
        <v>507</v>
      </c>
      <c r="D467" s="189" t="s">
        <v>657</v>
      </c>
      <c r="E467" s="189" t="s">
        <v>1070</v>
      </c>
      <c r="F467" s="190"/>
      <c r="G467" s="191">
        <f>G468</f>
        <v>14047.800000000001</v>
      </c>
      <c r="H467" s="191">
        <f>H468</f>
        <v>14047.800000000001</v>
      </c>
      <c r="I467" s="192">
        <f t="shared" si="29"/>
        <v>0</v>
      </c>
    </row>
    <row r="468" spans="1:9" ht="24" x14ac:dyDescent="0.2">
      <c r="A468" s="189" t="s">
        <v>547</v>
      </c>
      <c r="B468" s="190"/>
      <c r="C468" s="189" t="s">
        <v>507</v>
      </c>
      <c r="D468" s="189" t="s">
        <v>657</v>
      </c>
      <c r="E468" s="189" t="s">
        <v>1070</v>
      </c>
      <c r="F468" s="190" t="s">
        <v>519</v>
      </c>
      <c r="G468" s="191">
        <f>G469</f>
        <v>14047.800000000001</v>
      </c>
      <c r="H468" s="191">
        <f>H469</f>
        <v>14047.800000000001</v>
      </c>
      <c r="I468" s="192">
        <f t="shared" si="29"/>
        <v>0</v>
      </c>
    </row>
    <row r="469" spans="1:9" x14ac:dyDescent="0.2">
      <c r="A469" s="189" t="s">
        <v>546</v>
      </c>
      <c r="B469" s="190"/>
      <c r="C469" s="189" t="s">
        <v>507</v>
      </c>
      <c r="D469" s="189" t="s">
        <v>657</v>
      </c>
      <c r="E469" s="189" t="s">
        <v>1070</v>
      </c>
      <c r="F469" s="190" t="s">
        <v>544</v>
      </c>
      <c r="G469" s="191">
        <f>15349.9-115.8-1186.3</f>
        <v>14047.800000000001</v>
      </c>
      <c r="H469" s="191">
        <f>15349.9-115.8-1186.3</f>
        <v>14047.800000000001</v>
      </c>
      <c r="I469" s="192">
        <f t="shared" si="29"/>
        <v>0</v>
      </c>
    </row>
    <row r="470" spans="1:9" x14ac:dyDescent="0.2">
      <c r="A470" s="189" t="s">
        <v>1069</v>
      </c>
      <c r="B470" s="190"/>
      <c r="C470" s="189" t="s">
        <v>507</v>
      </c>
      <c r="D470" s="189" t="s">
        <v>657</v>
      </c>
      <c r="E470" s="189" t="s">
        <v>1068</v>
      </c>
      <c r="F470" s="190"/>
      <c r="G470" s="191">
        <f t="shared" ref="G470:H472" si="33">G471</f>
        <v>3976</v>
      </c>
      <c r="H470" s="191">
        <f t="shared" si="33"/>
        <v>3976</v>
      </c>
      <c r="I470" s="192">
        <f t="shared" si="29"/>
        <v>0</v>
      </c>
    </row>
    <row r="471" spans="1:9" ht="24" x14ac:dyDescent="0.2">
      <c r="A471" s="189" t="s">
        <v>1067</v>
      </c>
      <c r="B471" s="190"/>
      <c r="C471" s="189" t="s">
        <v>507</v>
      </c>
      <c r="D471" s="189" t="s">
        <v>657</v>
      </c>
      <c r="E471" s="189" t="s">
        <v>1066</v>
      </c>
      <c r="F471" s="190"/>
      <c r="G471" s="191">
        <f t="shared" si="33"/>
        <v>3976</v>
      </c>
      <c r="H471" s="191">
        <f t="shared" si="33"/>
        <v>3976</v>
      </c>
      <c r="I471" s="192">
        <f t="shared" si="29"/>
        <v>0</v>
      </c>
    </row>
    <row r="472" spans="1:9" x14ac:dyDescent="0.2">
      <c r="A472" s="189" t="s">
        <v>1347</v>
      </c>
      <c r="B472" s="190"/>
      <c r="C472" s="189" t="s">
        <v>507</v>
      </c>
      <c r="D472" s="189" t="s">
        <v>657</v>
      </c>
      <c r="E472" s="189" t="s">
        <v>1066</v>
      </c>
      <c r="F472" s="190" t="s">
        <v>535</v>
      </c>
      <c r="G472" s="191">
        <f t="shared" si="33"/>
        <v>3976</v>
      </c>
      <c r="H472" s="191">
        <f t="shared" si="33"/>
        <v>3976</v>
      </c>
      <c r="I472" s="192">
        <f t="shared" si="29"/>
        <v>0</v>
      </c>
    </row>
    <row r="473" spans="1:9" ht="24" x14ac:dyDescent="0.2">
      <c r="A473" s="189" t="s">
        <v>534</v>
      </c>
      <c r="B473" s="190"/>
      <c r="C473" s="189" t="s">
        <v>507</v>
      </c>
      <c r="D473" s="189" t="s">
        <v>657</v>
      </c>
      <c r="E473" s="189" t="s">
        <v>1066</v>
      </c>
      <c r="F473" s="190" t="s">
        <v>529</v>
      </c>
      <c r="G473" s="191">
        <f>4036-60</f>
        <v>3976</v>
      </c>
      <c r="H473" s="191">
        <f>4036-60</f>
        <v>3976</v>
      </c>
      <c r="I473" s="192">
        <f t="shared" si="29"/>
        <v>0</v>
      </c>
    </row>
    <row r="474" spans="1:9" x14ac:dyDescent="0.2">
      <c r="A474" s="189" t="s">
        <v>1065</v>
      </c>
      <c r="B474" s="190"/>
      <c r="C474" s="189" t="s">
        <v>507</v>
      </c>
      <c r="D474" s="189" t="s">
        <v>783</v>
      </c>
      <c r="E474" s="189"/>
      <c r="F474" s="190"/>
      <c r="G474" s="191">
        <f>G475+G499+G510</f>
        <v>12531.4</v>
      </c>
      <c r="H474" s="191">
        <f>H475+H499+H510</f>
        <v>12531.4</v>
      </c>
      <c r="I474" s="192">
        <f t="shared" si="29"/>
        <v>0</v>
      </c>
    </row>
    <row r="475" spans="1:9" ht="24" x14ac:dyDescent="0.2">
      <c r="A475" s="189" t="s">
        <v>1005</v>
      </c>
      <c r="B475" s="190"/>
      <c r="C475" s="189" t="s">
        <v>507</v>
      </c>
      <c r="D475" s="189" t="s">
        <v>783</v>
      </c>
      <c r="E475" s="189" t="s">
        <v>1004</v>
      </c>
      <c r="F475" s="190"/>
      <c r="G475" s="191">
        <f>G476</f>
        <v>4453.6000000000004</v>
      </c>
      <c r="H475" s="191">
        <f>H476</f>
        <v>4453.6000000000004</v>
      </c>
      <c r="I475" s="192">
        <f t="shared" si="29"/>
        <v>0</v>
      </c>
    </row>
    <row r="476" spans="1:9" x14ac:dyDescent="0.2">
      <c r="A476" s="189" t="s">
        <v>1003</v>
      </c>
      <c r="B476" s="190"/>
      <c r="C476" s="189" t="s">
        <v>507</v>
      </c>
      <c r="D476" s="189" t="s">
        <v>783</v>
      </c>
      <c r="E476" s="189" t="s">
        <v>1002</v>
      </c>
      <c r="F476" s="190"/>
      <c r="G476" s="191">
        <f>G477</f>
        <v>4453.6000000000004</v>
      </c>
      <c r="H476" s="191">
        <f>H477+H488</f>
        <v>4453.6000000000004</v>
      </c>
      <c r="I476" s="192">
        <f t="shared" si="29"/>
        <v>0</v>
      </c>
    </row>
    <row r="477" spans="1:9" ht="48" x14ac:dyDescent="0.2">
      <c r="A477" s="189" t="s">
        <v>1001</v>
      </c>
      <c r="B477" s="190"/>
      <c r="C477" s="189" t="s">
        <v>507</v>
      </c>
      <c r="D477" s="189" t="s">
        <v>783</v>
      </c>
      <c r="E477" s="189" t="s">
        <v>1000</v>
      </c>
      <c r="F477" s="190"/>
      <c r="G477" s="191">
        <f>G478+G483</f>
        <v>4453.6000000000004</v>
      </c>
      <c r="H477" s="191">
        <f>H478+H483</f>
        <v>0</v>
      </c>
      <c r="I477" s="192">
        <f t="shared" si="29"/>
        <v>-4453.6000000000004</v>
      </c>
    </row>
    <row r="478" spans="1:9" ht="48" x14ac:dyDescent="0.2">
      <c r="A478" s="189" t="s">
        <v>1064</v>
      </c>
      <c r="B478" s="190"/>
      <c r="C478" s="189" t="s">
        <v>507</v>
      </c>
      <c r="D478" s="189" t="s">
        <v>783</v>
      </c>
      <c r="E478" s="189" t="s">
        <v>1063</v>
      </c>
      <c r="F478" s="190"/>
      <c r="G478" s="191">
        <f>G479+G481</f>
        <v>2399</v>
      </c>
      <c r="H478" s="191">
        <f>H479+H481</f>
        <v>0</v>
      </c>
      <c r="I478" s="192">
        <f t="shared" si="29"/>
        <v>-2399</v>
      </c>
    </row>
    <row r="479" spans="1:9" ht="36" x14ac:dyDescent="0.2">
      <c r="A479" s="189" t="s">
        <v>1348</v>
      </c>
      <c r="B479" s="190"/>
      <c r="C479" s="189" t="s">
        <v>507</v>
      </c>
      <c r="D479" s="189" t="s">
        <v>783</v>
      </c>
      <c r="E479" s="189" t="s">
        <v>1063</v>
      </c>
      <c r="F479" s="190" t="s">
        <v>556</v>
      </c>
      <c r="G479" s="191">
        <f>G480</f>
        <v>1385.1</v>
      </c>
      <c r="H479" s="191">
        <f>H480</f>
        <v>0</v>
      </c>
      <c r="I479" s="192">
        <f t="shared" si="29"/>
        <v>-1385.1</v>
      </c>
    </row>
    <row r="480" spans="1:9" x14ac:dyDescent="0.2">
      <c r="A480" s="189" t="s">
        <v>555</v>
      </c>
      <c r="B480" s="190"/>
      <c r="C480" s="189" t="s">
        <v>507</v>
      </c>
      <c r="D480" s="189" t="s">
        <v>783</v>
      </c>
      <c r="E480" s="189" t="s">
        <v>1063</v>
      </c>
      <c r="F480" s="190" t="s">
        <v>554</v>
      </c>
      <c r="G480" s="191">
        <v>1385.1</v>
      </c>
      <c r="H480" s="191">
        <f>1385.1-1063.8-321.3</f>
        <v>0</v>
      </c>
      <c r="I480" s="192">
        <f t="shared" si="29"/>
        <v>-1385.1</v>
      </c>
    </row>
    <row r="481" spans="1:9" x14ac:dyDescent="0.2">
      <c r="A481" s="189" t="s">
        <v>1347</v>
      </c>
      <c r="B481" s="190"/>
      <c r="C481" s="189" t="s">
        <v>507</v>
      </c>
      <c r="D481" s="189" t="s">
        <v>783</v>
      </c>
      <c r="E481" s="189" t="s">
        <v>1063</v>
      </c>
      <c r="F481" s="190" t="s">
        <v>535</v>
      </c>
      <c r="G481" s="191">
        <f>G482</f>
        <v>1013.9</v>
      </c>
      <c r="H481" s="191">
        <f>H482</f>
        <v>0</v>
      </c>
      <c r="I481" s="192">
        <f t="shared" si="29"/>
        <v>-1013.9</v>
      </c>
    </row>
    <row r="482" spans="1:9" ht="24" x14ac:dyDescent="0.2">
      <c r="A482" s="189" t="s">
        <v>534</v>
      </c>
      <c r="B482" s="190"/>
      <c r="C482" s="189" t="s">
        <v>507</v>
      </c>
      <c r="D482" s="189" t="s">
        <v>783</v>
      </c>
      <c r="E482" s="189" t="s">
        <v>1063</v>
      </c>
      <c r="F482" s="190" t="s">
        <v>529</v>
      </c>
      <c r="G482" s="191">
        <v>1013.9</v>
      </c>
      <c r="H482" s="191">
        <f>1013.9-99.6-85-348.5-55.3-64.1-361.4</f>
        <v>0</v>
      </c>
      <c r="I482" s="192">
        <f t="shared" si="29"/>
        <v>-1013.9</v>
      </c>
    </row>
    <row r="483" spans="1:9" s="305" customFormat="1" ht="48" x14ac:dyDescent="0.2">
      <c r="A483" s="189" t="s">
        <v>1368</v>
      </c>
      <c r="B483" s="190"/>
      <c r="C483" s="189" t="s">
        <v>507</v>
      </c>
      <c r="D483" s="189" t="s">
        <v>783</v>
      </c>
      <c r="E483" s="189" t="s">
        <v>999</v>
      </c>
      <c r="F483" s="190"/>
      <c r="G483" s="191">
        <f>G484+G486</f>
        <v>2054.6000000000004</v>
      </c>
      <c r="H483" s="191">
        <f>H484+H486</f>
        <v>0</v>
      </c>
      <c r="I483" s="192">
        <f t="shared" si="29"/>
        <v>-2054.6000000000004</v>
      </c>
    </row>
    <row r="484" spans="1:9" s="305" customFormat="1" ht="36" x14ac:dyDescent="0.2">
      <c r="A484" s="189" t="s">
        <v>1348</v>
      </c>
      <c r="B484" s="190"/>
      <c r="C484" s="189" t="s">
        <v>507</v>
      </c>
      <c r="D484" s="189" t="s">
        <v>783</v>
      </c>
      <c r="E484" s="189" t="s">
        <v>999</v>
      </c>
      <c r="F484" s="190" t="s">
        <v>556</v>
      </c>
      <c r="G484" s="191">
        <f>G485</f>
        <v>1499.1000000000001</v>
      </c>
      <c r="H484" s="191">
        <f>H485</f>
        <v>0</v>
      </c>
      <c r="I484" s="192">
        <f t="shared" ref="I484:I498" si="34">H484-G484</f>
        <v>-1499.1000000000001</v>
      </c>
    </row>
    <row r="485" spans="1:9" s="305" customFormat="1" x14ac:dyDescent="0.2">
      <c r="A485" s="189" t="s">
        <v>555</v>
      </c>
      <c r="B485" s="190"/>
      <c r="C485" s="189" t="s">
        <v>507</v>
      </c>
      <c r="D485" s="189" t="s">
        <v>783</v>
      </c>
      <c r="E485" s="189" t="s">
        <v>999</v>
      </c>
      <c r="F485" s="190" t="s">
        <v>554</v>
      </c>
      <c r="G485" s="191">
        <f>1151.4+347.7</f>
        <v>1499.1000000000001</v>
      </c>
      <c r="H485" s="191">
        <f>1151.4+347.7-20-1131.4-347.7</f>
        <v>0</v>
      </c>
      <c r="I485" s="192">
        <f t="shared" si="34"/>
        <v>-1499.1000000000001</v>
      </c>
    </row>
    <row r="486" spans="1:9" s="305" customFormat="1" x14ac:dyDescent="0.2">
      <c r="A486" s="189" t="s">
        <v>1347</v>
      </c>
      <c r="B486" s="190"/>
      <c r="C486" s="189" t="s">
        <v>507</v>
      </c>
      <c r="D486" s="189" t="s">
        <v>783</v>
      </c>
      <c r="E486" s="189" t="s">
        <v>999</v>
      </c>
      <c r="F486" s="190" t="s">
        <v>535</v>
      </c>
      <c r="G486" s="191">
        <f>G487</f>
        <v>555.5</v>
      </c>
      <c r="H486" s="191">
        <f>H487</f>
        <v>0</v>
      </c>
      <c r="I486" s="192">
        <f t="shared" si="34"/>
        <v>-555.5</v>
      </c>
    </row>
    <row r="487" spans="1:9" s="305" customFormat="1" ht="24" x14ac:dyDescent="0.2">
      <c r="A487" s="189" t="s">
        <v>534</v>
      </c>
      <c r="B487" s="190"/>
      <c r="C487" s="189" t="s">
        <v>507</v>
      </c>
      <c r="D487" s="189" t="s">
        <v>783</v>
      </c>
      <c r="E487" s="189" t="s">
        <v>999</v>
      </c>
      <c r="F487" s="190" t="s">
        <v>529</v>
      </c>
      <c r="G487" s="191">
        <f>99.6+73+343.9+39</f>
        <v>555.5</v>
      </c>
      <c r="H487" s="191">
        <f>99.6+73+343.9+39-99.6-73-343.9-39</f>
        <v>0</v>
      </c>
      <c r="I487" s="192">
        <f t="shared" si="34"/>
        <v>-555.5</v>
      </c>
    </row>
    <row r="488" spans="1:9" s="441" customFormat="1" x14ac:dyDescent="0.2">
      <c r="A488" s="189" t="s">
        <v>1640</v>
      </c>
      <c r="B488" s="189"/>
      <c r="C488" s="189" t="s">
        <v>507</v>
      </c>
      <c r="D488" s="189" t="s">
        <v>783</v>
      </c>
      <c r="E488" s="189" t="s">
        <v>998</v>
      </c>
      <c r="F488" s="189"/>
      <c r="G488" s="191">
        <f>G489</f>
        <v>0</v>
      </c>
      <c r="H488" s="191">
        <f>H489+H494</f>
        <v>4453.6000000000004</v>
      </c>
      <c r="I488" s="192">
        <f t="shared" si="34"/>
        <v>4453.6000000000004</v>
      </c>
    </row>
    <row r="489" spans="1:9" s="441" customFormat="1" ht="48" x14ac:dyDescent="0.2">
      <c r="A489" s="189" t="s">
        <v>1064</v>
      </c>
      <c r="B489" s="189"/>
      <c r="C489" s="189" t="s">
        <v>507</v>
      </c>
      <c r="D489" s="189" t="s">
        <v>783</v>
      </c>
      <c r="E489" s="189" t="s">
        <v>1649</v>
      </c>
      <c r="F489" s="189"/>
      <c r="G489" s="191">
        <f>G490+G492</f>
        <v>0</v>
      </c>
      <c r="H489" s="191">
        <f>H490+H492</f>
        <v>2399</v>
      </c>
      <c r="I489" s="192">
        <f t="shared" si="34"/>
        <v>2399</v>
      </c>
    </row>
    <row r="490" spans="1:9" s="441" customFormat="1" ht="36" x14ac:dyDescent="0.2">
      <c r="A490" s="189" t="s">
        <v>1348</v>
      </c>
      <c r="B490" s="189"/>
      <c r="C490" s="189" t="s">
        <v>507</v>
      </c>
      <c r="D490" s="189" t="s">
        <v>783</v>
      </c>
      <c r="E490" s="189" t="s">
        <v>1649</v>
      </c>
      <c r="F490" s="190" t="s">
        <v>556</v>
      </c>
      <c r="G490" s="191">
        <f>G491</f>
        <v>0</v>
      </c>
      <c r="H490" s="191">
        <f>H491</f>
        <v>1385.1</v>
      </c>
      <c r="I490" s="192">
        <f t="shared" si="34"/>
        <v>1385.1</v>
      </c>
    </row>
    <row r="491" spans="1:9" s="441" customFormat="1" x14ac:dyDescent="0.2">
      <c r="A491" s="189" t="s">
        <v>555</v>
      </c>
      <c r="B491" s="189"/>
      <c r="C491" s="189" t="s">
        <v>507</v>
      </c>
      <c r="D491" s="189" t="s">
        <v>783</v>
      </c>
      <c r="E491" s="189" t="s">
        <v>1649</v>
      </c>
      <c r="F491" s="190" t="s">
        <v>554</v>
      </c>
      <c r="G491" s="191">
        <v>0</v>
      </c>
      <c r="H491" s="191">
        <f>1063.8+321.3</f>
        <v>1385.1</v>
      </c>
      <c r="I491" s="192">
        <f t="shared" si="34"/>
        <v>1385.1</v>
      </c>
    </row>
    <row r="492" spans="1:9" s="441" customFormat="1" x14ac:dyDescent="0.2">
      <c r="A492" s="189" t="s">
        <v>1347</v>
      </c>
      <c r="B492" s="189"/>
      <c r="C492" s="189" t="s">
        <v>507</v>
      </c>
      <c r="D492" s="189" t="s">
        <v>783</v>
      </c>
      <c r="E492" s="189" t="s">
        <v>1649</v>
      </c>
      <c r="F492" s="190" t="s">
        <v>535</v>
      </c>
      <c r="G492" s="191">
        <f>G493</f>
        <v>0</v>
      </c>
      <c r="H492" s="191">
        <f>H493</f>
        <v>1013.9</v>
      </c>
      <c r="I492" s="192">
        <f t="shared" si="34"/>
        <v>1013.9</v>
      </c>
    </row>
    <row r="493" spans="1:9" s="441" customFormat="1" ht="24" x14ac:dyDescent="0.2">
      <c r="A493" s="189" t="s">
        <v>534</v>
      </c>
      <c r="B493" s="189"/>
      <c r="C493" s="189" t="s">
        <v>507</v>
      </c>
      <c r="D493" s="189" t="s">
        <v>783</v>
      </c>
      <c r="E493" s="189" t="s">
        <v>1649</v>
      </c>
      <c r="F493" s="190" t="s">
        <v>529</v>
      </c>
      <c r="G493" s="191">
        <v>0</v>
      </c>
      <c r="H493" s="191">
        <f>99.6+85+348.5+55.3+64.1+361.4</f>
        <v>1013.9</v>
      </c>
      <c r="I493" s="192">
        <f t="shared" si="34"/>
        <v>1013.9</v>
      </c>
    </row>
    <row r="494" spans="1:9" s="441" customFormat="1" ht="48" x14ac:dyDescent="0.2">
      <c r="A494" s="189" t="s">
        <v>1650</v>
      </c>
      <c r="B494" s="189"/>
      <c r="C494" s="189" t="s">
        <v>507</v>
      </c>
      <c r="D494" s="189" t="s">
        <v>783</v>
      </c>
      <c r="E494" s="189" t="s">
        <v>1651</v>
      </c>
      <c r="F494" s="189"/>
      <c r="G494" s="191">
        <f>G495</f>
        <v>0</v>
      </c>
      <c r="H494" s="191">
        <f>H495+H497</f>
        <v>2054.6000000000004</v>
      </c>
      <c r="I494" s="192">
        <f t="shared" si="34"/>
        <v>2054.6000000000004</v>
      </c>
    </row>
    <row r="495" spans="1:9" s="441" customFormat="1" ht="36" x14ac:dyDescent="0.2">
      <c r="A495" s="189" t="s">
        <v>1348</v>
      </c>
      <c r="B495" s="189"/>
      <c r="C495" s="189" t="s">
        <v>507</v>
      </c>
      <c r="D495" s="189" t="s">
        <v>783</v>
      </c>
      <c r="E495" s="189" t="s">
        <v>1651</v>
      </c>
      <c r="F495" s="190" t="s">
        <v>556</v>
      </c>
      <c r="G495" s="191">
        <f>G496</f>
        <v>0</v>
      </c>
      <c r="H495" s="191">
        <f>H496</f>
        <v>1499.1000000000001</v>
      </c>
      <c r="I495" s="192">
        <f t="shared" si="34"/>
        <v>1499.1000000000001</v>
      </c>
    </row>
    <row r="496" spans="1:9" s="441" customFormat="1" x14ac:dyDescent="0.2">
      <c r="A496" s="189" t="s">
        <v>555</v>
      </c>
      <c r="B496" s="189"/>
      <c r="C496" s="189" t="s">
        <v>507</v>
      </c>
      <c r="D496" s="189" t="s">
        <v>783</v>
      </c>
      <c r="E496" s="189" t="s">
        <v>1651</v>
      </c>
      <c r="F496" s="190" t="s">
        <v>554</v>
      </c>
      <c r="G496" s="191">
        <v>0</v>
      </c>
      <c r="H496" s="191">
        <f>1131.4+20+347.7</f>
        <v>1499.1000000000001</v>
      </c>
      <c r="I496" s="192">
        <f t="shared" si="34"/>
        <v>1499.1000000000001</v>
      </c>
    </row>
    <row r="497" spans="1:9" s="441" customFormat="1" x14ac:dyDescent="0.2">
      <c r="A497" s="189" t="s">
        <v>1347</v>
      </c>
      <c r="B497" s="189"/>
      <c r="C497" s="189" t="s">
        <v>507</v>
      </c>
      <c r="D497" s="189" t="s">
        <v>783</v>
      </c>
      <c r="E497" s="189" t="s">
        <v>1651</v>
      </c>
      <c r="F497" s="190" t="s">
        <v>535</v>
      </c>
      <c r="G497" s="191">
        <f>G498</f>
        <v>0</v>
      </c>
      <c r="H497" s="191">
        <f>H498</f>
        <v>555.5</v>
      </c>
      <c r="I497" s="192">
        <f t="shared" si="34"/>
        <v>555.5</v>
      </c>
    </row>
    <row r="498" spans="1:9" s="441" customFormat="1" ht="24" x14ac:dyDescent="0.2">
      <c r="A498" s="189" t="s">
        <v>534</v>
      </c>
      <c r="B498" s="189"/>
      <c r="C498" s="189" t="s">
        <v>507</v>
      </c>
      <c r="D498" s="189" t="s">
        <v>783</v>
      </c>
      <c r="E498" s="189" t="s">
        <v>1651</v>
      </c>
      <c r="F498" s="190" t="s">
        <v>529</v>
      </c>
      <c r="G498" s="191">
        <v>0</v>
      </c>
      <c r="H498" s="191">
        <f>99.6+73+343.9+39</f>
        <v>555.5</v>
      </c>
      <c r="I498" s="192">
        <f t="shared" si="34"/>
        <v>555.5</v>
      </c>
    </row>
    <row r="499" spans="1:9" x14ac:dyDescent="0.2">
      <c r="A499" s="189" t="s">
        <v>879</v>
      </c>
      <c r="B499" s="190"/>
      <c r="C499" s="189" t="s">
        <v>507</v>
      </c>
      <c r="D499" s="189" t="s">
        <v>783</v>
      </c>
      <c r="E499" s="189" t="s">
        <v>878</v>
      </c>
      <c r="F499" s="190"/>
      <c r="G499" s="191">
        <f>G500+G505</f>
        <v>7638.9</v>
      </c>
      <c r="H499" s="191">
        <f>H500+H505</f>
        <v>7638.9</v>
      </c>
      <c r="I499" s="192">
        <f t="shared" ref="I499:I562" si="35">H499-G499</f>
        <v>0</v>
      </c>
    </row>
    <row r="500" spans="1:9" x14ac:dyDescent="0.2">
      <c r="A500" s="189" t="s">
        <v>1062</v>
      </c>
      <c r="B500" s="190"/>
      <c r="C500" s="189" t="s">
        <v>507</v>
      </c>
      <c r="D500" s="189" t="s">
        <v>783</v>
      </c>
      <c r="E500" s="189" t="s">
        <v>1061</v>
      </c>
      <c r="F500" s="190"/>
      <c r="G500" s="191">
        <f t="shared" ref="G500:H503" si="36">G501</f>
        <v>5890</v>
      </c>
      <c r="H500" s="191">
        <f t="shared" si="36"/>
        <v>5890</v>
      </c>
      <c r="I500" s="192">
        <f t="shared" si="35"/>
        <v>0</v>
      </c>
    </row>
    <row r="501" spans="1:9" ht="24" x14ac:dyDescent="0.2">
      <c r="A501" s="189" t="s">
        <v>1060</v>
      </c>
      <c r="B501" s="190"/>
      <c r="C501" s="189" t="s">
        <v>507</v>
      </c>
      <c r="D501" s="189" t="s">
        <v>783</v>
      </c>
      <c r="E501" s="189" t="s">
        <v>1059</v>
      </c>
      <c r="F501" s="190"/>
      <c r="G501" s="191">
        <f t="shared" si="36"/>
        <v>5890</v>
      </c>
      <c r="H501" s="191">
        <f t="shared" si="36"/>
        <v>5890</v>
      </c>
      <c r="I501" s="192">
        <f t="shared" si="35"/>
        <v>0</v>
      </c>
    </row>
    <row r="502" spans="1:9" x14ac:dyDescent="0.2">
      <c r="A502" s="189" t="s">
        <v>1058</v>
      </c>
      <c r="B502" s="190"/>
      <c r="C502" s="189" t="s">
        <v>507</v>
      </c>
      <c r="D502" s="189" t="s">
        <v>783</v>
      </c>
      <c r="E502" s="189" t="s">
        <v>1057</v>
      </c>
      <c r="F502" s="190"/>
      <c r="G502" s="191">
        <f t="shared" si="36"/>
        <v>5890</v>
      </c>
      <c r="H502" s="191">
        <f t="shared" si="36"/>
        <v>5890</v>
      </c>
      <c r="I502" s="192">
        <f t="shared" si="35"/>
        <v>0</v>
      </c>
    </row>
    <row r="503" spans="1:9" x14ac:dyDescent="0.2">
      <c r="A503" s="189" t="s">
        <v>615</v>
      </c>
      <c r="B503" s="190"/>
      <c r="C503" s="189" t="s">
        <v>507</v>
      </c>
      <c r="D503" s="189" t="s">
        <v>783</v>
      </c>
      <c r="E503" s="189" t="s">
        <v>1057</v>
      </c>
      <c r="F503" s="190" t="s">
        <v>509</v>
      </c>
      <c r="G503" s="191">
        <f t="shared" si="36"/>
        <v>5890</v>
      </c>
      <c r="H503" s="191">
        <f t="shared" si="36"/>
        <v>5890</v>
      </c>
      <c r="I503" s="192">
        <f t="shared" si="35"/>
        <v>0</v>
      </c>
    </row>
    <row r="504" spans="1:9" ht="24" x14ac:dyDescent="0.2">
      <c r="A504" s="189" t="s">
        <v>1346</v>
      </c>
      <c r="B504" s="190"/>
      <c r="C504" s="189" t="s">
        <v>507</v>
      </c>
      <c r="D504" s="189" t="s">
        <v>783</v>
      </c>
      <c r="E504" s="189" t="s">
        <v>1057</v>
      </c>
      <c r="F504" s="190" t="s">
        <v>511</v>
      </c>
      <c r="G504" s="191">
        <v>5890</v>
      </c>
      <c r="H504" s="191">
        <v>5890</v>
      </c>
      <c r="I504" s="192">
        <f t="shared" si="35"/>
        <v>0</v>
      </c>
    </row>
    <row r="505" spans="1:9" x14ac:dyDescent="0.2">
      <c r="A505" s="189" t="s">
        <v>877</v>
      </c>
      <c r="B505" s="190"/>
      <c r="C505" s="189" t="s">
        <v>507</v>
      </c>
      <c r="D505" s="189" t="s">
        <v>783</v>
      </c>
      <c r="E505" s="189" t="s">
        <v>876</v>
      </c>
      <c r="F505" s="190"/>
      <c r="G505" s="191">
        <f t="shared" ref="G505:H508" si="37">G506</f>
        <v>1748.9</v>
      </c>
      <c r="H505" s="191">
        <f t="shared" si="37"/>
        <v>1748.9</v>
      </c>
      <c r="I505" s="192">
        <f t="shared" si="35"/>
        <v>0</v>
      </c>
    </row>
    <row r="506" spans="1:9" x14ac:dyDescent="0.2">
      <c r="A506" s="189" t="s">
        <v>875</v>
      </c>
      <c r="B506" s="190"/>
      <c r="C506" s="189" t="s">
        <v>507</v>
      </c>
      <c r="D506" s="189" t="s">
        <v>783</v>
      </c>
      <c r="E506" s="189" t="s">
        <v>874</v>
      </c>
      <c r="F506" s="190"/>
      <c r="G506" s="191">
        <f t="shared" si="37"/>
        <v>1748.9</v>
      </c>
      <c r="H506" s="191">
        <f t="shared" si="37"/>
        <v>1748.9</v>
      </c>
      <c r="I506" s="192">
        <f t="shared" si="35"/>
        <v>0</v>
      </c>
    </row>
    <row r="507" spans="1:9" ht="24" x14ac:dyDescent="0.2">
      <c r="A507" s="189" t="s">
        <v>873</v>
      </c>
      <c r="B507" s="190"/>
      <c r="C507" s="189" t="s">
        <v>507</v>
      </c>
      <c r="D507" s="189" t="s">
        <v>783</v>
      </c>
      <c r="E507" s="189" t="s">
        <v>872</v>
      </c>
      <c r="F507" s="190"/>
      <c r="G507" s="191">
        <f t="shared" si="37"/>
        <v>1748.9</v>
      </c>
      <c r="H507" s="191">
        <f t="shared" si="37"/>
        <v>1748.9</v>
      </c>
      <c r="I507" s="192">
        <f t="shared" si="35"/>
        <v>0</v>
      </c>
    </row>
    <row r="508" spans="1:9" x14ac:dyDescent="0.2">
      <c r="A508" s="189" t="s">
        <v>1347</v>
      </c>
      <c r="B508" s="190"/>
      <c r="C508" s="189" t="s">
        <v>507</v>
      </c>
      <c r="D508" s="189" t="s">
        <v>783</v>
      </c>
      <c r="E508" s="189" t="s">
        <v>872</v>
      </c>
      <c r="F508" s="190" t="s">
        <v>535</v>
      </c>
      <c r="G508" s="191">
        <f t="shared" si="37"/>
        <v>1748.9</v>
      </c>
      <c r="H508" s="191">
        <f t="shared" si="37"/>
        <v>1748.9</v>
      </c>
      <c r="I508" s="192">
        <f t="shared" si="35"/>
        <v>0</v>
      </c>
    </row>
    <row r="509" spans="1:9" ht="24" x14ac:dyDescent="0.2">
      <c r="A509" s="189" t="s">
        <v>534</v>
      </c>
      <c r="B509" s="190"/>
      <c r="C509" s="189" t="s">
        <v>507</v>
      </c>
      <c r="D509" s="189" t="s">
        <v>783</v>
      </c>
      <c r="E509" s="189" t="s">
        <v>872</v>
      </c>
      <c r="F509" s="190" t="s">
        <v>529</v>
      </c>
      <c r="G509" s="191">
        <f>2000-251.1</f>
        <v>1748.9</v>
      </c>
      <c r="H509" s="191">
        <f>2000-251.1</f>
        <v>1748.9</v>
      </c>
      <c r="I509" s="192">
        <f t="shared" si="35"/>
        <v>0</v>
      </c>
    </row>
    <row r="510" spans="1:9" ht="24" x14ac:dyDescent="0.2">
      <c r="A510" s="189" t="s">
        <v>588</v>
      </c>
      <c r="B510" s="190"/>
      <c r="C510" s="189" t="s">
        <v>507</v>
      </c>
      <c r="D510" s="189" t="s">
        <v>783</v>
      </c>
      <c r="E510" s="189" t="s">
        <v>587</v>
      </c>
      <c r="F510" s="190"/>
      <c r="G510" s="191">
        <f t="shared" ref="G510:H514" si="38">G511</f>
        <v>438.9</v>
      </c>
      <c r="H510" s="191">
        <f t="shared" si="38"/>
        <v>438.9</v>
      </c>
      <c r="I510" s="192">
        <f t="shared" si="35"/>
        <v>0</v>
      </c>
    </row>
    <row r="511" spans="1:9" x14ac:dyDescent="0.2">
      <c r="A511" s="189" t="s">
        <v>1056</v>
      </c>
      <c r="B511" s="190"/>
      <c r="C511" s="189" t="s">
        <v>507</v>
      </c>
      <c r="D511" s="189" t="s">
        <v>783</v>
      </c>
      <c r="E511" s="189" t="s">
        <v>1055</v>
      </c>
      <c r="F511" s="190"/>
      <c r="G511" s="191">
        <f t="shared" si="38"/>
        <v>438.9</v>
      </c>
      <c r="H511" s="191">
        <f t="shared" si="38"/>
        <v>438.9</v>
      </c>
      <c r="I511" s="192">
        <f t="shared" si="35"/>
        <v>0</v>
      </c>
    </row>
    <row r="512" spans="1:9" ht="24" x14ac:dyDescent="0.2">
      <c r="A512" s="189" t="s">
        <v>1054</v>
      </c>
      <c r="B512" s="190"/>
      <c r="C512" s="189" t="s">
        <v>507</v>
      </c>
      <c r="D512" s="189" t="s">
        <v>783</v>
      </c>
      <c r="E512" s="189" t="s">
        <v>1053</v>
      </c>
      <c r="F512" s="190"/>
      <c r="G512" s="191">
        <f t="shared" si="38"/>
        <v>438.9</v>
      </c>
      <c r="H512" s="191">
        <f t="shared" si="38"/>
        <v>438.9</v>
      </c>
      <c r="I512" s="192">
        <f t="shared" si="35"/>
        <v>0</v>
      </c>
    </row>
    <row r="513" spans="1:9" x14ac:dyDescent="0.2">
      <c r="A513" s="189" t="s">
        <v>1052</v>
      </c>
      <c r="B513" s="190"/>
      <c r="C513" s="189" t="s">
        <v>507</v>
      </c>
      <c r="D513" s="189" t="s">
        <v>783</v>
      </c>
      <c r="E513" s="189" t="s">
        <v>1051</v>
      </c>
      <c r="F513" s="190"/>
      <c r="G513" s="191">
        <f t="shared" si="38"/>
        <v>438.9</v>
      </c>
      <c r="H513" s="191">
        <f t="shared" si="38"/>
        <v>438.9</v>
      </c>
      <c r="I513" s="192">
        <f t="shared" si="35"/>
        <v>0</v>
      </c>
    </row>
    <row r="514" spans="1:9" x14ac:dyDescent="0.2">
      <c r="A514" s="189" t="s">
        <v>1347</v>
      </c>
      <c r="B514" s="190"/>
      <c r="C514" s="189" t="s">
        <v>507</v>
      </c>
      <c r="D514" s="189" t="s">
        <v>783</v>
      </c>
      <c r="E514" s="189" t="s">
        <v>1051</v>
      </c>
      <c r="F514" s="190" t="s">
        <v>535</v>
      </c>
      <c r="G514" s="191">
        <f t="shared" si="38"/>
        <v>438.9</v>
      </c>
      <c r="H514" s="191">
        <f t="shared" si="38"/>
        <v>438.9</v>
      </c>
      <c r="I514" s="192">
        <f t="shared" si="35"/>
        <v>0</v>
      </c>
    </row>
    <row r="515" spans="1:9" ht="24" x14ac:dyDescent="0.2">
      <c r="A515" s="189" t="s">
        <v>534</v>
      </c>
      <c r="B515" s="190"/>
      <c r="C515" s="189" t="s">
        <v>507</v>
      </c>
      <c r="D515" s="189" t="s">
        <v>783</v>
      </c>
      <c r="E515" s="189" t="s">
        <v>1051</v>
      </c>
      <c r="F515" s="190" t="s">
        <v>529</v>
      </c>
      <c r="G515" s="191">
        <v>438.9</v>
      </c>
      <c r="H515" s="191">
        <v>438.9</v>
      </c>
      <c r="I515" s="192">
        <f t="shared" si="35"/>
        <v>0</v>
      </c>
    </row>
    <row r="516" spans="1:9" s="78" customFormat="1" x14ac:dyDescent="0.2">
      <c r="A516" s="185" t="s">
        <v>1046</v>
      </c>
      <c r="B516" s="186"/>
      <c r="C516" s="185" t="s">
        <v>512</v>
      </c>
      <c r="D516" s="185"/>
      <c r="E516" s="185"/>
      <c r="F516" s="186"/>
      <c r="G516" s="187">
        <f>G517+G557+G599+G761</f>
        <v>1116996.3</v>
      </c>
      <c r="H516" s="187">
        <f>H517+H557+H599+H761</f>
        <v>1124244.7999999998</v>
      </c>
      <c r="I516" s="188">
        <f t="shared" si="35"/>
        <v>7248.4999999997672</v>
      </c>
    </row>
    <row r="517" spans="1:9" x14ac:dyDescent="0.2">
      <c r="A517" s="189" t="s">
        <v>1045</v>
      </c>
      <c r="B517" s="190"/>
      <c r="C517" s="189" t="s">
        <v>512</v>
      </c>
      <c r="D517" s="189" t="s">
        <v>498</v>
      </c>
      <c r="E517" s="189"/>
      <c r="F517" s="190"/>
      <c r="G517" s="191">
        <f>G518+G524+G533+G549</f>
        <v>96054.399999999994</v>
      </c>
      <c r="H517" s="191">
        <f>H518+H524+H533+H549</f>
        <v>78171.7</v>
      </c>
      <c r="I517" s="192">
        <f t="shared" si="35"/>
        <v>-17882.699999999997</v>
      </c>
    </row>
    <row r="518" spans="1:9" x14ac:dyDescent="0.2">
      <c r="A518" s="189" t="s">
        <v>943</v>
      </c>
      <c r="B518" s="190"/>
      <c r="C518" s="189" t="s">
        <v>512</v>
      </c>
      <c r="D518" s="189" t="s">
        <v>498</v>
      </c>
      <c r="E518" s="189" t="s">
        <v>942</v>
      </c>
      <c r="F518" s="190"/>
      <c r="G518" s="191">
        <f t="shared" ref="G518:H522" si="39">G519</f>
        <v>5016.2</v>
      </c>
      <c r="H518" s="191">
        <f t="shared" si="39"/>
        <v>5016.2</v>
      </c>
      <c r="I518" s="192">
        <f t="shared" si="35"/>
        <v>0</v>
      </c>
    </row>
    <row r="519" spans="1:9" x14ac:dyDescent="0.2">
      <c r="A519" s="189" t="s">
        <v>602</v>
      </c>
      <c r="B519" s="190"/>
      <c r="C519" s="189" t="s">
        <v>512</v>
      </c>
      <c r="D519" s="189" t="s">
        <v>498</v>
      </c>
      <c r="E519" s="189" t="s">
        <v>941</v>
      </c>
      <c r="F519" s="190"/>
      <c r="G519" s="191">
        <f t="shared" si="39"/>
        <v>5016.2</v>
      </c>
      <c r="H519" s="191">
        <f t="shared" si="39"/>
        <v>5016.2</v>
      </c>
      <c r="I519" s="192">
        <f t="shared" si="35"/>
        <v>0</v>
      </c>
    </row>
    <row r="520" spans="1:9" ht="24" x14ac:dyDescent="0.2">
      <c r="A520" s="189" t="s">
        <v>600</v>
      </c>
      <c r="B520" s="190"/>
      <c r="C520" s="189" t="s">
        <v>512</v>
      </c>
      <c r="D520" s="189" t="s">
        <v>498</v>
      </c>
      <c r="E520" s="189" t="s">
        <v>940</v>
      </c>
      <c r="F520" s="190"/>
      <c r="G520" s="191">
        <f t="shared" si="39"/>
        <v>5016.2</v>
      </c>
      <c r="H520" s="191">
        <f t="shared" si="39"/>
        <v>5016.2</v>
      </c>
      <c r="I520" s="192">
        <f t="shared" si="35"/>
        <v>0</v>
      </c>
    </row>
    <row r="521" spans="1:9" ht="24" x14ac:dyDescent="0.2">
      <c r="A521" s="189" t="s">
        <v>1044</v>
      </c>
      <c r="B521" s="190"/>
      <c r="C521" s="189" t="s">
        <v>512</v>
      </c>
      <c r="D521" s="189" t="s">
        <v>498</v>
      </c>
      <c r="E521" s="189" t="s">
        <v>1043</v>
      </c>
      <c r="F521" s="190"/>
      <c r="G521" s="191">
        <f t="shared" si="39"/>
        <v>5016.2</v>
      </c>
      <c r="H521" s="191">
        <f t="shared" si="39"/>
        <v>5016.2</v>
      </c>
      <c r="I521" s="192">
        <f t="shared" si="35"/>
        <v>0</v>
      </c>
    </row>
    <row r="522" spans="1:9" ht="24" x14ac:dyDescent="0.2">
      <c r="A522" s="189" t="s">
        <v>547</v>
      </c>
      <c r="B522" s="190"/>
      <c r="C522" s="189" t="s">
        <v>512</v>
      </c>
      <c r="D522" s="189" t="s">
        <v>498</v>
      </c>
      <c r="E522" s="189" t="s">
        <v>1043</v>
      </c>
      <c r="F522" s="190" t="s">
        <v>519</v>
      </c>
      <c r="G522" s="191">
        <f t="shared" si="39"/>
        <v>5016.2</v>
      </c>
      <c r="H522" s="191">
        <f t="shared" si="39"/>
        <v>5016.2</v>
      </c>
      <c r="I522" s="192">
        <f t="shared" si="35"/>
        <v>0</v>
      </c>
    </row>
    <row r="523" spans="1:9" x14ac:dyDescent="0.2">
      <c r="A523" s="189" t="s">
        <v>571</v>
      </c>
      <c r="B523" s="190"/>
      <c r="C523" s="189" t="s">
        <v>512</v>
      </c>
      <c r="D523" s="189" t="s">
        <v>498</v>
      </c>
      <c r="E523" s="189" t="s">
        <v>1043</v>
      </c>
      <c r="F523" s="190" t="s">
        <v>522</v>
      </c>
      <c r="G523" s="191">
        <f>4016.2+1000</f>
        <v>5016.2</v>
      </c>
      <c r="H523" s="191">
        <f>4016.2+1000</f>
        <v>5016.2</v>
      </c>
      <c r="I523" s="192">
        <f t="shared" si="35"/>
        <v>0</v>
      </c>
    </row>
    <row r="524" spans="1:9" x14ac:dyDescent="0.2">
      <c r="A524" s="189" t="s">
        <v>604</v>
      </c>
      <c r="B524" s="190"/>
      <c r="C524" s="189" t="s">
        <v>512</v>
      </c>
      <c r="D524" s="189" t="s">
        <v>498</v>
      </c>
      <c r="E524" s="189" t="s">
        <v>603</v>
      </c>
      <c r="F524" s="190"/>
      <c r="G524" s="191">
        <f>G525</f>
        <v>46788.4</v>
      </c>
      <c r="H524" s="191">
        <f>H525</f>
        <v>35688.400000000001</v>
      </c>
      <c r="I524" s="192">
        <f t="shared" si="35"/>
        <v>-11100</v>
      </c>
    </row>
    <row r="525" spans="1:9" x14ac:dyDescent="0.2">
      <c r="A525" s="189" t="s">
        <v>1042</v>
      </c>
      <c r="B525" s="190"/>
      <c r="C525" s="189" t="s">
        <v>512</v>
      </c>
      <c r="D525" s="189" t="s">
        <v>498</v>
      </c>
      <c r="E525" s="189" t="s">
        <v>1041</v>
      </c>
      <c r="F525" s="190"/>
      <c r="G525" s="191">
        <f>G526</f>
        <v>46788.4</v>
      </c>
      <c r="H525" s="191">
        <f>H526</f>
        <v>35688.400000000001</v>
      </c>
      <c r="I525" s="192">
        <f t="shared" si="35"/>
        <v>-11100</v>
      </c>
    </row>
    <row r="526" spans="1:9" ht="24" x14ac:dyDescent="0.2">
      <c r="A526" s="189" t="s">
        <v>1040</v>
      </c>
      <c r="B526" s="190"/>
      <c r="C526" s="189" t="s">
        <v>512</v>
      </c>
      <c r="D526" s="189" t="s">
        <v>498</v>
      </c>
      <c r="E526" s="189" t="s">
        <v>1039</v>
      </c>
      <c r="F526" s="190"/>
      <c r="G526" s="191">
        <f>G527+G530</f>
        <v>46788.4</v>
      </c>
      <c r="H526" s="191">
        <f>H527+H530</f>
        <v>35688.400000000001</v>
      </c>
      <c r="I526" s="192">
        <f t="shared" si="35"/>
        <v>-11100</v>
      </c>
    </row>
    <row r="527" spans="1:9" ht="24" x14ac:dyDescent="0.2">
      <c r="A527" s="189" t="s">
        <v>1038</v>
      </c>
      <c r="B527" s="190"/>
      <c r="C527" s="189" t="s">
        <v>512</v>
      </c>
      <c r="D527" s="189" t="s">
        <v>498</v>
      </c>
      <c r="E527" s="189" t="s">
        <v>1037</v>
      </c>
      <c r="F527" s="190"/>
      <c r="G527" s="191">
        <f>G528</f>
        <v>788.4</v>
      </c>
      <c r="H527" s="191">
        <f>H528</f>
        <v>788.4</v>
      </c>
      <c r="I527" s="192">
        <f t="shared" si="35"/>
        <v>0</v>
      </c>
    </row>
    <row r="528" spans="1:9" ht="24" x14ac:dyDescent="0.2">
      <c r="A528" s="189" t="s">
        <v>547</v>
      </c>
      <c r="B528" s="190"/>
      <c r="C528" s="189" t="s">
        <v>512</v>
      </c>
      <c r="D528" s="189" t="s">
        <v>498</v>
      </c>
      <c r="E528" s="189" t="s">
        <v>1037</v>
      </c>
      <c r="F528" s="190" t="s">
        <v>519</v>
      </c>
      <c r="G528" s="191">
        <f>G529</f>
        <v>788.4</v>
      </c>
      <c r="H528" s="191">
        <f>H529</f>
        <v>788.4</v>
      </c>
      <c r="I528" s="192">
        <f t="shared" si="35"/>
        <v>0</v>
      </c>
    </row>
    <row r="529" spans="1:9" x14ac:dyDescent="0.2">
      <c r="A529" s="189" t="s">
        <v>571</v>
      </c>
      <c r="B529" s="190"/>
      <c r="C529" s="189" t="s">
        <v>512</v>
      </c>
      <c r="D529" s="189" t="s">
        <v>498</v>
      </c>
      <c r="E529" s="189" t="s">
        <v>1037</v>
      </c>
      <c r="F529" s="190" t="s">
        <v>522</v>
      </c>
      <c r="G529" s="191">
        <v>788.4</v>
      </c>
      <c r="H529" s="191">
        <v>788.4</v>
      </c>
      <c r="I529" s="192">
        <f t="shared" si="35"/>
        <v>0</v>
      </c>
    </row>
    <row r="530" spans="1:9" x14ac:dyDescent="0.2">
      <c r="A530" s="189" t="s">
        <v>1036</v>
      </c>
      <c r="B530" s="190"/>
      <c r="C530" s="189" t="s">
        <v>512</v>
      </c>
      <c r="D530" s="189" t="s">
        <v>498</v>
      </c>
      <c r="E530" s="189" t="s">
        <v>1035</v>
      </c>
      <c r="F530" s="190"/>
      <c r="G530" s="191">
        <f>G531</f>
        <v>46000</v>
      </c>
      <c r="H530" s="191">
        <f>H531</f>
        <v>34900</v>
      </c>
      <c r="I530" s="192">
        <f t="shared" si="35"/>
        <v>-11100</v>
      </c>
    </row>
    <row r="531" spans="1:9" x14ac:dyDescent="0.2">
      <c r="A531" s="189" t="s">
        <v>1347</v>
      </c>
      <c r="B531" s="190"/>
      <c r="C531" s="189" t="s">
        <v>512</v>
      </c>
      <c r="D531" s="189" t="s">
        <v>498</v>
      </c>
      <c r="E531" s="189" t="s">
        <v>1035</v>
      </c>
      <c r="F531" s="190" t="s">
        <v>535</v>
      </c>
      <c r="G531" s="191">
        <f>G532</f>
        <v>46000</v>
      </c>
      <c r="H531" s="191">
        <f>H532</f>
        <v>34900</v>
      </c>
      <c r="I531" s="192">
        <f t="shared" si="35"/>
        <v>-11100</v>
      </c>
    </row>
    <row r="532" spans="1:9" ht="24" x14ac:dyDescent="0.2">
      <c r="A532" s="189" t="s">
        <v>534</v>
      </c>
      <c r="B532" s="190"/>
      <c r="C532" s="189" t="s">
        <v>512</v>
      </c>
      <c r="D532" s="189" t="s">
        <v>498</v>
      </c>
      <c r="E532" s="189" t="s">
        <v>1035</v>
      </c>
      <c r="F532" s="190" t="s">
        <v>529</v>
      </c>
      <c r="G532" s="191">
        <v>46000</v>
      </c>
      <c r="H532" s="191">
        <f>46000-11100</f>
        <v>34900</v>
      </c>
      <c r="I532" s="192">
        <f t="shared" si="35"/>
        <v>-11100</v>
      </c>
    </row>
    <row r="533" spans="1:9" x14ac:dyDescent="0.2">
      <c r="A533" s="189" t="s">
        <v>986</v>
      </c>
      <c r="B533" s="190"/>
      <c r="C533" s="189" t="s">
        <v>512</v>
      </c>
      <c r="D533" s="189" t="s">
        <v>498</v>
      </c>
      <c r="E533" s="189" t="s">
        <v>985</v>
      </c>
      <c r="F533" s="190"/>
      <c r="G533" s="191">
        <f>G534</f>
        <v>37190.399999999994</v>
      </c>
      <c r="H533" s="191">
        <f>H534</f>
        <v>27523.999999999996</v>
      </c>
      <c r="I533" s="192">
        <f t="shared" si="35"/>
        <v>-9666.3999999999978</v>
      </c>
    </row>
    <row r="534" spans="1:9" ht="24" x14ac:dyDescent="0.2">
      <c r="A534" s="189" t="s">
        <v>1022</v>
      </c>
      <c r="B534" s="190"/>
      <c r="C534" s="189" t="s">
        <v>512</v>
      </c>
      <c r="D534" s="189" t="s">
        <v>498</v>
      </c>
      <c r="E534" s="189" t="s">
        <v>1021</v>
      </c>
      <c r="F534" s="190"/>
      <c r="G534" s="191">
        <f>G535+G539</f>
        <v>37190.399999999994</v>
      </c>
      <c r="H534" s="191">
        <f>H535+H539</f>
        <v>27523.999999999996</v>
      </c>
      <c r="I534" s="192">
        <f t="shared" si="35"/>
        <v>-9666.3999999999978</v>
      </c>
    </row>
    <row r="535" spans="1:9" ht="24" x14ac:dyDescent="0.2">
      <c r="A535" s="189" t="s">
        <v>1034</v>
      </c>
      <c r="B535" s="190"/>
      <c r="C535" s="189" t="s">
        <v>512</v>
      </c>
      <c r="D535" s="189" t="s">
        <v>498</v>
      </c>
      <c r="E535" s="189" t="s">
        <v>1033</v>
      </c>
      <c r="F535" s="190"/>
      <c r="G535" s="191">
        <f t="shared" ref="G535:H537" si="40">G536</f>
        <v>28145.3</v>
      </c>
      <c r="H535" s="191">
        <f t="shared" si="40"/>
        <v>14468.499999999998</v>
      </c>
      <c r="I535" s="192">
        <f t="shared" si="35"/>
        <v>-13676.800000000001</v>
      </c>
    </row>
    <row r="536" spans="1:9" x14ac:dyDescent="0.2">
      <c r="A536" s="189" t="s">
        <v>1032</v>
      </c>
      <c r="B536" s="190"/>
      <c r="C536" s="189" t="s">
        <v>512</v>
      </c>
      <c r="D536" s="189" t="s">
        <v>498</v>
      </c>
      <c r="E536" s="189" t="s">
        <v>1031</v>
      </c>
      <c r="F536" s="190"/>
      <c r="G536" s="191">
        <f t="shared" si="40"/>
        <v>28145.3</v>
      </c>
      <c r="H536" s="191">
        <f t="shared" si="40"/>
        <v>14468.499999999998</v>
      </c>
      <c r="I536" s="192">
        <f t="shared" si="35"/>
        <v>-13676.800000000001</v>
      </c>
    </row>
    <row r="537" spans="1:9" x14ac:dyDescent="0.2">
      <c r="A537" s="189" t="s">
        <v>615</v>
      </c>
      <c r="B537" s="190"/>
      <c r="C537" s="189" t="s">
        <v>512</v>
      </c>
      <c r="D537" s="189" t="s">
        <v>498</v>
      </c>
      <c r="E537" s="189" t="s">
        <v>1031</v>
      </c>
      <c r="F537" s="190" t="s">
        <v>509</v>
      </c>
      <c r="G537" s="191">
        <f t="shared" si="40"/>
        <v>28145.3</v>
      </c>
      <c r="H537" s="191">
        <f t="shared" si="40"/>
        <v>14468.499999999998</v>
      </c>
      <c r="I537" s="192">
        <f t="shared" si="35"/>
        <v>-13676.800000000001</v>
      </c>
    </row>
    <row r="538" spans="1:9" ht="24" x14ac:dyDescent="0.2">
      <c r="A538" s="189" t="s">
        <v>1346</v>
      </c>
      <c r="B538" s="190"/>
      <c r="C538" s="189" t="s">
        <v>512</v>
      </c>
      <c r="D538" s="189" t="s">
        <v>498</v>
      </c>
      <c r="E538" s="189" t="s">
        <v>1031</v>
      </c>
      <c r="F538" s="190" t="s">
        <v>511</v>
      </c>
      <c r="G538" s="191">
        <f>28291-145.7</f>
        <v>28145.3</v>
      </c>
      <c r="H538" s="191">
        <f>28291-145.7-7926.6-712.5-3048.8-1988.9</f>
        <v>14468.499999999998</v>
      </c>
      <c r="I538" s="192">
        <f t="shared" si="35"/>
        <v>-13676.800000000001</v>
      </c>
    </row>
    <row r="539" spans="1:9" ht="24" x14ac:dyDescent="0.2">
      <c r="A539" s="189" t="s">
        <v>1020</v>
      </c>
      <c r="B539" s="190"/>
      <c r="C539" s="189" t="s">
        <v>512</v>
      </c>
      <c r="D539" s="189" t="s">
        <v>498</v>
      </c>
      <c r="E539" s="189" t="s">
        <v>1019</v>
      </c>
      <c r="F539" s="190"/>
      <c r="G539" s="191">
        <f>G540+G543</f>
        <v>9045.0999999999985</v>
      </c>
      <c r="H539" s="191">
        <f>H540+H543+H546</f>
        <v>13055.499999999998</v>
      </c>
      <c r="I539" s="192">
        <f t="shared" si="35"/>
        <v>4010.3999999999996</v>
      </c>
    </row>
    <row r="540" spans="1:9" x14ac:dyDescent="0.2">
      <c r="A540" s="189" t="s">
        <v>1018</v>
      </c>
      <c r="B540" s="190"/>
      <c r="C540" s="189" t="s">
        <v>512</v>
      </c>
      <c r="D540" s="189" t="s">
        <v>498</v>
      </c>
      <c r="E540" s="189" t="s">
        <v>1017</v>
      </c>
      <c r="F540" s="190"/>
      <c r="G540" s="191">
        <f>G541</f>
        <v>4664.3999999999996</v>
      </c>
      <c r="H540" s="191">
        <f>H541</f>
        <v>4995.3999999999996</v>
      </c>
      <c r="I540" s="192">
        <f t="shared" si="35"/>
        <v>331</v>
      </c>
    </row>
    <row r="541" spans="1:9" x14ac:dyDescent="0.2">
      <c r="A541" s="189" t="s">
        <v>615</v>
      </c>
      <c r="B541" s="190"/>
      <c r="C541" s="189" t="s">
        <v>512</v>
      </c>
      <c r="D541" s="189" t="s">
        <v>498</v>
      </c>
      <c r="E541" s="189" t="s">
        <v>1017</v>
      </c>
      <c r="F541" s="190" t="s">
        <v>509</v>
      </c>
      <c r="G541" s="191">
        <f>G542</f>
        <v>4664.3999999999996</v>
      </c>
      <c r="H541" s="191">
        <f>H542</f>
        <v>4995.3999999999996</v>
      </c>
      <c r="I541" s="192">
        <f t="shared" si="35"/>
        <v>331</v>
      </c>
    </row>
    <row r="542" spans="1:9" ht="24" x14ac:dyDescent="0.2">
      <c r="A542" s="189" t="s">
        <v>1346</v>
      </c>
      <c r="B542" s="190"/>
      <c r="C542" s="189" t="s">
        <v>512</v>
      </c>
      <c r="D542" s="189" t="s">
        <v>498</v>
      </c>
      <c r="E542" s="189" t="s">
        <v>1017</v>
      </c>
      <c r="F542" s="190" t="s">
        <v>511</v>
      </c>
      <c r="G542" s="191">
        <f>5000+330.4-500-880.7+569+145.7</f>
        <v>4664.3999999999996</v>
      </c>
      <c r="H542" s="191">
        <f>5000+330.4-500-880.7+569+145.7-569+900</f>
        <v>4995.3999999999996</v>
      </c>
      <c r="I542" s="192">
        <f t="shared" si="35"/>
        <v>331</v>
      </c>
    </row>
    <row r="543" spans="1:9" x14ac:dyDescent="0.2">
      <c r="A543" s="189" t="s">
        <v>1030</v>
      </c>
      <c r="B543" s="190"/>
      <c r="C543" s="189" t="s">
        <v>512</v>
      </c>
      <c r="D543" s="189" t="s">
        <v>498</v>
      </c>
      <c r="E543" s="189" t="s">
        <v>1029</v>
      </c>
      <c r="F543" s="190"/>
      <c r="G543" s="191">
        <f>G544</f>
        <v>4380.7</v>
      </c>
      <c r="H543" s="191">
        <f>H544</f>
        <v>6360.7</v>
      </c>
      <c r="I543" s="192">
        <f t="shared" si="35"/>
        <v>1980</v>
      </c>
    </row>
    <row r="544" spans="1:9" ht="24" x14ac:dyDescent="0.2">
      <c r="A544" s="189" t="s">
        <v>547</v>
      </c>
      <c r="B544" s="190"/>
      <c r="C544" s="189" t="s">
        <v>512</v>
      </c>
      <c r="D544" s="189" t="s">
        <v>498</v>
      </c>
      <c r="E544" s="189" t="s">
        <v>1029</v>
      </c>
      <c r="F544" s="190" t="s">
        <v>519</v>
      </c>
      <c r="G544" s="191">
        <f>G545</f>
        <v>4380.7</v>
      </c>
      <c r="H544" s="191">
        <f>H545</f>
        <v>6360.7</v>
      </c>
      <c r="I544" s="192">
        <f t="shared" si="35"/>
        <v>1980</v>
      </c>
    </row>
    <row r="545" spans="1:9" x14ac:dyDescent="0.2">
      <c r="A545" s="189" t="s">
        <v>571</v>
      </c>
      <c r="B545" s="190"/>
      <c r="C545" s="189" t="s">
        <v>512</v>
      </c>
      <c r="D545" s="189" t="s">
        <v>498</v>
      </c>
      <c r="E545" s="189" t="s">
        <v>1029</v>
      </c>
      <c r="F545" s="190" t="s">
        <v>522</v>
      </c>
      <c r="G545" s="191">
        <f>3000+500+880.7</f>
        <v>4380.7</v>
      </c>
      <c r="H545" s="191">
        <f>3000+500+880.7+569+811+600</f>
        <v>6360.7</v>
      </c>
      <c r="I545" s="192">
        <f t="shared" si="35"/>
        <v>1980</v>
      </c>
    </row>
    <row r="546" spans="1:9" s="433" customFormat="1" ht="36" x14ac:dyDescent="0.2">
      <c r="A546" s="189" t="s">
        <v>1627</v>
      </c>
      <c r="B546" s="190"/>
      <c r="C546" s="189" t="s">
        <v>512</v>
      </c>
      <c r="D546" s="189" t="s">
        <v>498</v>
      </c>
      <c r="E546" s="189" t="s">
        <v>1628</v>
      </c>
      <c r="F546" s="190"/>
      <c r="G546" s="191">
        <f>G547</f>
        <v>0</v>
      </c>
      <c r="H546" s="191">
        <f>H547</f>
        <v>1699.3999999999999</v>
      </c>
      <c r="I546" s="192">
        <f t="shared" si="35"/>
        <v>1699.3999999999999</v>
      </c>
    </row>
    <row r="547" spans="1:9" s="433" customFormat="1" x14ac:dyDescent="0.2">
      <c r="A547" s="189" t="s">
        <v>615</v>
      </c>
      <c r="B547" s="190"/>
      <c r="C547" s="189" t="s">
        <v>512</v>
      </c>
      <c r="D547" s="189" t="s">
        <v>498</v>
      </c>
      <c r="E547" s="189" t="s">
        <v>1628</v>
      </c>
      <c r="F547" s="190" t="s">
        <v>509</v>
      </c>
      <c r="G547" s="191">
        <f>G548</f>
        <v>0</v>
      </c>
      <c r="H547" s="191">
        <f>H548</f>
        <v>1699.3999999999999</v>
      </c>
      <c r="I547" s="192">
        <f t="shared" si="35"/>
        <v>1699.3999999999999</v>
      </c>
    </row>
    <row r="548" spans="1:9" s="433" customFormat="1" ht="24" x14ac:dyDescent="0.2">
      <c r="A548" s="189" t="s">
        <v>1346</v>
      </c>
      <c r="B548" s="190"/>
      <c r="C548" s="189" t="s">
        <v>512</v>
      </c>
      <c r="D548" s="189" t="s">
        <v>498</v>
      </c>
      <c r="E548" s="189" t="s">
        <v>1628</v>
      </c>
      <c r="F548" s="190" t="s">
        <v>511</v>
      </c>
      <c r="G548" s="191">
        <v>0</v>
      </c>
      <c r="H548" s="191">
        <f>1062.1+637.3</f>
        <v>1699.3999999999999</v>
      </c>
      <c r="I548" s="192">
        <f t="shared" si="35"/>
        <v>1699.3999999999999</v>
      </c>
    </row>
    <row r="549" spans="1:9" s="299" customFormat="1" x14ac:dyDescent="0.2">
      <c r="A549" s="189" t="s">
        <v>595</v>
      </c>
      <c r="B549" s="190"/>
      <c r="C549" s="189" t="s">
        <v>512</v>
      </c>
      <c r="D549" s="189" t="s">
        <v>498</v>
      </c>
      <c r="E549" s="189" t="s">
        <v>594</v>
      </c>
      <c r="F549" s="190"/>
      <c r="G549" s="191">
        <f t="shared" ref="G549:H555" si="41">G550</f>
        <v>7059.4</v>
      </c>
      <c r="H549" s="191">
        <f t="shared" si="41"/>
        <v>9943.1</v>
      </c>
      <c r="I549" s="192">
        <f t="shared" si="35"/>
        <v>2883.7000000000007</v>
      </c>
    </row>
    <row r="550" spans="1:9" s="299" customFormat="1" x14ac:dyDescent="0.2">
      <c r="A550" s="189" t="s">
        <v>1240</v>
      </c>
      <c r="B550" s="190"/>
      <c r="C550" s="189" t="s">
        <v>512</v>
      </c>
      <c r="D550" s="189" t="s">
        <v>498</v>
      </c>
      <c r="E550" s="189" t="s">
        <v>1239</v>
      </c>
      <c r="F550" s="190"/>
      <c r="G550" s="191">
        <f>G555+G553+G551</f>
        <v>7059.4</v>
      </c>
      <c r="H550" s="191">
        <f>H555+H553+H551</f>
        <v>9943.1</v>
      </c>
      <c r="I550" s="192">
        <f t="shared" si="35"/>
        <v>2883.7000000000007</v>
      </c>
    </row>
    <row r="551" spans="1:9" s="399" customFormat="1" x14ac:dyDescent="0.2">
      <c r="A551" s="189" t="s">
        <v>1347</v>
      </c>
      <c r="B551" s="190"/>
      <c r="C551" s="189" t="s">
        <v>512</v>
      </c>
      <c r="D551" s="189" t="s">
        <v>498</v>
      </c>
      <c r="E551" s="189" t="s">
        <v>1239</v>
      </c>
      <c r="F551" s="190">
        <v>200</v>
      </c>
      <c r="G551" s="191">
        <f>G552</f>
        <v>68.599999999999994</v>
      </c>
      <c r="H551" s="191">
        <f>H552</f>
        <v>68.599999999999994</v>
      </c>
      <c r="I551" s="192">
        <f t="shared" si="35"/>
        <v>0</v>
      </c>
    </row>
    <row r="552" spans="1:9" s="399" customFormat="1" ht="24" x14ac:dyDescent="0.2">
      <c r="A552" s="189" t="s">
        <v>534</v>
      </c>
      <c r="B552" s="190"/>
      <c r="C552" s="189" t="s">
        <v>512</v>
      </c>
      <c r="D552" s="189" t="s">
        <v>498</v>
      </c>
      <c r="E552" s="189" t="s">
        <v>1239</v>
      </c>
      <c r="F552" s="190">
        <v>240</v>
      </c>
      <c r="G552" s="191">
        <v>68.599999999999994</v>
      </c>
      <c r="H552" s="191">
        <v>68.599999999999994</v>
      </c>
      <c r="I552" s="192">
        <f t="shared" si="35"/>
        <v>0</v>
      </c>
    </row>
    <row r="553" spans="1:9" s="374" customFormat="1" ht="24" x14ac:dyDescent="0.2">
      <c r="A553" s="189" t="s">
        <v>547</v>
      </c>
      <c r="B553" s="190"/>
      <c r="C553" s="189" t="s">
        <v>512</v>
      </c>
      <c r="D553" s="189" t="s">
        <v>498</v>
      </c>
      <c r="E553" s="189" t="s">
        <v>1239</v>
      </c>
      <c r="F553" s="190">
        <v>600</v>
      </c>
      <c r="G553" s="191">
        <f>G554</f>
        <v>841.5</v>
      </c>
      <c r="H553" s="191">
        <f>H554</f>
        <v>3513.1</v>
      </c>
      <c r="I553" s="192">
        <f t="shared" si="35"/>
        <v>2671.6</v>
      </c>
    </row>
    <row r="554" spans="1:9" s="374" customFormat="1" x14ac:dyDescent="0.2">
      <c r="A554" s="189" t="s">
        <v>571</v>
      </c>
      <c r="B554" s="190"/>
      <c r="C554" s="189" t="s">
        <v>512</v>
      </c>
      <c r="D554" s="189" t="s">
        <v>498</v>
      </c>
      <c r="E554" s="189" t="s">
        <v>1239</v>
      </c>
      <c r="F554" s="190">
        <v>610</v>
      </c>
      <c r="G554" s="191">
        <f>355.9+485.6</f>
        <v>841.5</v>
      </c>
      <c r="H554" s="191">
        <f>355.9+485.6+2671.6</f>
        <v>3513.1</v>
      </c>
      <c r="I554" s="192">
        <f t="shared" si="35"/>
        <v>2671.6</v>
      </c>
    </row>
    <row r="555" spans="1:9" s="299" customFormat="1" x14ac:dyDescent="0.2">
      <c r="A555" s="189" t="s">
        <v>615</v>
      </c>
      <c r="B555" s="190"/>
      <c r="C555" s="189" t="s">
        <v>512</v>
      </c>
      <c r="D555" s="189" t="s">
        <v>498</v>
      </c>
      <c r="E555" s="189" t="s">
        <v>1239</v>
      </c>
      <c r="F555" s="190" t="s">
        <v>509</v>
      </c>
      <c r="G555" s="191">
        <f t="shared" si="41"/>
        <v>6149.2999999999993</v>
      </c>
      <c r="H555" s="191">
        <f t="shared" si="41"/>
        <v>6361.4</v>
      </c>
      <c r="I555" s="192">
        <f t="shared" si="35"/>
        <v>212.10000000000036</v>
      </c>
    </row>
    <row r="556" spans="1:9" s="299" customFormat="1" ht="24" x14ac:dyDescent="0.2">
      <c r="A556" s="189" t="s">
        <v>1346</v>
      </c>
      <c r="B556" s="190"/>
      <c r="C556" s="189" t="s">
        <v>512</v>
      </c>
      <c r="D556" s="189" t="s">
        <v>498</v>
      </c>
      <c r="E556" s="189" t="s">
        <v>1239</v>
      </c>
      <c r="F556" s="190">
        <v>810</v>
      </c>
      <c r="G556" s="191">
        <f>139.9+6009.4</f>
        <v>6149.2999999999993</v>
      </c>
      <c r="H556" s="191">
        <f>139.9+6009.4+212.1</f>
        <v>6361.4</v>
      </c>
      <c r="I556" s="192">
        <f t="shared" si="35"/>
        <v>212.10000000000036</v>
      </c>
    </row>
    <row r="557" spans="1:9" x14ac:dyDescent="0.2">
      <c r="A557" s="189" t="s">
        <v>1028</v>
      </c>
      <c r="B557" s="190"/>
      <c r="C557" s="189" t="s">
        <v>512</v>
      </c>
      <c r="D557" s="189" t="s">
        <v>502</v>
      </c>
      <c r="E557" s="189"/>
      <c r="F557" s="190"/>
      <c r="G557" s="191">
        <f>G558+G591</f>
        <v>6428.7</v>
      </c>
      <c r="H557" s="191">
        <f>H558+H591</f>
        <v>10095.5</v>
      </c>
      <c r="I557" s="192">
        <f t="shared" si="35"/>
        <v>3666.8</v>
      </c>
    </row>
    <row r="558" spans="1:9" x14ac:dyDescent="0.2">
      <c r="A558" s="189" t="s">
        <v>943</v>
      </c>
      <c r="B558" s="190"/>
      <c r="C558" s="189" t="s">
        <v>512</v>
      </c>
      <c r="D558" s="189" t="s">
        <v>502</v>
      </c>
      <c r="E558" s="189" t="s">
        <v>942</v>
      </c>
      <c r="F558" s="190"/>
      <c r="G558" s="191">
        <f>G577+G564</f>
        <v>4748</v>
      </c>
      <c r="H558" s="191">
        <f>H577+H564+H559+H572</f>
        <v>8414.7999999999993</v>
      </c>
      <c r="I558" s="192">
        <f t="shared" si="35"/>
        <v>3666.7999999999993</v>
      </c>
    </row>
    <row r="559" spans="1:9" s="437" customFormat="1" x14ac:dyDescent="0.2">
      <c r="A559" s="189" t="s">
        <v>1596</v>
      </c>
      <c r="B559" s="189"/>
      <c r="C559" s="189" t="s">
        <v>512</v>
      </c>
      <c r="D559" s="189" t="s">
        <v>502</v>
      </c>
      <c r="E559" s="189" t="s">
        <v>1599</v>
      </c>
      <c r="F559" s="189"/>
      <c r="G559" s="191">
        <f t="shared" ref="G559:H562" si="42">G560</f>
        <v>0</v>
      </c>
      <c r="H559" s="191">
        <f t="shared" si="42"/>
        <v>760.1</v>
      </c>
      <c r="I559" s="192">
        <f t="shared" si="35"/>
        <v>760.1</v>
      </c>
    </row>
    <row r="560" spans="1:9" s="437" customFormat="1" ht="36" x14ac:dyDescent="0.2">
      <c r="A560" s="189" t="s">
        <v>1597</v>
      </c>
      <c r="B560" s="189"/>
      <c r="C560" s="189" t="s">
        <v>512</v>
      </c>
      <c r="D560" s="189" t="s">
        <v>502</v>
      </c>
      <c r="E560" s="189" t="s">
        <v>1600</v>
      </c>
      <c r="F560" s="189"/>
      <c r="G560" s="191">
        <f t="shared" si="42"/>
        <v>0</v>
      </c>
      <c r="H560" s="191">
        <f t="shared" si="42"/>
        <v>760.1</v>
      </c>
      <c r="I560" s="192">
        <f t="shared" si="35"/>
        <v>760.1</v>
      </c>
    </row>
    <row r="561" spans="1:9" s="437" customFormat="1" ht="24" x14ac:dyDescent="0.2">
      <c r="A561" s="189" t="s">
        <v>1643</v>
      </c>
      <c r="B561" s="189"/>
      <c r="C561" s="189" t="s">
        <v>512</v>
      </c>
      <c r="D561" s="189" t="s">
        <v>502</v>
      </c>
      <c r="E561" s="189" t="s">
        <v>1644</v>
      </c>
      <c r="F561" s="189"/>
      <c r="G561" s="191">
        <f t="shared" si="42"/>
        <v>0</v>
      </c>
      <c r="H561" s="191">
        <f t="shared" si="42"/>
        <v>760.1</v>
      </c>
      <c r="I561" s="192">
        <f t="shared" si="35"/>
        <v>760.1</v>
      </c>
    </row>
    <row r="562" spans="1:9" s="437" customFormat="1" x14ac:dyDescent="0.2">
      <c r="A562" s="189" t="s">
        <v>1347</v>
      </c>
      <c r="B562" s="189"/>
      <c r="C562" s="189" t="s">
        <v>512</v>
      </c>
      <c r="D562" s="189" t="s">
        <v>502</v>
      </c>
      <c r="E562" s="189" t="s">
        <v>1644</v>
      </c>
      <c r="F562" s="190" t="s">
        <v>535</v>
      </c>
      <c r="G562" s="191">
        <f t="shared" si="42"/>
        <v>0</v>
      </c>
      <c r="H562" s="191">
        <f t="shared" si="42"/>
        <v>760.1</v>
      </c>
      <c r="I562" s="192">
        <f t="shared" si="35"/>
        <v>760.1</v>
      </c>
    </row>
    <row r="563" spans="1:9" s="437" customFormat="1" ht="24" x14ac:dyDescent="0.2">
      <c r="A563" s="189" t="s">
        <v>534</v>
      </c>
      <c r="B563" s="189"/>
      <c r="C563" s="189" t="s">
        <v>512</v>
      </c>
      <c r="D563" s="189" t="s">
        <v>502</v>
      </c>
      <c r="E563" s="189" t="s">
        <v>1644</v>
      </c>
      <c r="F563" s="190" t="s">
        <v>529</v>
      </c>
      <c r="G563" s="191">
        <v>0</v>
      </c>
      <c r="H563" s="191">
        <v>760.1</v>
      </c>
      <c r="I563" s="192">
        <f t="shared" ref="I563" si="43">H563-G563</f>
        <v>760.1</v>
      </c>
    </row>
    <row r="564" spans="1:9" s="376" customFormat="1" ht="24" x14ac:dyDescent="0.2">
      <c r="A564" s="189" t="s">
        <v>1494</v>
      </c>
      <c r="B564" s="189"/>
      <c r="C564" s="189" t="s">
        <v>512</v>
      </c>
      <c r="D564" s="189" t="s">
        <v>502</v>
      </c>
      <c r="E564" s="189" t="s">
        <v>1495</v>
      </c>
      <c r="F564" s="189"/>
      <c r="G564" s="191">
        <f>G565</f>
        <v>200</v>
      </c>
      <c r="H564" s="191">
        <f>H565</f>
        <v>200</v>
      </c>
      <c r="I564" s="192">
        <f t="shared" ref="I564:I661" si="44">H564-G564</f>
        <v>0</v>
      </c>
    </row>
    <row r="565" spans="1:9" s="376" customFormat="1" ht="36" x14ac:dyDescent="0.2">
      <c r="A565" s="189" t="s">
        <v>1496</v>
      </c>
      <c r="B565" s="189"/>
      <c r="C565" s="189" t="s">
        <v>512</v>
      </c>
      <c r="D565" s="189" t="s">
        <v>502</v>
      </c>
      <c r="E565" s="189" t="s">
        <v>1497</v>
      </c>
      <c r="F565" s="189"/>
      <c r="G565" s="191">
        <f>G566+G569</f>
        <v>200</v>
      </c>
      <c r="H565" s="191">
        <f>H566+H569</f>
        <v>200</v>
      </c>
      <c r="I565" s="192">
        <f t="shared" si="44"/>
        <v>0</v>
      </c>
    </row>
    <row r="566" spans="1:9" s="376" customFormat="1" ht="24" x14ac:dyDescent="0.2">
      <c r="A566" s="189" t="s">
        <v>1498</v>
      </c>
      <c r="B566" s="189"/>
      <c r="C566" s="189" t="s">
        <v>512</v>
      </c>
      <c r="D566" s="189" t="s">
        <v>502</v>
      </c>
      <c r="E566" s="189" t="s">
        <v>1499</v>
      </c>
      <c r="F566" s="189"/>
      <c r="G566" s="191">
        <f>G567</f>
        <v>100</v>
      </c>
      <c r="H566" s="191">
        <f>H567</f>
        <v>100</v>
      </c>
      <c r="I566" s="192">
        <f t="shared" si="44"/>
        <v>0</v>
      </c>
    </row>
    <row r="567" spans="1:9" s="376" customFormat="1" x14ac:dyDescent="0.2">
      <c r="A567" s="189" t="s">
        <v>1347</v>
      </c>
      <c r="B567" s="189"/>
      <c r="C567" s="189" t="s">
        <v>512</v>
      </c>
      <c r="D567" s="189" t="s">
        <v>502</v>
      </c>
      <c r="E567" s="189" t="s">
        <v>1499</v>
      </c>
      <c r="F567" s="190" t="s">
        <v>535</v>
      </c>
      <c r="G567" s="191">
        <f>G568</f>
        <v>100</v>
      </c>
      <c r="H567" s="191">
        <f>H568</f>
        <v>100</v>
      </c>
      <c r="I567" s="192">
        <f t="shared" si="44"/>
        <v>0</v>
      </c>
    </row>
    <row r="568" spans="1:9" s="376" customFormat="1" ht="24" x14ac:dyDescent="0.2">
      <c r="A568" s="189" t="s">
        <v>534</v>
      </c>
      <c r="B568" s="189"/>
      <c r="C568" s="189" t="s">
        <v>512</v>
      </c>
      <c r="D568" s="189" t="s">
        <v>502</v>
      </c>
      <c r="E568" s="189" t="s">
        <v>1499</v>
      </c>
      <c r="F568" s="190" t="s">
        <v>529</v>
      </c>
      <c r="G568" s="191">
        <v>100</v>
      </c>
      <c r="H568" s="191">
        <v>100</v>
      </c>
      <c r="I568" s="192">
        <f t="shared" si="44"/>
        <v>0</v>
      </c>
    </row>
    <row r="569" spans="1:9" s="376" customFormat="1" ht="24" x14ac:dyDescent="0.2">
      <c r="A569" s="189" t="s">
        <v>1500</v>
      </c>
      <c r="B569" s="189"/>
      <c r="C569" s="189" t="s">
        <v>512</v>
      </c>
      <c r="D569" s="189" t="s">
        <v>502</v>
      </c>
      <c r="E569" s="189" t="s">
        <v>1501</v>
      </c>
      <c r="F569" s="190"/>
      <c r="G569" s="191">
        <f>G570</f>
        <v>100</v>
      </c>
      <c r="H569" s="191">
        <f>H570</f>
        <v>100</v>
      </c>
      <c r="I569" s="192">
        <f t="shared" si="44"/>
        <v>0</v>
      </c>
    </row>
    <row r="570" spans="1:9" s="376" customFormat="1" ht="24" x14ac:dyDescent="0.2">
      <c r="A570" s="189" t="s">
        <v>547</v>
      </c>
      <c r="B570" s="189"/>
      <c r="C570" s="189" t="s">
        <v>512</v>
      </c>
      <c r="D570" s="189" t="s">
        <v>502</v>
      </c>
      <c r="E570" s="189" t="s">
        <v>1501</v>
      </c>
      <c r="F570" s="190" t="s">
        <v>519</v>
      </c>
      <c r="G570" s="191">
        <f>G571</f>
        <v>100</v>
      </c>
      <c r="H570" s="191">
        <f>H571</f>
        <v>100</v>
      </c>
      <c r="I570" s="192">
        <f t="shared" si="44"/>
        <v>0</v>
      </c>
    </row>
    <row r="571" spans="1:9" s="376" customFormat="1" x14ac:dyDescent="0.2">
      <c r="A571" s="189" t="s">
        <v>571</v>
      </c>
      <c r="B571" s="189"/>
      <c r="C571" s="189" t="s">
        <v>512</v>
      </c>
      <c r="D571" s="189" t="s">
        <v>502</v>
      </c>
      <c r="E571" s="189" t="s">
        <v>1501</v>
      </c>
      <c r="F571" s="190" t="s">
        <v>522</v>
      </c>
      <c r="G571" s="191">
        <v>100</v>
      </c>
      <c r="H571" s="191">
        <v>100</v>
      </c>
      <c r="I571" s="192">
        <f t="shared" si="44"/>
        <v>0</v>
      </c>
    </row>
    <row r="572" spans="1:9" s="446" customFormat="1" x14ac:dyDescent="0.2">
      <c r="A572" s="189" t="s">
        <v>1727</v>
      </c>
      <c r="B572" s="189"/>
      <c r="C572" s="189" t="s">
        <v>512</v>
      </c>
      <c r="D572" s="189" t="s">
        <v>502</v>
      </c>
      <c r="E572" s="189" t="s">
        <v>1728</v>
      </c>
      <c r="F572" s="189"/>
      <c r="G572" s="191">
        <f t="shared" ref="G572:H575" si="45">G573</f>
        <v>0</v>
      </c>
      <c r="H572" s="191">
        <f t="shared" si="45"/>
        <v>2906.7</v>
      </c>
      <c r="I572" s="192">
        <f t="shared" si="44"/>
        <v>2906.7</v>
      </c>
    </row>
    <row r="573" spans="1:9" s="446" customFormat="1" ht="24" x14ac:dyDescent="0.2">
      <c r="A573" s="189" t="s">
        <v>1729</v>
      </c>
      <c r="B573" s="189"/>
      <c r="C573" s="189" t="s">
        <v>512</v>
      </c>
      <c r="D573" s="189" t="s">
        <v>502</v>
      </c>
      <c r="E573" s="189" t="s">
        <v>1730</v>
      </c>
      <c r="F573" s="189"/>
      <c r="G573" s="191">
        <f t="shared" si="45"/>
        <v>0</v>
      </c>
      <c r="H573" s="191">
        <f t="shared" si="45"/>
        <v>2906.7</v>
      </c>
      <c r="I573" s="192">
        <f t="shared" si="44"/>
        <v>2906.7</v>
      </c>
    </row>
    <row r="574" spans="1:9" s="446" customFormat="1" ht="24" x14ac:dyDescent="0.2">
      <c r="A574" s="189" t="s">
        <v>1731</v>
      </c>
      <c r="B574" s="189"/>
      <c r="C574" s="189" t="s">
        <v>512</v>
      </c>
      <c r="D574" s="189" t="s">
        <v>502</v>
      </c>
      <c r="E574" s="189" t="s">
        <v>1732</v>
      </c>
      <c r="F574" s="189"/>
      <c r="G574" s="191">
        <f t="shared" si="45"/>
        <v>0</v>
      </c>
      <c r="H574" s="191">
        <f t="shared" si="45"/>
        <v>2906.7</v>
      </c>
      <c r="I574" s="192">
        <f t="shared" si="44"/>
        <v>2906.7</v>
      </c>
    </row>
    <row r="575" spans="1:9" s="446" customFormat="1" x14ac:dyDescent="0.2">
      <c r="A575" s="189" t="s">
        <v>1355</v>
      </c>
      <c r="B575" s="189"/>
      <c r="C575" s="189" t="s">
        <v>512</v>
      </c>
      <c r="D575" s="189" t="s">
        <v>502</v>
      </c>
      <c r="E575" s="189" t="s">
        <v>1732</v>
      </c>
      <c r="F575" s="190" t="s">
        <v>824</v>
      </c>
      <c r="G575" s="191">
        <f t="shared" si="45"/>
        <v>0</v>
      </c>
      <c r="H575" s="191">
        <f t="shared" si="45"/>
        <v>2906.7</v>
      </c>
      <c r="I575" s="192">
        <f t="shared" si="44"/>
        <v>2906.7</v>
      </c>
    </row>
    <row r="576" spans="1:9" s="446" customFormat="1" x14ac:dyDescent="0.2">
      <c r="A576" s="189" t="s">
        <v>823</v>
      </c>
      <c r="B576" s="189"/>
      <c r="C576" s="189" t="s">
        <v>512</v>
      </c>
      <c r="D576" s="189" t="s">
        <v>502</v>
      </c>
      <c r="E576" s="189" t="s">
        <v>1732</v>
      </c>
      <c r="F576" s="190" t="s">
        <v>821</v>
      </c>
      <c r="G576" s="191">
        <v>0</v>
      </c>
      <c r="H576" s="191">
        <v>2906.7</v>
      </c>
      <c r="I576" s="192">
        <f t="shared" si="44"/>
        <v>2906.7</v>
      </c>
    </row>
    <row r="577" spans="1:9" s="303" customFormat="1" x14ac:dyDescent="0.2">
      <c r="A577" s="189" t="s">
        <v>602</v>
      </c>
      <c r="B577" s="190"/>
      <c r="C577" s="189" t="s">
        <v>512</v>
      </c>
      <c r="D577" s="189" t="s">
        <v>502</v>
      </c>
      <c r="E577" s="189" t="s">
        <v>941</v>
      </c>
      <c r="F577" s="190"/>
      <c r="G577" s="191">
        <f>G578</f>
        <v>4548</v>
      </c>
      <c r="H577" s="191">
        <f>H578</f>
        <v>4548</v>
      </c>
      <c r="I577" s="192">
        <f t="shared" si="44"/>
        <v>0</v>
      </c>
    </row>
    <row r="578" spans="1:9" s="303" customFormat="1" ht="24" x14ac:dyDescent="0.2">
      <c r="A578" s="189" t="s">
        <v>600</v>
      </c>
      <c r="B578" s="190"/>
      <c r="C578" s="189" t="s">
        <v>512</v>
      </c>
      <c r="D578" s="189" t="s">
        <v>502</v>
      </c>
      <c r="E578" s="189" t="s">
        <v>940</v>
      </c>
      <c r="F578" s="190"/>
      <c r="G578" s="191">
        <f>G579+G582+G585+G588</f>
        <v>4548</v>
      </c>
      <c r="H578" s="191">
        <f>H579+H582+H585+H588</f>
        <v>4548</v>
      </c>
      <c r="I578" s="192">
        <f t="shared" si="44"/>
        <v>0</v>
      </c>
    </row>
    <row r="579" spans="1:9" s="303" customFormat="1" ht="36" x14ac:dyDescent="0.2">
      <c r="A579" s="189" t="s">
        <v>1025</v>
      </c>
      <c r="B579" s="190"/>
      <c r="C579" s="189" t="s">
        <v>512</v>
      </c>
      <c r="D579" s="189" t="s">
        <v>502</v>
      </c>
      <c r="E579" s="189" t="s">
        <v>1425</v>
      </c>
      <c r="F579" s="190"/>
      <c r="G579" s="191">
        <f>G580</f>
        <v>594</v>
      </c>
      <c r="H579" s="191">
        <f>H580</f>
        <v>594</v>
      </c>
      <c r="I579" s="192">
        <f t="shared" si="44"/>
        <v>0</v>
      </c>
    </row>
    <row r="580" spans="1:9" s="303" customFormat="1" x14ac:dyDescent="0.2">
      <c r="A580" s="189" t="s">
        <v>1347</v>
      </c>
      <c r="B580" s="190"/>
      <c r="C580" s="189" t="s">
        <v>512</v>
      </c>
      <c r="D580" s="189" t="s">
        <v>502</v>
      </c>
      <c r="E580" s="189" t="s">
        <v>1425</v>
      </c>
      <c r="F580" s="190" t="s">
        <v>535</v>
      </c>
      <c r="G580" s="191">
        <f>G581</f>
        <v>594</v>
      </c>
      <c r="H580" s="191">
        <f>H581</f>
        <v>594</v>
      </c>
      <c r="I580" s="192">
        <f t="shared" si="44"/>
        <v>0</v>
      </c>
    </row>
    <row r="581" spans="1:9" s="303" customFormat="1" ht="24" x14ac:dyDescent="0.2">
      <c r="A581" s="189" t="s">
        <v>534</v>
      </c>
      <c r="B581" s="190"/>
      <c r="C581" s="189" t="s">
        <v>512</v>
      </c>
      <c r="D581" s="189" t="s">
        <v>502</v>
      </c>
      <c r="E581" s="189" t="s">
        <v>1425</v>
      </c>
      <c r="F581" s="190" t="s">
        <v>529</v>
      </c>
      <c r="G581" s="191">
        <f>806-212</f>
        <v>594</v>
      </c>
      <c r="H581" s="191">
        <f>806-212</f>
        <v>594</v>
      </c>
      <c r="I581" s="192">
        <f t="shared" si="44"/>
        <v>0</v>
      </c>
    </row>
    <row r="582" spans="1:9" s="303" customFormat="1" ht="36" x14ac:dyDescent="0.2">
      <c r="A582" s="189" t="s">
        <v>1023</v>
      </c>
      <c r="B582" s="190"/>
      <c r="C582" s="189" t="s">
        <v>512</v>
      </c>
      <c r="D582" s="189" t="s">
        <v>502</v>
      </c>
      <c r="E582" s="189" t="s">
        <v>1426</v>
      </c>
      <c r="F582" s="190"/>
      <c r="G582" s="191">
        <f>G583</f>
        <v>1644</v>
      </c>
      <c r="H582" s="191">
        <f>H583</f>
        <v>1644</v>
      </c>
      <c r="I582" s="192">
        <f t="shared" si="44"/>
        <v>0</v>
      </c>
    </row>
    <row r="583" spans="1:9" s="303" customFormat="1" x14ac:dyDescent="0.2">
      <c r="A583" s="189" t="s">
        <v>1347</v>
      </c>
      <c r="B583" s="190"/>
      <c r="C583" s="189" t="s">
        <v>512</v>
      </c>
      <c r="D583" s="189" t="s">
        <v>502</v>
      </c>
      <c r="E583" s="189" t="s">
        <v>1426</v>
      </c>
      <c r="F583" s="190" t="s">
        <v>535</v>
      </c>
      <c r="G583" s="191">
        <f>G584</f>
        <v>1644</v>
      </c>
      <c r="H583" s="191">
        <f>H584</f>
        <v>1644</v>
      </c>
      <c r="I583" s="192">
        <f t="shared" si="44"/>
        <v>0</v>
      </c>
    </row>
    <row r="584" spans="1:9" s="303" customFormat="1" ht="24" x14ac:dyDescent="0.2">
      <c r="A584" s="189" t="s">
        <v>534</v>
      </c>
      <c r="B584" s="190"/>
      <c r="C584" s="189" t="s">
        <v>512</v>
      </c>
      <c r="D584" s="189" t="s">
        <v>502</v>
      </c>
      <c r="E584" s="189" t="s">
        <v>1426</v>
      </c>
      <c r="F584" s="190" t="s">
        <v>529</v>
      </c>
      <c r="G584" s="191">
        <v>1644</v>
      </c>
      <c r="H584" s="191">
        <v>1644</v>
      </c>
      <c r="I584" s="192">
        <f t="shared" si="44"/>
        <v>0</v>
      </c>
    </row>
    <row r="585" spans="1:9" s="303" customFormat="1" ht="36" x14ac:dyDescent="0.2">
      <c r="A585" s="189" t="s">
        <v>1024</v>
      </c>
      <c r="B585" s="190"/>
      <c r="C585" s="189" t="s">
        <v>512</v>
      </c>
      <c r="D585" s="189" t="s">
        <v>502</v>
      </c>
      <c r="E585" s="189" t="s">
        <v>1427</v>
      </c>
      <c r="F585" s="190"/>
      <c r="G585" s="191">
        <f>G586</f>
        <v>1214</v>
      </c>
      <c r="H585" s="191">
        <f>H586</f>
        <v>1214</v>
      </c>
      <c r="I585" s="192">
        <f t="shared" si="44"/>
        <v>0</v>
      </c>
    </row>
    <row r="586" spans="1:9" s="303" customFormat="1" x14ac:dyDescent="0.2">
      <c r="A586" s="189" t="s">
        <v>1347</v>
      </c>
      <c r="B586" s="190"/>
      <c r="C586" s="189" t="s">
        <v>512</v>
      </c>
      <c r="D586" s="189" t="s">
        <v>502</v>
      </c>
      <c r="E586" s="189" t="s">
        <v>1427</v>
      </c>
      <c r="F586" s="190" t="s">
        <v>535</v>
      </c>
      <c r="G586" s="191">
        <f>G587</f>
        <v>1214</v>
      </c>
      <c r="H586" s="191">
        <f>H587</f>
        <v>1214</v>
      </c>
      <c r="I586" s="192">
        <f t="shared" si="44"/>
        <v>0</v>
      </c>
    </row>
    <row r="587" spans="1:9" s="303" customFormat="1" ht="24" x14ac:dyDescent="0.2">
      <c r="A587" s="189" t="s">
        <v>534</v>
      </c>
      <c r="B587" s="190"/>
      <c r="C587" s="189" t="s">
        <v>512</v>
      </c>
      <c r="D587" s="189" t="s">
        <v>502</v>
      </c>
      <c r="E587" s="189" t="s">
        <v>1427</v>
      </c>
      <c r="F587" s="190" t="s">
        <v>529</v>
      </c>
      <c r="G587" s="191">
        <f>1454-240</f>
        <v>1214</v>
      </c>
      <c r="H587" s="191">
        <f>1454-240</f>
        <v>1214</v>
      </c>
      <c r="I587" s="192">
        <f t="shared" si="44"/>
        <v>0</v>
      </c>
    </row>
    <row r="588" spans="1:9" s="303" customFormat="1" ht="36" x14ac:dyDescent="0.2">
      <c r="A588" s="189" t="s">
        <v>1023</v>
      </c>
      <c r="B588" s="190"/>
      <c r="C588" s="189" t="s">
        <v>512</v>
      </c>
      <c r="D588" s="189" t="s">
        <v>502</v>
      </c>
      <c r="E588" s="189" t="s">
        <v>1428</v>
      </c>
      <c r="F588" s="190"/>
      <c r="G588" s="191">
        <f>G589</f>
        <v>1096</v>
      </c>
      <c r="H588" s="191">
        <f>H589</f>
        <v>1096</v>
      </c>
      <c r="I588" s="192">
        <f t="shared" si="44"/>
        <v>0</v>
      </c>
    </row>
    <row r="589" spans="1:9" s="303" customFormat="1" ht="36" x14ac:dyDescent="0.2">
      <c r="A589" s="189" t="s">
        <v>1348</v>
      </c>
      <c r="B589" s="190"/>
      <c r="C589" s="189" t="s">
        <v>512</v>
      </c>
      <c r="D589" s="189" t="s">
        <v>502</v>
      </c>
      <c r="E589" s="189" t="s">
        <v>1428</v>
      </c>
      <c r="F589" s="190" t="s">
        <v>556</v>
      </c>
      <c r="G589" s="191">
        <f>G590</f>
        <v>1096</v>
      </c>
      <c r="H589" s="191">
        <f>H590</f>
        <v>1096</v>
      </c>
      <c r="I589" s="192">
        <f t="shared" si="44"/>
        <v>0</v>
      </c>
    </row>
    <row r="590" spans="1:9" s="303" customFormat="1" x14ac:dyDescent="0.2">
      <c r="A590" s="189" t="s">
        <v>555</v>
      </c>
      <c r="B590" s="190"/>
      <c r="C590" s="189" t="s">
        <v>512</v>
      </c>
      <c r="D590" s="189" t="s">
        <v>502</v>
      </c>
      <c r="E590" s="189" t="s">
        <v>1428</v>
      </c>
      <c r="F590" s="190" t="s">
        <v>554</v>
      </c>
      <c r="G590" s="191">
        <v>1096</v>
      </c>
      <c r="H590" s="191">
        <v>1096</v>
      </c>
      <c r="I590" s="192">
        <f t="shared" si="44"/>
        <v>0</v>
      </c>
    </row>
    <row r="591" spans="1:9" x14ac:dyDescent="0.2">
      <c r="A591" s="189" t="s">
        <v>986</v>
      </c>
      <c r="B591" s="190"/>
      <c r="C591" s="189" t="s">
        <v>512</v>
      </c>
      <c r="D591" s="189" t="s">
        <v>502</v>
      </c>
      <c r="E591" s="189" t="s">
        <v>985</v>
      </c>
      <c r="F591" s="190"/>
      <c r="G591" s="191">
        <f t="shared" ref="G591:H593" si="46">G592</f>
        <v>1680.7</v>
      </c>
      <c r="H591" s="191">
        <f t="shared" si="46"/>
        <v>1680.7</v>
      </c>
      <c r="I591" s="192">
        <f t="shared" si="44"/>
        <v>0</v>
      </c>
    </row>
    <row r="592" spans="1:9" ht="24" x14ac:dyDescent="0.2">
      <c r="A592" s="189" t="s">
        <v>1022</v>
      </c>
      <c r="B592" s="190"/>
      <c r="C592" s="189" t="s">
        <v>512</v>
      </c>
      <c r="D592" s="189" t="s">
        <v>502</v>
      </c>
      <c r="E592" s="189" t="s">
        <v>1021</v>
      </c>
      <c r="F592" s="190"/>
      <c r="G592" s="191">
        <f t="shared" si="46"/>
        <v>1680.7</v>
      </c>
      <c r="H592" s="191">
        <f t="shared" si="46"/>
        <v>1680.7</v>
      </c>
      <c r="I592" s="192">
        <f t="shared" si="44"/>
        <v>0</v>
      </c>
    </row>
    <row r="593" spans="1:9" ht="24" x14ac:dyDescent="0.2">
      <c r="A593" s="189" t="s">
        <v>1020</v>
      </c>
      <c r="B593" s="190"/>
      <c r="C593" s="189" t="s">
        <v>512</v>
      </c>
      <c r="D593" s="189" t="s">
        <v>502</v>
      </c>
      <c r="E593" s="189" t="s">
        <v>1019</v>
      </c>
      <c r="F593" s="190"/>
      <c r="G593" s="191">
        <f t="shared" si="46"/>
        <v>1680.7</v>
      </c>
      <c r="H593" s="191">
        <f t="shared" si="46"/>
        <v>1680.7</v>
      </c>
      <c r="I593" s="192">
        <f t="shared" si="44"/>
        <v>0</v>
      </c>
    </row>
    <row r="594" spans="1:9" x14ac:dyDescent="0.2">
      <c r="A594" s="189" t="s">
        <v>1018</v>
      </c>
      <c r="B594" s="190"/>
      <c r="C594" s="189" t="s">
        <v>512</v>
      </c>
      <c r="D594" s="189" t="s">
        <v>502</v>
      </c>
      <c r="E594" s="189" t="s">
        <v>1017</v>
      </c>
      <c r="F594" s="190"/>
      <c r="G594" s="191">
        <f>G595+G597</f>
        <v>1680.7</v>
      </c>
      <c r="H594" s="191">
        <f>H595+H597</f>
        <v>1680.7</v>
      </c>
      <c r="I594" s="192">
        <f t="shared" si="44"/>
        <v>0</v>
      </c>
    </row>
    <row r="595" spans="1:9" x14ac:dyDescent="0.2">
      <c r="A595" s="189" t="s">
        <v>1347</v>
      </c>
      <c r="B595" s="190"/>
      <c r="C595" s="189" t="s">
        <v>512</v>
      </c>
      <c r="D595" s="189" t="s">
        <v>502</v>
      </c>
      <c r="E595" s="189" t="s">
        <v>1017</v>
      </c>
      <c r="F595" s="190" t="s">
        <v>535</v>
      </c>
      <c r="G595" s="191">
        <f>G596</f>
        <v>500</v>
      </c>
      <c r="H595" s="191">
        <f>H596</f>
        <v>500</v>
      </c>
      <c r="I595" s="192">
        <f t="shared" si="44"/>
        <v>0</v>
      </c>
    </row>
    <row r="596" spans="1:9" ht="24" x14ac:dyDescent="0.2">
      <c r="A596" s="189" t="s">
        <v>534</v>
      </c>
      <c r="B596" s="190"/>
      <c r="C596" s="189" t="s">
        <v>512</v>
      </c>
      <c r="D596" s="189" t="s">
        <v>502</v>
      </c>
      <c r="E596" s="189" t="s">
        <v>1017</v>
      </c>
      <c r="F596" s="190" t="s">
        <v>529</v>
      </c>
      <c r="G596" s="191">
        <v>500</v>
      </c>
      <c r="H596" s="191">
        <v>500</v>
      </c>
      <c r="I596" s="192">
        <f t="shared" si="44"/>
        <v>0</v>
      </c>
    </row>
    <row r="597" spans="1:9" x14ac:dyDescent="0.2">
      <c r="A597" s="189" t="s">
        <v>615</v>
      </c>
      <c r="B597" s="190"/>
      <c r="C597" s="189" t="s">
        <v>512</v>
      </c>
      <c r="D597" s="189" t="s">
        <v>502</v>
      </c>
      <c r="E597" s="189" t="s">
        <v>1017</v>
      </c>
      <c r="F597" s="190" t="s">
        <v>509</v>
      </c>
      <c r="G597" s="191">
        <f>G598</f>
        <v>1180.7</v>
      </c>
      <c r="H597" s="191">
        <f>H598</f>
        <v>1180.7</v>
      </c>
      <c r="I597" s="192">
        <f t="shared" si="44"/>
        <v>0</v>
      </c>
    </row>
    <row r="598" spans="1:9" ht="24" x14ac:dyDescent="0.2">
      <c r="A598" s="189" t="s">
        <v>1346</v>
      </c>
      <c r="B598" s="190"/>
      <c r="C598" s="189" t="s">
        <v>512</v>
      </c>
      <c r="D598" s="189" t="s">
        <v>502</v>
      </c>
      <c r="E598" s="189" t="s">
        <v>1017</v>
      </c>
      <c r="F598" s="190" t="s">
        <v>511</v>
      </c>
      <c r="G598" s="191">
        <v>1180.7</v>
      </c>
      <c r="H598" s="191">
        <v>1180.7</v>
      </c>
      <c r="I598" s="192">
        <f t="shared" si="44"/>
        <v>0</v>
      </c>
    </row>
    <row r="599" spans="1:9" x14ac:dyDescent="0.2">
      <c r="A599" s="189" t="s">
        <v>1016</v>
      </c>
      <c r="B599" s="190"/>
      <c r="C599" s="189" t="s">
        <v>512</v>
      </c>
      <c r="D599" s="189" t="s">
        <v>531</v>
      </c>
      <c r="E599" s="189"/>
      <c r="F599" s="190"/>
      <c r="G599" s="191">
        <f>G600+G626+G659+G665+G644</f>
        <v>851977.6</v>
      </c>
      <c r="H599" s="191">
        <f>H600+H626+H659+H665+H644+H650</f>
        <v>864853.39999999991</v>
      </c>
      <c r="I599" s="192">
        <f t="shared" si="44"/>
        <v>12875.79999999993</v>
      </c>
    </row>
    <row r="600" spans="1:9" x14ac:dyDescent="0.2">
      <c r="A600" s="189" t="s">
        <v>923</v>
      </c>
      <c r="B600" s="190"/>
      <c r="C600" s="189" t="s">
        <v>512</v>
      </c>
      <c r="D600" s="189" t="s">
        <v>531</v>
      </c>
      <c r="E600" s="189" t="s">
        <v>922</v>
      </c>
      <c r="F600" s="190"/>
      <c r="G600" s="191">
        <f>G601</f>
        <v>57834.600000000006</v>
      </c>
      <c r="H600" s="191">
        <f>H601</f>
        <v>60582.6</v>
      </c>
      <c r="I600" s="192">
        <f t="shared" si="44"/>
        <v>2747.9999999999927</v>
      </c>
    </row>
    <row r="601" spans="1:9" x14ac:dyDescent="0.2">
      <c r="A601" s="189" t="s">
        <v>921</v>
      </c>
      <c r="B601" s="190"/>
      <c r="C601" s="189" t="s">
        <v>512</v>
      </c>
      <c r="D601" s="189" t="s">
        <v>531</v>
      </c>
      <c r="E601" s="189" t="s">
        <v>920</v>
      </c>
      <c r="F601" s="190"/>
      <c r="G601" s="191">
        <f>G602</f>
        <v>57834.600000000006</v>
      </c>
      <c r="H601" s="191">
        <f>H602</f>
        <v>60582.6</v>
      </c>
      <c r="I601" s="192">
        <f t="shared" si="44"/>
        <v>2747.9999999999927</v>
      </c>
    </row>
    <row r="602" spans="1:9" ht="24" x14ac:dyDescent="0.2">
      <c r="A602" s="189" t="s">
        <v>1015</v>
      </c>
      <c r="B602" s="190"/>
      <c r="C602" s="189" t="s">
        <v>512</v>
      </c>
      <c r="D602" s="189" t="s">
        <v>531</v>
      </c>
      <c r="E602" s="189" t="s">
        <v>1014</v>
      </c>
      <c r="F602" s="190"/>
      <c r="G602" s="191">
        <f>G609+G612+G615+G620+G623+G603+G606</f>
        <v>57834.600000000006</v>
      </c>
      <c r="H602" s="191">
        <f>H609+H612+H615+H620+H623+H603+H606</f>
        <v>60582.6</v>
      </c>
      <c r="I602" s="192">
        <f t="shared" si="44"/>
        <v>2747.9999999999927</v>
      </c>
    </row>
    <row r="603" spans="1:9" s="236" customFormat="1" x14ac:dyDescent="0.2">
      <c r="A603" s="189" t="s">
        <v>917</v>
      </c>
      <c r="B603" s="190"/>
      <c r="C603" s="189" t="s">
        <v>512</v>
      </c>
      <c r="D603" s="189" t="s">
        <v>531</v>
      </c>
      <c r="E603" s="189" t="s">
        <v>1377</v>
      </c>
      <c r="F603" s="190"/>
      <c r="G603" s="191">
        <f>G604</f>
        <v>100</v>
      </c>
      <c r="H603" s="191">
        <f>H604</f>
        <v>100</v>
      </c>
      <c r="I603" s="192">
        <f t="shared" si="44"/>
        <v>0</v>
      </c>
    </row>
    <row r="604" spans="1:9" s="236" customFormat="1" x14ac:dyDescent="0.2">
      <c r="A604" s="189" t="s">
        <v>1347</v>
      </c>
      <c r="B604" s="190"/>
      <c r="C604" s="189" t="s">
        <v>512</v>
      </c>
      <c r="D604" s="189" t="s">
        <v>531</v>
      </c>
      <c r="E604" s="189" t="s">
        <v>1377</v>
      </c>
      <c r="F604" s="190">
        <v>200</v>
      </c>
      <c r="G604" s="191">
        <f>G605</f>
        <v>100</v>
      </c>
      <c r="H604" s="191">
        <f>H605</f>
        <v>100</v>
      </c>
      <c r="I604" s="192">
        <f t="shared" si="44"/>
        <v>0</v>
      </c>
    </row>
    <row r="605" spans="1:9" s="236" customFormat="1" ht="24" x14ac:dyDescent="0.2">
      <c r="A605" s="189" t="s">
        <v>534</v>
      </c>
      <c r="B605" s="190"/>
      <c r="C605" s="189" t="s">
        <v>512</v>
      </c>
      <c r="D605" s="189" t="s">
        <v>531</v>
      </c>
      <c r="E605" s="189" t="s">
        <v>1377</v>
      </c>
      <c r="F605" s="190">
        <v>240</v>
      </c>
      <c r="G605" s="191">
        <v>100</v>
      </c>
      <c r="H605" s="191">
        <v>100</v>
      </c>
      <c r="I605" s="192">
        <f t="shared" si="44"/>
        <v>0</v>
      </c>
    </row>
    <row r="606" spans="1:9" s="370" customFormat="1" ht="24" x14ac:dyDescent="0.2">
      <c r="A606" s="189" t="s">
        <v>1529</v>
      </c>
      <c r="B606" s="190"/>
      <c r="C606" s="189" t="s">
        <v>512</v>
      </c>
      <c r="D606" s="189" t="s">
        <v>531</v>
      </c>
      <c r="E606" s="189" t="s">
        <v>1486</v>
      </c>
      <c r="F606" s="190"/>
      <c r="G606" s="191">
        <f>G607</f>
        <v>5150</v>
      </c>
      <c r="H606" s="191">
        <f>H607</f>
        <v>5150</v>
      </c>
      <c r="I606" s="192">
        <f t="shared" si="44"/>
        <v>0</v>
      </c>
    </row>
    <row r="607" spans="1:9" s="388" customFormat="1" ht="24" x14ac:dyDescent="0.2">
      <c r="A607" s="189" t="s">
        <v>547</v>
      </c>
      <c r="B607" s="190"/>
      <c r="C607" s="189" t="s">
        <v>512</v>
      </c>
      <c r="D607" s="189" t="s">
        <v>531</v>
      </c>
      <c r="E607" s="189" t="s">
        <v>1486</v>
      </c>
      <c r="F607" s="190">
        <v>600</v>
      </c>
      <c r="G607" s="191">
        <f>G608</f>
        <v>5150</v>
      </c>
      <c r="H607" s="191">
        <f>H608</f>
        <v>5150</v>
      </c>
      <c r="I607" s="192">
        <f>H607-G607</f>
        <v>0</v>
      </c>
    </row>
    <row r="608" spans="1:9" s="388" customFormat="1" x14ac:dyDescent="0.2">
      <c r="A608" s="189" t="s">
        <v>571</v>
      </c>
      <c r="B608" s="190"/>
      <c r="C608" s="189" t="s">
        <v>512</v>
      </c>
      <c r="D608" s="189" t="s">
        <v>531</v>
      </c>
      <c r="E608" s="189" t="s">
        <v>1486</v>
      </c>
      <c r="F608" s="190">
        <v>610</v>
      </c>
      <c r="G608" s="191">
        <f>4000+2000-850</f>
        <v>5150</v>
      </c>
      <c r="H608" s="191">
        <f>4000+2000-850</f>
        <v>5150</v>
      </c>
      <c r="I608" s="192">
        <f>H608-G608</f>
        <v>0</v>
      </c>
    </row>
    <row r="609" spans="1:9" ht="24" x14ac:dyDescent="0.2">
      <c r="A609" s="189" t="s">
        <v>1013</v>
      </c>
      <c r="B609" s="190"/>
      <c r="C609" s="189" t="s">
        <v>512</v>
      </c>
      <c r="D609" s="189" t="s">
        <v>531</v>
      </c>
      <c r="E609" s="189" t="s">
        <v>1012</v>
      </c>
      <c r="F609" s="190"/>
      <c r="G609" s="191">
        <f>G610</f>
        <v>16776.2</v>
      </c>
      <c r="H609" s="191">
        <f>H610</f>
        <v>21776</v>
      </c>
      <c r="I609" s="192">
        <f t="shared" si="44"/>
        <v>4999.7999999999993</v>
      </c>
    </row>
    <row r="610" spans="1:9" x14ac:dyDescent="0.2">
      <c r="A610" s="189" t="s">
        <v>1347</v>
      </c>
      <c r="B610" s="190"/>
      <c r="C610" s="189" t="s">
        <v>512</v>
      </c>
      <c r="D610" s="189" t="s">
        <v>531</v>
      </c>
      <c r="E610" s="189" t="s">
        <v>1012</v>
      </c>
      <c r="F610" s="190" t="s">
        <v>535</v>
      </c>
      <c r="G610" s="191">
        <f>G611</f>
        <v>16776.2</v>
      </c>
      <c r="H610" s="191">
        <f>H611</f>
        <v>21776</v>
      </c>
      <c r="I610" s="192">
        <f t="shared" si="44"/>
        <v>4999.7999999999993</v>
      </c>
    </row>
    <row r="611" spans="1:9" ht="24" x14ac:dyDescent="0.2">
      <c r="A611" s="189" t="s">
        <v>534</v>
      </c>
      <c r="B611" s="190"/>
      <c r="C611" s="189" t="s">
        <v>512</v>
      </c>
      <c r="D611" s="189" t="s">
        <v>531</v>
      </c>
      <c r="E611" s="189" t="s">
        <v>1012</v>
      </c>
      <c r="F611" s="190" t="s">
        <v>529</v>
      </c>
      <c r="G611" s="191">
        <f>15276.2+1500</f>
        <v>16776.2</v>
      </c>
      <c r="H611" s="191">
        <f>15276.2+1500+2156.8+2843</f>
        <v>21776</v>
      </c>
      <c r="I611" s="192">
        <f t="shared" si="44"/>
        <v>4999.7999999999993</v>
      </c>
    </row>
    <row r="612" spans="1:9" ht="24" x14ac:dyDescent="0.2">
      <c r="A612" s="189" t="s">
        <v>1007</v>
      </c>
      <c r="B612" s="190"/>
      <c r="C612" s="189" t="s">
        <v>512</v>
      </c>
      <c r="D612" s="189" t="s">
        <v>531</v>
      </c>
      <c r="E612" s="189" t="s">
        <v>1011</v>
      </c>
      <c r="F612" s="190"/>
      <c r="G612" s="191">
        <f>G613</f>
        <v>9763.1</v>
      </c>
      <c r="H612" s="191">
        <f>H613</f>
        <v>9599.5</v>
      </c>
      <c r="I612" s="192">
        <f t="shared" si="44"/>
        <v>-163.60000000000036</v>
      </c>
    </row>
    <row r="613" spans="1:9" x14ac:dyDescent="0.2">
      <c r="A613" s="189" t="s">
        <v>1347</v>
      </c>
      <c r="B613" s="190"/>
      <c r="C613" s="189" t="s">
        <v>512</v>
      </c>
      <c r="D613" s="189" t="s">
        <v>531</v>
      </c>
      <c r="E613" s="189" t="s">
        <v>1011</v>
      </c>
      <c r="F613" s="190" t="s">
        <v>535</v>
      </c>
      <c r="G613" s="191">
        <f>G614</f>
        <v>9763.1</v>
      </c>
      <c r="H613" s="191">
        <f>H614</f>
        <v>9599.5</v>
      </c>
      <c r="I613" s="192">
        <f t="shared" si="44"/>
        <v>-163.60000000000036</v>
      </c>
    </row>
    <row r="614" spans="1:9" ht="24" x14ac:dyDescent="0.2">
      <c r="A614" s="189" t="s">
        <v>534</v>
      </c>
      <c r="B614" s="190"/>
      <c r="C614" s="189" t="s">
        <v>512</v>
      </c>
      <c r="D614" s="189" t="s">
        <v>531</v>
      </c>
      <c r="E614" s="189" t="s">
        <v>1011</v>
      </c>
      <c r="F614" s="190" t="s">
        <v>529</v>
      </c>
      <c r="G614" s="191">
        <f>10829.7-1066.6</f>
        <v>9763.1</v>
      </c>
      <c r="H614" s="191">
        <f>10829.7-1066.6-163.6</f>
        <v>9599.5</v>
      </c>
      <c r="I614" s="192">
        <f t="shared" si="44"/>
        <v>-163.60000000000036</v>
      </c>
    </row>
    <row r="615" spans="1:9" ht="24" x14ac:dyDescent="0.2">
      <c r="A615" s="189" t="s">
        <v>1529</v>
      </c>
      <c r="B615" s="190"/>
      <c r="C615" s="189" t="s">
        <v>512</v>
      </c>
      <c r="D615" s="189" t="s">
        <v>531</v>
      </c>
      <c r="E615" s="189" t="s">
        <v>1010</v>
      </c>
      <c r="F615" s="190"/>
      <c r="G615" s="191">
        <f>G616+G618</f>
        <v>2037.7</v>
      </c>
      <c r="H615" s="191">
        <f>H616+H618</f>
        <v>2037.7</v>
      </c>
      <c r="I615" s="192">
        <f t="shared" si="44"/>
        <v>0</v>
      </c>
    </row>
    <row r="616" spans="1:9" x14ac:dyDescent="0.2">
      <c r="A616" s="189" t="s">
        <v>1347</v>
      </c>
      <c r="B616" s="190"/>
      <c r="C616" s="189" t="s">
        <v>512</v>
      </c>
      <c r="D616" s="189" t="s">
        <v>531</v>
      </c>
      <c r="E616" s="189" t="s">
        <v>1010</v>
      </c>
      <c r="F616" s="190" t="s">
        <v>535</v>
      </c>
      <c r="G616" s="191">
        <f>G617</f>
        <v>346.40000000000009</v>
      </c>
      <c r="H616" s="191">
        <f>H617</f>
        <v>346.40000000000009</v>
      </c>
      <c r="I616" s="192">
        <f t="shared" si="44"/>
        <v>0</v>
      </c>
    </row>
    <row r="617" spans="1:9" ht="24" x14ac:dyDescent="0.2">
      <c r="A617" s="189" t="s">
        <v>534</v>
      </c>
      <c r="B617" s="190"/>
      <c r="C617" s="189" t="s">
        <v>512</v>
      </c>
      <c r="D617" s="189" t="s">
        <v>531</v>
      </c>
      <c r="E617" s="189" t="s">
        <v>1010</v>
      </c>
      <c r="F617" s="190" t="s">
        <v>529</v>
      </c>
      <c r="G617" s="191">
        <f>2037.7-1691.3</f>
        <v>346.40000000000009</v>
      </c>
      <c r="H617" s="191">
        <f>2037.7-1691.3</f>
        <v>346.40000000000009</v>
      </c>
      <c r="I617" s="192">
        <f t="shared" si="44"/>
        <v>0</v>
      </c>
    </row>
    <row r="618" spans="1:9" s="388" customFormat="1" ht="24" x14ac:dyDescent="0.2">
      <c r="A618" s="189" t="s">
        <v>547</v>
      </c>
      <c r="B618" s="190"/>
      <c r="C618" s="189" t="s">
        <v>512</v>
      </c>
      <c r="D618" s="189" t="s">
        <v>531</v>
      </c>
      <c r="E618" s="189" t="s">
        <v>1010</v>
      </c>
      <c r="F618" s="190">
        <v>600</v>
      </c>
      <c r="G618" s="191">
        <f>G619</f>
        <v>1691.3</v>
      </c>
      <c r="H618" s="191">
        <f>H619</f>
        <v>1691.3</v>
      </c>
      <c r="I618" s="192">
        <f>H618-G618</f>
        <v>0</v>
      </c>
    </row>
    <row r="619" spans="1:9" s="388" customFormat="1" x14ac:dyDescent="0.2">
      <c r="A619" s="189" t="s">
        <v>571</v>
      </c>
      <c r="B619" s="190"/>
      <c r="C619" s="189" t="s">
        <v>512</v>
      </c>
      <c r="D619" s="189" t="s">
        <v>531</v>
      </c>
      <c r="E619" s="189" t="s">
        <v>1010</v>
      </c>
      <c r="F619" s="190">
        <v>610</v>
      </c>
      <c r="G619" s="191">
        <v>1691.3</v>
      </c>
      <c r="H619" s="191">
        <v>1691.3</v>
      </c>
      <c r="I619" s="192">
        <f>H619-G619</f>
        <v>0</v>
      </c>
    </row>
    <row r="620" spans="1:9" ht="24" x14ac:dyDescent="0.2">
      <c r="A620" s="189" t="s">
        <v>1009</v>
      </c>
      <c r="B620" s="190"/>
      <c r="C620" s="189" t="s">
        <v>512</v>
      </c>
      <c r="D620" s="189" t="s">
        <v>531</v>
      </c>
      <c r="E620" s="189" t="s">
        <v>1008</v>
      </c>
      <c r="F620" s="190"/>
      <c r="G620" s="191">
        <f>G621</f>
        <v>21351.200000000001</v>
      </c>
      <c r="H620" s="191">
        <f>H621</f>
        <v>19263</v>
      </c>
      <c r="I620" s="192">
        <f t="shared" si="44"/>
        <v>-2088.2000000000007</v>
      </c>
    </row>
    <row r="621" spans="1:9" x14ac:dyDescent="0.2">
      <c r="A621" s="189" t="s">
        <v>1347</v>
      </c>
      <c r="B621" s="190"/>
      <c r="C621" s="189" t="s">
        <v>512</v>
      </c>
      <c r="D621" s="189" t="s">
        <v>531</v>
      </c>
      <c r="E621" s="189" t="s">
        <v>1008</v>
      </c>
      <c r="F621" s="190" t="s">
        <v>535</v>
      </c>
      <c r="G621" s="191">
        <f>G622</f>
        <v>21351.200000000001</v>
      </c>
      <c r="H621" s="191">
        <f>H622</f>
        <v>19263</v>
      </c>
      <c r="I621" s="192">
        <f t="shared" si="44"/>
        <v>-2088.2000000000007</v>
      </c>
    </row>
    <row r="622" spans="1:9" ht="24" x14ac:dyDescent="0.2">
      <c r="A622" s="189" t="s">
        <v>534</v>
      </c>
      <c r="B622" s="190"/>
      <c r="C622" s="189" t="s">
        <v>512</v>
      </c>
      <c r="D622" s="189" t="s">
        <v>531</v>
      </c>
      <c r="E622" s="189" t="s">
        <v>1008</v>
      </c>
      <c r="F622" s="190" t="s">
        <v>529</v>
      </c>
      <c r="G622" s="191">
        <v>21351.200000000001</v>
      </c>
      <c r="H622" s="191">
        <f>21351.2-2088.2</f>
        <v>19263</v>
      </c>
      <c r="I622" s="192">
        <f t="shared" si="44"/>
        <v>-2088.2000000000007</v>
      </c>
    </row>
    <row r="623" spans="1:9" ht="24" x14ac:dyDescent="0.2">
      <c r="A623" s="189" t="s">
        <v>1007</v>
      </c>
      <c r="B623" s="190"/>
      <c r="C623" s="189" t="s">
        <v>512</v>
      </c>
      <c r="D623" s="189" t="s">
        <v>531</v>
      </c>
      <c r="E623" s="189" t="s">
        <v>1006</v>
      </c>
      <c r="F623" s="190"/>
      <c r="G623" s="191">
        <f>G624</f>
        <v>2656.4</v>
      </c>
      <c r="H623" s="191">
        <f>H624</f>
        <v>2656.4</v>
      </c>
      <c r="I623" s="192">
        <f t="shared" si="44"/>
        <v>0</v>
      </c>
    </row>
    <row r="624" spans="1:9" ht="36" x14ac:dyDescent="0.2">
      <c r="A624" s="189" t="s">
        <v>1348</v>
      </c>
      <c r="B624" s="190"/>
      <c r="C624" s="189" t="s">
        <v>512</v>
      </c>
      <c r="D624" s="189" t="s">
        <v>531</v>
      </c>
      <c r="E624" s="189" t="s">
        <v>1006</v>
      </c>
      <c r="F624" s="190" t="s">
        <v>556</v>
      </c>
      <c r="G624" s="191">
        <f>G625</f>
        <v>2656.4</v>
      </c>
      <c r="H624" s="191">
        <f>H625</f>
        <v>2656.4</v>
      </c>
      <c r="I624" s="192">
        <f t="shared" si="44"/>
        <v>0</v>
      </c>
    </row>
    <row r="625" spans="1:9" x14ac:dyDescent="0.2">
      <c r="A625" s="189" t="s">
        <v>555</v>
      </c>
      <c r="B625" s="190"/>
      <c r="C625" s="189" t="s">
        <v>512</v>
      </c>
      <c r="D625" s="189" t="s">
        <v>531</v>
      </c>
      <c r="E625" s="189" t="s">
        <v>1006</v>
      </c>
      <c r="F625" s="190" t="s">
        <v>554</v>
      </c>
      <c r="G625" s="191">
        <v>2656.4</v>
      </c>
      <c r="H625" s="191">
        <v>2656.4</v>
      </c>
      <c r="I625" s="192">
        <f t="shared" si="44"/>
        <v>0</v>
      </c>
    </row>
    <row r="626" spans="1:9" ht="24" x14ac:dyDescent="0.2">
      <c r="A626" s="189" t="s">
        <v>1005</v>
      </c>
      <c r="B626" s="190"/>
      <c r="C626" s="189" t="s">
        <v>512</v>
      </c>
      <c r="D626" s="189" t="s">
        <v>531</v>
      </c>
      <c r="E626" s="189" t="s">
        <v>1004</v>
      </c>
      <c r="F626" s="190"/>
      <c r="G626" s="191">
        <f>G627</f>
        <v>48161.5</v>
      </c>
      <c r="H626" s="191">
        <f>H627</f>
        <v>51161.5</v>
      </c>
      <c r="I626" s="192">
        <f t="shared" si="44"/>
        <v>3000</v>
      </c>
    </row>
    <row r="627" spans="1:9" x14ac:dyDescent="0.2">
      <c r="A627" s="189" t="s">
        <v>1003</v>
      </c>
      <c r="B627" s="190"/>
      <c r="C627" s="189" t="s">
        <v>512</v>
      </c>
      <c r="D627" s="189" t="s">
        <v>531</v>
      </c>
      <c r="E627" s="189" t="s">
        <v>1002</v>
      </c>
      <c r="F627" s="190"/>
      <c r="G627" s="191">
        <f>G628</f>
        <v>48161.5</v>
      </c>
      <c r="H627" s="191">
        <f>H628</f>
        <v>51161.5</v>
      </c>
      <c r="I627" s="192">
        <f t="shared" si="44"/>
        <v>3000</v>
      </c>
    </row>
    <row r="628" spans="1:9" x14ac:dyDescent="0.2">
      <c r="A628" s="189" t="s">
        <v>1640</v>
      </c>
      <c r="B628" s="190"/>
      <c r="C628" s="189" t="s">
        <v>512</v>
      </c>
      <c r="D628" s="189" t="s">
        <v>531</v>
      </c>
      <c r="E628" s="189" t="s">
        <v>998</v>
      </c>
      <c r="F628" s="190"/>
      <c r="G628" s="191">
        <f>G629+G634+G637</f>
        <v>48161.5</v>
      </c>
      <c r="H628" s="191">
        <f>H629+H634+H637</f>
        <v>51161.5</v>
      </c>
      <c r="I628" s="192">
        <f t="shared" si="44"/>
        <v>3000</v>
      </c>
    </row>
    <row r="629" spans="1:9" x14ac:dyDescent="0.2">
      <c r="A629" s="189" t="s">
        <v>1353</v>
      </c>
      <c r="B629" s="190"/>
      <c r="C629" s="189" t="s">
        <v>512</v>
      </c>
      <c r="D629" s="189" t="s">
        <v>531</v>
      </c>
      <c r="E629" s="189" t="s">
        <v>997</v>
      </c>
      <c r="F629" s="190"/>
      <c r="G629" s="191">
        <f>G630+G632</f>
        <v>16504.900000000001</v>
      </c>
      <c r="H629" s="191">
        <f>H630+H632</f>
        <v>16504.900000000001</v>
      </c>
      <c r="I629" s="192">
        <f t="shared" si="44"/>
        <v>0</v>
      </c>
    </row>
    <row r="630" spans="1:9" ht="36" x14ac:dyDescent="0.2">
      <c r="A630" s="189" t="s">
        <v>1348</v>
      </c>
      <c r="B630" s="190"/>
      <c r="C630" s="189" t="s">
        <v>512</v>
      </c>
      <c r="D630" s="189" t="s">
        <v>531</v>
      </c>
      <c r="E630" s="189" t="s">
        <v>997</v>
      </c>
      <c r="F630" s="190" t="s">
        <v>556</v>
      </c>
      <c r="G630" s="191">
        <f>G631</f>
        <v>15908.9</v>
      </c>
      <c r="H630" s="191">
        <f>H631</f>
        <v>15908.9</v>
      </c>
      <c r="I630" s="192">
        <f t="shared" si="44"/>
        <v>0</v>
      </c>
    </row>
    <row r="631" spans="1:9" x14ac:dyDescent="0.2">
      <c r="A631" s="189" t="s">
        <v>555</v>
      </c>
      <c r="B631" s="190"/>
      <c r="C631" s="189" t="s">
        <v>512</v>
      </c>
      <c r="D631" s="189" t="s">
        <v>531</v>
      </c>
      <c r="E631" s="189" t="s">
        <v>997</v>
      </c>
      <c r="F631" s="190" t="s">
        <v>554</v>
      </c>
      <c r="G631" s="191">
        <v>15908.9</v>
      </c>
      <c r="H631" s="191">
        <v>15908.9</v>
      </c>
      <c r="I631" s="192">
        <f t="shared" si="44"/>
        <v>0</v>
      </c>
    </row>
    <row r="632" spans="1:9" x14ac:dyDescent="0.2">
      <c r="A632" s="189" t="s">
        <v>1347</v>
      </c>
      <c r="B632" s="190"/>
      <c r="C632" s="189" t="s">
        <v>512</v>
      </c>
      <c r="D632" s="189" t="s">
        <v>531</v>
      </c>
      <c r="E632" s="189" t="s">
        <v>997</v>
      </c>
      <c r="F632" s="190" t="s">
        <v>535</v>
      </c>
      <c r="G632" s="191">
        <f>G633</f>
        <v>596</v>
      </c>
      <c r="H632" s="191">
        <f>H633</f>
        <v>596</v>
      </c>
      <c r="I632" s="192">
        <f t="shared" si="44"/>
        <v>0</v>
      </c>
    </row>
    <row r="633" spans="1:9" ht="24" x14ac:dyDescent="0.2">
      <c r="A633" s="189" t="s">
        <v>534</v>
      </c>
      <c r="B633" s="190"/>
      <c r="C633" s="189" t="s">
        <v>512</v>
      </c>
      <c r="D633" s="189" t="s">
        <v>531</v>
      </c>
      <c r="E633" s="189" t="s">
        <v>997</v>
      </c>
      <c r="F633" s="190" t="s">
        <v>529</v>
      </c>
      <c r="G633" s="191">
        <f>496+100</f>
        <v>596</v>
      </c>
      <c r="H633" s="191">
        <f>496+100</f>
        <v>596</v>
      </c>
      <c r="I633" s="192">
        <f t="shared" si="44"/>
        <v>0</v>
      </c>
    </row>
    <row r="634" spans="1:9" x14ac:dyDescent="0.2">
      <c r="A634" s="189" t="s">
        <v>1354</v>
      </c>
      <c r="B634" s="190"/>
      <c r="C634" s="189" t="s">
        <v>512</v>
      </c>
      <c r="D634" s="189" t="s">
        <v>531</v>
      </c>
      <c r="E634" s="189" t="s">
        <v>996</v>
      </c>
      <c r="F634" s="190"/>
      <c r="G634" s="191">
        <f>G635</f>
        <v>4000</v>
      </c>
      <c r="H634" s="191">
        <f>H635</f>
        <v>7000</v>
      </c>
      <c r="I634" s="192">
        <f t="shared" si="44"/>
        <v>3000</v>
      </c>
    </row>
    <row r="635" spans="1:9" x14ac:dyDescent="0.2">
      <c r="A635" s="189" t="s">
        <v>1347</v>
      </c>
      <c r="B635" s="190"/>
      <c r="C635" s="189" t="s">
        <v>512</v>
      </c>
      <c r="D635" s="189" t="s">
        <v>531</v>
      </c>
      <c r="E635" s="189" t="s">
        <v>996</v>
      </c>
      <c r="F635" s="190" t="s">
        <v>535</v>
      </c>
      <c r="G635" s="191">
        <f>G636</f>
        <v>4000</v>
      </c>
      <c r="H635" s="191">
        <f>H636</f>
        <v>7000</v>
      </c>
      <c r="I635" s="192">
        <f t="shared" si="44"/>
        <v>3000</v>
      </c>
    </row>
    <row r="636" spans="1:9" ht="24" x14ac:dyDescent="0.2">
      <c r="A636" s="189" t="s">
        <v>534</v>
      </c>
      <c r="B636" s="190"/>
      <c r="C636" s="189" t="s">
        <v>512</v>
      </c>
      <c r="D636" s="189" t="s">
        <v>531</v>
      </c>
      <c r="E636" s="189" t="s">
        <v>996</v>
      </c>
      <c r="F636" s="190" t="s">
        <v>529</v>
      </c>
      <c r="G636" s="191">
        <v>4000</v>
      </c>
      <c r="H636" s="191">
        <f>4000+3000</f>
        <v>7000</v>
      </c>
      <c r="I636" s="192">
        <f t="shared" si="44"/>
        <v>3000</v>
      </c>
    </row>
    <row r="637" spans="1:9" x14ac:dyDescent="0.2">
      <c r="A637" s="189" t="s">
        <v>1354</v>
      </c>
      <c r="B637" s="190"/>
      <c r="C637" s="189" t="s">
        <v>512</v>
      </c>
      <c r="D637" s="189" t="s">
        <v>531</v>
      </c>
      <c r="E637" s="189" t="s">
        <v>995</v>
      </c>
      <c r="F637" s="190"/>
      <c r="G637" s="191">
        <f>G638+G640+G642</f>
        <v>27656.600000000002</v>
      </c>
      <c r="H637" s="191">
        <f>H638+H640+H642</f>
        <v>27656.600000000002</v>
      </c>
      <c r="I637" s="192">
        <f t="shared" si="44"/>
        <v>0</v>
      </c>
    </row>
    <row r="638" spans="1:9" ht="36" x14ac:dyDescent="0.2">
      <c r="A638" s="189" t="s">
        <v>1348</v>
      </c>
      <c r="B638" s="190"/>
      <c r="C638" s="189" t="s">
        <v>512</v>
      </c>
      <c r="D638" s="189" t="s">
        <v>531</v>
      </c>
      <c r="E638" s="189" t="s">
        <v>995</v>
      </c>
      <c r="F638" s="190" t="s">
        <v>556</v>
      </c>
      <c r="G638" s="191">
        <f>G639</f>
        <v>22537.7</v>
      </c>
      <c r="H638" s="191">
        <f>H639</f>
        <v>22537.7</v>
      </c>
      <c r="I638" s="192">
        <f t="shared" si="44"/>
        <v>0</v>
      </c>
    </row>
    <row r="639" spans="1:9" x14ac:dyDescent="0.2">
      <c r="A639" s="189" t="s">
        <v>555</v>
      </c>
      <c r="B639" s="190"/>
      <c r="C639" s="189" t="s">
        <v>512</v>
      </c>
      <c r="D639" s="189" t="s">
        <v>531</v>
      </c>
      <c r="E639" s="189" t="s">
        <v>995</v>
      </c>
      <c r="F639" s="190" t="s">
        <v>554</v>
      </c>
      <c r="G639" s="191">
        <f>23864.9-1327.2</f>
        <v>22537.7</v>
      </c>
      <c r="H639" s="191">
        <f>23864.9-1327.2</f>
        <v>22537.7</v>
      </c>
      <c r="I639" s="192">
        <f t="shared" si="44"/>
        <v>0</v>
      </c>
    </row>
    <row r="640" spans="1:9" x14ac:dyDescent="0.2">
      <c r="A640" s="189" t="s">
        <v>1347</v>
      </c>
      <c r="B640" s="190"/>
      <c r="C640" s="189" t="s">
        <v>512</v>
      </c>
      <c r="D640" s="189" t="s">
        <v>531</v>
      </c>
      <c r="E640" s="189" t="s">
        <v>995</v>
      </c>
      <c r="F640" s="190" t="s">
        <v>535</v>
      </c>
      <c r="G640" s="191">
        <f>G641</f>
        <v>5007.7</v>
      </c>
      <c r="H640" s="191">
        <f>H641</f>
        <v>5007.7</v>
      </c>
      <c r="I640" s="192">
        <f t="shared" si="44"/>
        <v>0</v>
      </c>
    </row>
    <row r="641" spans="1:9" ht="24" x14ac:dyDescent="0.2">
      <c r="A641" s="189" t="s">
        <v>534</v>
      </c>
      <c r="B641" s="190"/>
      <c r="C641" s="189" t="s">
        <v>512</v>
      </c>
      <c r="D641" s="189" t="s">
        <v>531</v>
      </c>
      <c r="E641" s="189" t="s">
        <v>995</v>
      </c>
      <c r="F641" s="190" t="s">
        <v>529</v>
      </c>
      <c r="G641" s="191">
        <f>4987.7-24+44</f>
        <v>5007.7</v>
      </c>
      <c r="H641" s="191">
        <f>4987.7-24+44</f>
        <v>5007.7</v>
      </c>
      <c r="I641" s="192">
        <f t="shared" si="44"/>
        <v>0</v>
      </c>
    </row>
    <row r="642" spans="1:9" x14ac:dyDescent="0.2">
      <c r="A642" s="189" t="s">
        <v>615</v>
      </c>
      <c r="B642" s="190"/>
      <c r="C642" s="189" t="s">
        <v>512</v>
      </c>
      <c r="D642" s="189" t="s">
        <v>531</v>
      </c>
      <c r="E642" s="189" t="s">
        <v>995</v>
      </c>
      <c r="F642" s="190" t="s">
        <v>509</v>
      </c>
      <c r="G642" s="191">
        <f>G643</f>
        <v>111.19999999999999</v>
      </c>
      <c r="H642" s="191">
        <f>H643</f>
        <v>111.19999999999999</v>
      </c>
      <c r="I642" s="192">
        <f t="shared" si="44"/>
        <v>0</v>
      </c>
    </row>
    <row r="643" spans="1:9" x14ac:dyDescent="0.2">
      <c r="A643" s="189" t="s">
        <v>614</v>
      </c>
      <c r="B643" s="190"/>
      <c r="C643" s="189" t="s">
        <v>512</v>
      </c>
      <c r="D643" s="189" t="s">
        <v>531</v>
      </c>
      <c r="E643" s="189" t="s">
        <v>995</v>
      </c>
      <c r="F643" s="190" t="s">
        <v>613</v>
      </c>
      <c r="G643" s="191">
        <f>131.2-20</f>
        <v>111.19999999999999</v>
      </c>
      <c r="H643" s="191">
        <f>131.2-20</f>
        <v>111.19999999999999</v>
      </c>
      <c r="I643" s="192">
        <f t="shared" si="44"/>
        <v>0</v>
      </c>
    </row>
    <row r="644" spans="1:9" s="301" customFormat="1" x14ac:dyDescent="0.2">
      <c r="A644" s="189" t="s">
        <v>943</v>
      </c>
      <c r="B644" s="190"/>
      <c r="C644" s="189" t="s">
        <v>512</v>
      </c>
      <c r="D644" s="189" t="s">
        <v>531</v>
      </c>
      <c r="E644" s="189" t="s">
        <v>942</v>
      </c>
      <c r="F644" s="190"/>
      <c r="G644" s="191">
        <f t="shared" ref="G644:H648" si="47">G645</f>
        <v>220</v>
      </c>
      <c r="H644" s="191">
        <f t="shared" si="47"/>
        <v>220</v>
      </c>
      <c r="I644" s="192">
        <f t="shared" si="44"/>
        <v>0</v>
      </c>
    </row>
    <row r="645" spans="1:9" s="301" customFormat="1" x14ac:dyDescent="0.2">
      <c r="A645" s="189" t="s">
        <v>1027</v>
      </c>
      <c r="B645" s="190"/>
      <c r="C645" s="189" t="s">
        <v>512</v>
      </c>
      <c r="D645" s="189" t="s">
        <v>531</v>
      </c>
      <c r="E645" s="189" t="s">
        <v>1026</v>
      </c>
      <c r="F645" s="190"/>
      <c r="G645" s="191">
        <f t="shared" si="47"/>
        <v>220</v>
      </c>
      <c r="H645" s="191">
        <f t="shared" si="47"/>
        <v>220</v>
      </c>
      <c r="I645" s="192">
        <f t="shared" si="44"/>
        <v>0</v>
      </c>
    </row>
    <row r="646" spans="1:9" s="301" customFormat="1" ht="36" x14ac:dyDescent="0.2">
      <c r="A646" s="189" t="s">
        <v>1281</v>
      </c>
      <c r="B646" s="190"/>
      <c r="C646" s="189" t="s">
        <v>512</v>
      </c>
      <c r="D646" s="189" t="s">
        <v>531</v>
      </c>
      <c r="E646" s="189" t="s">
        <v>1282</v>
      </c>
      <c r="F646" s="190"/>
      <c r="G646" s="191">
        <f t="shared" si="47"/>
        <v>220</v>
      </c>
      <c r="H646" s="191">
        <f t="shared" si="47"/>
        <v>220</v>
      </c>
      <c r="I646" s="192">
        <f t="shared" si="44"/>
        <v>0</v>
      </c>
    </row>
    <row r="647" spans="1:9" s="301" customFormat="1" ht="24" x14ac:dyDescent="0.2">
      <c r="A647" s="189" t="s">
        <v>1415</v>
      </c>
      <c r="B647" s="190"/>
      <c r="C647" s="189" t="s">
        <v>512</v>
      </c>
      <c r="D647" s="189" t="s">
        <v>531</v>
      </c>
      <c r="E647" s="189" t="s">
        <v>1416</v>
      </c>
      <c r="F647" s="190"/>
      <c r="G647" s="191">
        <f t="shared" si="47"/>
        <v>220</v>
      </c>
      <c r="H647" s="191">
        <f t="shared" si="47"/>
        <v>220</v>
      </c>
      <c r="I647" s="192">
        <f t="shared" si="44"/>
        <v>0</v>
      </c>
    </row>
    <row r="648" spans="1:9" s="301" customFormat="1" x14ac:dyDescent="0.2">
      <c r="A648" s="189" t="s">
        <v>1347</v>
      </c>
      <c r="B648" s="190"/>
      <c r="C648" s="189" t="s">
        <v>512</v>
      </c>
      <c r="D648" s="189" t="s">
        <v>531</v>
      </c>
      <c r="E648" s="189" t="s">
        <v>1416</v>
      </c>
      <c r="F648" s="190" t="s">
        <v>535</v>
      </c>
      <c r="G648" s="191">
        <f t="shared" si="47"/>
        <v>220</v>
      </c>
      <c r="H648" s="191">
        <f t="shared" si="47"/>
        <v>220</v>
      </c>
      <c r="I648" s="192">
        <f t="shared" si="44"/>
        <v>0</v>
      </c>
    </row>
    <row r="649" spans="1:9" s="301" customFormat="1" ht="24" x14ac:dyDescent="0.2">
      <c r="A649" s="189" t="s">
        <v>534</v>
      </c>
      <c r="B649" s="190"/>
      <c r="C649" s="189" t="s">
        <v>512</v>
      </c>
      <c r="D649" s="189" t="s">
        <v>531</v>
      </c>
      <c r="E649" s="189" t="s">
        <v>1416</v>
      </c>
      <c r="F649" s="190" t="s">
        <v>529</v>
      </c>
      <c r="G649" s="191">
        <v>220</v>
      </c>
      <c r="H649" s="191">
        <v>220</v>
      </c>
      <c r="I649" s="192">
        <f t="shared" si="44"/>
        <v>0</v>
      </c>
    </row>
    <row r="650" spans="1:9" s="433" customFormat="1" ht="24" x14ac:dyDescent="0.2">
      <c r="A650" s="189" t="s">
        <v>588</v>
      </c>
      <c r="B650" s="189"/>
      <c r="C650" s="189" t="s">
        <v>512</v>
      </c>
      <c r="D650" s="189" t="s">
        <v>531</v>
      </c>
      <c r="E650" s="189" t="s">
        <v>587</v>
      </c>
      <c r="F650" s="189"/>
      <c r="G650" s="191">
        <f>G651</f>
        <v>0</v>
      </c>
      <c r="H650" s="191">
        <f>H651</f>
        <v>3975</v>
      </c>
      <c r="I650" s="192">
        <f t="shared" si="44"/>
        <v>3975</v>
      </c>
    </row>
    <row r="651" spans="1:9" s="433" customFormat="1" x14ac:dyDescent="0.2">
      <c r="A651" s="189" t="s">
        <v>1630</v>
      </c>
      <c r="B651" s="189"/>
      <c r="C651" s="189" t="s">
        <v>512</v>
      </c>
      <c r="D651" s="189" t="s">
        <v>531</v>
      </c>
      <c r="E651" s="189" t="s">
        <v>1631</v>
      </c>
      <c r="F651" s="189"/>
      <c r="G651" s="191">
        <f>G652</f>
        <v>0</v>
      </c>
      <c r="H651" s="191">
        <f>H652</f>
        <v>3975</v>
      </c>
      <c r="I651" s="192">
        <f t="shared" si="44"/>
        <v>3975</v>
      </c>
    </row>
    <row r="652" spans="1:9" s="433" customFormat="1" ht="24" x14ac:dyDescent="0.2">
      <c r="A652" s="189" t="s">
        <v>1632</v>
      </c>
      <c r="B652" s="189"/>
      <c r="C652" s="189" t="s">
        <v>512</v>
      </c>
      <c r="D652" s="189" t="s">
        <v>531</v>
      </c>
      <c r="E652" s="189" t="s">
        <v>1633</v>
      </c>
      <c r="F652" s="189"/>
      <c r="G652" s="191">
        <f>G653+G656</f>
        <v>0</v>
      </c>
      <c r="H652" s="191">
        <f>H653+H656</f>
        <v>3975</v>
      </c>
      <c r="I652" s="192">
        <f t="shared" si="44"/>
        <v>3975</v>
      </c>
    </row>
    <row r="653" spans="1:9" s="433" customFormat="1" ht="24" x14ac:dyDescent="0.2">
      <c r="A653" s="189" t="s">
        <v>1634</v>
      </c>
      <c r="B653" s="189"/>
      <c r="C653" s="189" t="s">
        <v>512</v>
      </c>
      <c r="D653" s="189" t="s">
        <v>531</v>
      </c>
      <c r="E653" s="189" t="s">
        <v>1635</v>
      </c>
      <c r="F653" s="189"/>
      <c r="G653" s="191">
        <f>G654</f>
        <v>0</v>
      </c>
      <c r="H653" s="191">
        <f>H654</f>
        <v>2475</v>
      </c>
      <c r="I653" s="192">
        <f t="shared" si="44"/>
        <v>2475</v>
      </c>
    </row>
    <row r="654" spans="1:9" s="433" customFormat="1" x14ac:dyDescent="0.2">
      <c r="A654" s="189" t="s">
        <v>1347</v>
      </c>
      <c r="B654" s="189"/>
      <c r="C654" s="189" t="s">
        <v>512</v>
      </c>
      <c r="D654" s="189" t="s">
        <v>531</v>
      </c>
      <c r="E654" s="189" t="s">
        <v>1635</v>
      </c>
      <c r="F654" s="190" t="s">
        <v>535</v>
      </c>
      <c r="G654" s="191">
        <f>G655</f>
        <v>0</v>
      </c>
      <c r="H654" s="191">
        <f>H655</f>
        <v>2475</v>
      </c>
      <c r="I654" s="192">
        <f t="shared" si="44"/>
        <v>2475</v>
      </c>
    </row>
    <row r="655" spans="1:9" s="433" customFormat="1" ht="24" x14ac:dyDescent="0.2">
      <c r="A655" s="189" t="s">
        <v>534</v>
      </c>
      <c r="B655" s="189"/>
      <c r="C655" s="189" t="s">
        <v>512</v>
      </c>
      <c r="D655" s="189" t="s">
        <v>531</v>
      </c>
      <c r="E655" s="189" t="s">
        <v>1635</v>
      </c>
      <c r="F655" s="190" t="s">
        <v>529</v>
      </c>
      <c r="G655" s="191">
        <v>0</v>
      </c>
      <c r="H655" s="191">
        <v>2475</v>
      </c>
      <c r="I655" s="192">
        <f t="shared" si="44"/>
        <v>2475</v>
      </c>
    </row>
    <row r="656" spans="1:9" s="433" customFormat="1" ht="24" x14ac:dyDescent="0.2">
      <c r="A656" s="189" t="s">
        <v>1636</v>
      </c>
      <c r="B656" s="189"/>
      <c r="C656" s="189" t="s">
        <v>512</v>
      </c>
      <c r="D656" s="189" t="s">
        <v>531</v>
      </c>
      <c r="E656" s="189" t="s">
        <v>1637</v>
      </c>
      <c r="F656" s="190"/>
      <c r="G656" s="191">
        <f>G657</f>
        <v>0</v>
      </c>
      <c r="H656" s="191">
        <f>H657</f>
        <v>1500</v>
      </c>
      <c r="I656" s="192">
        <f t="shared" si="44"/>
        <v>1500</v>
      </c>
    </row>
    <row r="657" spans="1:9" s="433" customFormat="1" x14ac:dyDescent="0.2">
      <c r="A657" s="189" t="s">
        <v>1347</v>
      </c>
      <c r="B657" s="189"/>
      <c r="C657" s="189" t="s">
        <v>512</v>
      </c>
      <c r="D657" s="189" t="s">
        <v>531</v>
      </c>
      <c r="E657" s="189" t="s">
        <v>1637</v>
      </c>
      <c r="F657" s="190" t="s">
        <v>535</v>
      </c>
      <c r="G657" s="191">
        <f>G658</f>
        <v>0</v>
      </c>
      <c r="H657" s="191">
        <f>H658</f>
        <v>1500</v>
      </c>
      <c r="I657" s="192">
        <f t="shared" si="44"/>
        <v>1500</v>
      </c>
    </row>
    <row r="658" spans="1:9" s="433" customFormat="1" ht="24" x14ac:dyDescent="0.2">
      <c r="A658" s="189" t="s">
        <v>534</v>
      </c>
      <c r="B658" s="189"/>
      <c r="C658" s="189" t="s">
        <v>512</v>
      </c>
      <c r="D658" s="189" t="s">
        <v>531</v>
      </c>
      <c r="E658" s="189" t="s">
        <v>1637</v>
      </c>
      <c r="F658" s="190" t="s">
        <v>529</v>
      </c>
      <c r="G658" s="191">
        <v>0</v>
      </c>
      <c r="H658" s="191">
        <v>1500</v>
      </c>
      <c r="I658" s="192">
        <f t="shared" si="44"/>
        <v>1500</v>
      </c>
    </row>
    <row r="659" spans="1:9" x14ac:dyDescent="0.2">
      <c r="A659" s="189" t="s">
        <v>994</v>
      </c>
      <c r="B659" s="190"/>
      <c r="C659" s="189" t="s">
        <v>512</v>
      </c>
      <c r="D659" s="189" t="s">
        <v>531</v>
      </c>
      <c r="E659" s="189" t="s">
        <v>993</v>
      </c>
      <c r="F659" s="190"/>
      <c r="G659" s="191">
        <f t="shared" ref="G659:H663" si="48">G660</f>
        <v>2850</v>
      </c>
      <c r="H659" s="191">
        <f t="shared" si="48"/>
        <v>2850</v>
      </c>
      <c r="I659" s="192">
        <f t="shared" si="44"/>
        <v>0</v>
      </c>
    </row>
    <row r="660" spans="1:9" x14ac:dyDescent="0.2">
      <c r="A660" s="189" t="s">
        <v>992</v>
      </c>
      <c r="B660" s="190"/>
      <c r="C660" s="189" t="s">
        <v>512</v>
      </c>
      <c r="D660" s="189" t="s">
        <v>531</v>
      </c>
      <c r="E660" s="189" t="s">
        <v>991</v>
      </c>
      <c r="F660" s="190"/>
      <c r="G660" s="191">
        <f t="shared" si="48"/>
        <v>2850</v>
      </c>
      <c r="H660" s="191">
        <f t="shared" si="48"/>
        <v>2850</v>
      </c>
      <c r="I660" s="192">
        <f t="shared" si="44"/>
        <v>0</v>
      </c>
    </row>
    <row r="661" spans="1:9" ht="24" x14ac:dyDescent="0.2">
      <c r="A661" s="189" t="s">
        <v>990</v>
      </c>
      <c r="B661" s="190"/>
      <c r="C661" s="189" t="s">
        <v>512</v>
      </c>
      <c r="D661" s="189" t="s">
        <v>531</v>
      </c>
      <c r="E661" s="189" t="s">
        <v>989</v>
      </c>
      <c r="F661" s="190"/>
      <c r="G661" s="191">
        <f t="shared" si="48"/>
        <v>2850</v>
      </c>
      <c r="H661" s="191">
        <f t="shared" si="48"/>
        <v>2850</v>
      </c>
      <c r="I661" s="192">
        <f t="shared" si="44"/>
        <v>0</v>
      </c>
    </row>
    <row r="662" spans="1:9" ht="24" x14ac:dyDescent="0.2">
      <c r="A662" s="189" t="s">
        <v>988</v>
      </c>
      <c r="B662" s="190"/>
      <c r="C662" s="189" t="s">
        <v>512</v>
      </c>
      <c r="D662" s="189" t="s">
        <v>531</v>
      </c>
      <c r="E662" s="189" t="s">
        <v>987</v>
      </c>
      <c r="F662" s="190"/>
      <c r="G662" s="191">
        <f t="shared" si="48"/>
        <v>2850</v>
      </c>
      <c r="H662" s="191">
        <f t="shared" si="48"/>
        <v>2850</v>
      </c>
      <c r="I662" s="192">
        <f t="shared" ref="I662:I730" si="49">H662-G662</f>
        <v>0</v>
      </c>
    </row>
    <row r="663" spans="1:9" x14ac:dyDescent="0.2">
      <c r="A663" s="189" t="s">
        <v>1347</v>
      </c>
      <c r="B663" s="190"/>
      <c r="C663" s="189" t="s">
        <v>512</v>
      </c>
      <c r="D663" s="189" t="s">
        <v>531</v>
      </c>
      <c r="E663" s="189" t="s">
        <v>987</v>
      </c>
      <c r="F663" s="190" t="s">
        <v>535</v>
      </c>
      <c r="G663" s="191">
        <f t="shared" si="48"/>
        <v>2850</v>
      </c>
      <c r="H663" s="191">
        <f t="shared" si="48"/>
        <v>2850</v>
      </c>
      <c r="I663" s="192">
        <f t="shared" si="49"/>
        <v>0</v>
      </c>
    </row>
    <row r="664" spans="1:9" ht="24" x14ac:dyDescent="0.2">
      <c r="A664" s="189" t="s">
        <v>534</v>
      </c>
      <c r="B664" s="190"/>
      <c r="C664" s="189" t="s">
        <v>512</v>
      </c>
      <c r="D664" s="189" t="s">
        <v>531</v>
      </c>
      <c r="E664" s="189" t="s">
        <v>987</v>
      </c>
      <c r="F664" s="190" t="s">
        <v>529</v>
      </c>
      <c r="G664" s="191">
        <f>2850</f>
        <v>2850</v>
      </c>
      <c r="H664" s="191">
        <f>2850</f>
        <v>2850</v>
      </c>
      <c r="I664" s="192">
        <f t="shared" si="49"/>
        <v>0</v>
      </c>
    </row>
    <row r="665" spans="1:9" x14ac:dyDescent="0.2">
      <c r="A665" s="189" t="s">
        <v>986</v>
      </c>
      <c r="B665" s="190"/>
      <c r="C665" s="189" t="s">
        <v>512</v>
      </c>
      <c r="D665" s="189" t="s">
        <v>531</v>
      </c>
      <c r="E665" s="189" t="s">
        <v>985</v>
      </c>
      <c r="F665" s="190"/>
      <c r="G665" s="191">
        <f>G666+G696</f>
        <v>742911.5</v>
      </c>
      <c r="H665" s="191">
        <f>H666+H696</f>
        <v>746064.29999999993</v>
      </c>
      <c r="I665" s="192">
        <f t="shared" si="49"/>
        <v>3152.7999999999302</v>
      </c>
    </row>
    <row r="666" spans="1:9" x14ac:dyDescent="0.2">
      <c r="A666" s="189" t="s">
        <v>984</v>
      </c>
      <c r="B666" s="190"/>
      <c r="C666" s="189" t="s">
        <v>512</v>
      </c>
      <c r="D666" s="189" t="s">
        <v>531</v>
      </c>
      <c r="E666" s="189" t="s">
        <v>983</v>
      </c>
      <c r="F666" s="190"/>
      <c r="G666" s="191">
        <f>G667+G689</f>
        <v>143718.20000000001</v>
      </c>
      <c r="H666" s="191">
        <f>H667+H689</f>
        <v>120445</v>
      </c>
      <c r="I666" s="192">
        <f t="shared" si="49"/>
        <v>-23273.200000000012</v>
      </c>
    </row>
    <row r="667" spans="1:9" ht="24" x14ac:dyDescent="0.2">
      <c r="A667" s="189" t="s">
        <v>982</v>
      </c>
      <c r="B667" s="190"/>
      <c r="C667" s="189" t="s">
        <v>512</v>
      </c>
      <c r="D667" s="189" t="s">
        <v>531</v>
      </c>
      <c r="E667" s="189" t="s">
        <v>981</v>
      </c>
      <c r="F667" s="190"/>
      <c r="G667" s="191">
        <f>G674+G686+G683</f>
        <v>127153</v>
      </c>
      <c r="H667" s="191">
        <f>H674+H686+H683+H680+H668+H671+H677</f>
        <v>111145</v>
      </c>
      <c r="I667" s="192">
        <f t="shared" si="49"/>
        <v>-16008</v>
      </c>
    </row>
    <row r="668" spans="1:9" s="441" customFormat="1" x14ac:dyDescent="0.2">
      <c r="A668" s="189" t="s">
        <v>1652</v>
      </c>
      <c r="B668" s="189"/>
      <c r="C668" s="189" t="s">
        <v>512</v>
      </c>
      <c r="D668" s="189" t="s">
        <v>531</v>
      </c>
      <c r="E668" s="189" t="s">
        <v>1653</v>
      </c>
      <c r="F668" s="189"/>
      <c r="G668" s="191">
        <f>G669</f>
        <v>0</v>
      </c>
      <c r="H668" s="191">
        <f>H669</f>
        <v>11312</v>
      </c>
      <c r="I668" s="192">
        <f t="shared" si="49"/>
        <v>11312</v>
      </c>
    </row>
    <row r="669" spans="1:9" s="441" customFormat="1" x14ac:dyDescent="0.2">
      <c r="A669" s="189" t="s">
        <v>1347</v>
      </c>
      <c r="B669" s="189"/>
      <c r="C669" s="189" t="s">
        <v>512</v>
      </c>
      <c r="D669" s="189" t="s">
        <v>531</v>
      </c>
      <c r="E669" s="189" t="s">
        <v>1653</v>
      </c>
      <c r="F669" s="190" t="s">
        <v>535</v>
      </c>
      <c r="G669" s="191">
        <f>G670</f>
        <v>0</v>
      </c>
      <c r="H669" s="191">
        <f>H670</f>
        <v>11312</v>
      </c>
      <c r="I669" s="192">
        <f t="shared" si="49"/>
        <v>11312</v>
      </c>
    </row>
    <row r="670" spans="1:9" s="441" customFormat="1" ht="24" x14ac:dyDescent="0.2">
      <c r="A670" s="189" t="s">
        <v>534</v>
      </c>
      <c r="B670" s="189"/>
      <c r="C670" s="189" t="s">
        <v>512</v>
      </c>
      <c r="D670" s="189" t="s">
        <v>531</v>
      </c>
      <c r="E670" s="189" t="s">
        <v>1653</v>
      </c>
      <c r="F670" s="190" t="s">
        <v>529</v>
      </c>
      <c r="G670" s="191">
        <v>0</v>
      </c>
      <c r="H670" s="191">
        <v>11312</v>
      </c>
      <c r="I670" s="192">
        <f t="shared" si="49"/>
        <v>11312</v>
      </c>
    </row>
    <row r="671" spans="1:9" s="441" customFormat="1" x14ac:dyDescent="0.2">
      <c r="A671" s="189" t="s">
        <v>1654</v>
      </c>
      <c r="B671" s="189"/>
      <c r="C671" s="189" t="s">
        <v>512</v>
      </c>
      <c r="D671" s="189" t="s">
        <v>531</v>
      </c>
      <c r="E671" s="189" t="s">
        <v>1655</v>
      </c>
      <c r="F671" s="190"/>
      <c r="G671" s="191">
        <f>G672</f>
        <v>0</v>
      </c>
      <c r="H671" s="191">
        <f>H672</f>
        <v>31292</v>
      </c>
      <c r="I671" s="192">
        <f t="shared" si="49"/>
        <v>31292</v>
      </c>
    </row>
    <row r="672" spans="1:9" s="441" customFormat="1" x14ac:dyDescent="0.2">
      <c r="A672" s="189" t="s">
        <v>1347</v>
      </c>
      <c r="B672" s="189"/>
      <c r="C672" s="189" t="s">
        <v>512</v>
      </c>
      <c r="D672" s="189" t="s">
        <v>531</v>
      </c>
      <c r="E672" s="189" t="s">
        <v>1655</v>
      </c>
      <c r="F672" s="190" t="s">
        <v>535</v>
      </c>
      <c r="G672" s="191">
        <f>G673</f>
        <v>0</v>
      </c>
      <c r="H672" s="191">
        <f>H673</f>
        <v>31292</v>
      </c>
      <c r="I672" s="192">
        <f t="shared" si="49"/>
        <v>31292</v>
      </c>
    </row>
    <row r="673" spans="1:9" s="441" customFormat="1" ht="24" x14ac:dyDescent="0.2">
      <c r="A673" s="189" t="s">
        <v>534</v>
      </c>
      <c r="B673" s="189"/>
      <c r="C673" s="189" t="s">
        <v>512</v>
      </c>
      <c r="D673" s="189" t="s">
        <v>531</v>
      </c>
      <c r="E673" s="189" t="s">
        <v>1655</v>
      </c>
      <c r="F673" s="190" t="s">
        <v>529</v>
      </c>
      <c r="G673" s="191">
        <v>0</v>
      </c>
      <c r="H673" s="191">
        <f>40152-8860</f>
        <v>31292</v>
      </c>
      <c r="I673" s="192">
        <f t="shared" si="49"/>
        <v>31292</v>
      </c>
    </row>
    <row r="674" spans="1:9" ht="24" x14ac:dyDescent="0.2">
      <c r="A674" s="189" t="s">
        <v>980</v>
      </c>
      <c r="B674" s="190"/>
      <c r="C674" s="189" t="s">
        <v>512</v>
      </c>
      <c r="D674" s="189" t="s">
        <v>531</v>
      </c>
      <c r="E674" s="189" t="s">
        <v>979</v>
      </c>
      <c r="F674" s="190"/>
      <c r="G674" s="191">
        <f>G675</f>
        <v>60841</v>
      </c>
      <c r="H674" s="191">
        <f>H675</f>
        <v>60841</v>
      </c>
      <c r="I674" s="192">
        <f t="shared" si="49"/>
        <v>0</v>
      </c>
    </row>
    <row r="675" spans="1:9" x14ac:dyDescent="0.2">
      <c r="A675" s="189" t="s">
        <v>1347</v>
      </c>
      <c r="B675" s="190"/>
      <c r="C675" s="189" t="s">
        <v>512</v>
      </c>
      <c r="D675" s="189" t="s">
        <v>531</v>
      </c>
      <c r="E675" s="189" t="s">
        <v>979</v>
      </c>
      <c r="F675" s="190" t="s">
        <v>535</v>
      </c>
      <c r="G675" s="191">
        <f>G676</f>
        <v>60841</v>
      </c>
      <c r="H675" s="191">
        <f>H676</f>
        <v>60841</v>
      </c>
      <c r="I675" s="192">
        <f t="shared" si="49"/>
        <v>0</v>
      </c>
    </row>
    <row r="676" spans="1:9" ht="24" x14ac:dyDescent="0.2">
      <c r="A676" s="189" t="s">
        <v>534</v>
      </c>
      <c r="B676" s="190"/>
      <c r="C676" s="189" t="s">
        <v>512</v>
      </c>
      <c r="D676" s="189" t="s">
        <v>531</v>
      </c>
      <c r="E676" s="189" t="s">
        <v>979</v>
      </c>
      <c r="F676" s="190" t="s">
        <v>529</v>
      </c>
      <c r="G676" s="191">
        <f>60841</f>
        <v>60841</v>
      </c>
      <c r="H676" s="191">
        <f>60841</f>
        <v>60841</v>
      </c>
      <c r="I676" s="192">
        <f t="shared" si="49"/>
        <v>0</v>
      </c>
    </row>
    <row r="677" spans="1:9" s="443" customFormat="1" ht="36" x14ac:dyDescent="0.2">
      <c r="A677" s="189" t="s">
        <v>1658</v>
      </c>
      <c r="B677" s="189"/>
      <c r="C677" s="189" t="s">
        <v>512</v>
      </c>
      <c r="D677" s="189" t="s">
        <v>531</v>
      </c>
      <c r="E677" s="189" t="s">
        <v>1659</v>
      </c>
      <c r="F677" s="189"/>
      <c r="G677" s="191">
        <f>G678</f>
        <v>0</v>
      </c>
      <c r="H677" s="191">
        <f>H678</f>
        <v>2000</v>
      </c>
      <c r="I677" s="192">
        <f t="shared" si="49"/>
        <v>2000</v>
      </c>
    </row>
    <row r="678" spans="1:9" s="443" customFormat="1" x14ac:dyDescent="0.2">
      <c r="A678" s="189" t="s">
        <v>1347</v>
      </c>
      <c r="B678" s="189"/>
      <c r="C678" s="189" t="s">
        <v>512</v>
      </c>
      <c r="D678" s="189" t="s">
        <v>531</v>
      </c>
      <c r="E678" s="189" t="s">
        <v>1659</v>
      </c>
      <c r="F678" s="190" t="s">
        <v>535</v>
      </c>
      <c r="G678" s="191">
        <f>G679</f>
        <v>0</v>
      </c>
      <c r="H678" s="191">
        <f>H679</f>
        <v>2000</v>
      </c>
      <c r="I678" s="192">
        <f t="shared" si="49"/>
        <v>2000</v>
      </c>
    </row>
    <row r="679" spans="1:9" s="443" customFormat="1" ht="24" x14ac:dyDescent="0.2">
      <c r="A679" s="189" t="s">
        <v>534</v>
      </c>
      <c r="B679" s="189"/>
      <c r="C679" s="189" t="s">
        <v>512</v>
      </c>
      <c r="D679" s="189" t="s">
        <v>531</v>
      </c>
      <c r="E679" s="189" t="s">
        <v>1659</v>
      </c>
      <c r="F679" s="190" t="s">
        <v>529</v>
      </c>
      <c r="G679" s="191">
        <v>0</v>
      </c>
      <c r="H679" s="191">
        <v>2000</v>
      </c>
      <c r="I679" s="192">
        <f t="shared" si="49"/>
        <v>2000</v>
      </c>
    </row>
    <row r="680" spans="1:9" s="439" customFormat="1" ht="30.75" customHeight="1" x14ac:dyDescent="0.2">
      <c r="A680" s="189" t="s">
        <v>1645</v>
      </c>
      <c r="B680" s="189"/>
      <c r="C680" s="189" t="s">
        <v>512</v>
      </c>
      <c r="D680" s="189" t="s">
        <v>531</v>
      </c>
      <c r="E680" s="189" t="s">
        <v>1646</v>
      </c>
      <c r="F680" s="189"/>
      <c r="G680" s="191">
        <f>G681</f>
        <v>0</v>
      </c>
      <c r="H680" s="191">
        <f>H681</f>
        <v>5700</v>
      </c>
      <c r="I680" s="192">
        <f t="shared" si="49"/>
        <v>5700</v>
      </c>
    </row>
    <row r="681" spans="1:9" s="439" customFormat="1" x14ac:dyDescent="0.2">
      <c r="A681" s="189" t="s">
        <v>1347</v>
      </c>
      <c r="B681" s="189"/>
      <c r="C681" s="189" t="s">
        <v>512</v>
      </c>
      <c r="D681" s="189" t="s">
        <v>531</v>
      </c>
      <c r="E681" s="189" t="s">
        <v>1646</v>
      </c>
      <c r="F681" s="190" t="s">
        <v>535</v>
      </c>
      <c r="G681" s="191">
        <f>G682</f>
        <v>0</v>
      </c>
      <c r="H681" s="191">
        <f>H682</f>
        <v>5700</v>
      </c>
      <c r="I681" s="192">
        <f t="shared" si="49"/>
        <v>5700</v>
      </c>
    </row>
    <row r="682" spans="1:9" s="439" customFormat="1" ht="24" x14ac:dyDescent="0.2">
      <c r="A682" s="189" t="s">
        <v>534</v>
      </c>
      <c r="B682" s="189"/>
      <c r="C682" s="189" t="s">
        <v>512</v>
      </c>
      <c r="D682" s="189" t="s">
        <v>531</v>
      </c>
      <c r="E682" s="189" t="s">
        <v>1646</v>
      </c>
      <c r="F682" s="190" t="s">
        <v>529</v>
      </c>
      <c r="G682" s="191">
        <v>0</v>
      </c>
      <c r="H682" s="191">
        <v>5700</v>
      </c>
      <c r="I682" s="192">
        <f t="shared" si="49"/>
        <v>5700</v>
      </c>
    </row>
    <row r="683" spans="1:9" s="372" customFormat="1" ht="24" x14ac:dyDescent="0.2">
      <c r="A683" s="189" t="s">
        <v>1490</v>
      </c>
      <c r="B683" s="190"/>
      <c r="C683" s="189" t="s">
        <v>512</v>
      </c>
      <c r="D683" s="189" t="s">
        <v>531</v>
      </c>
      <c r="E683" s="189" t="s">
        <v>1491</v>
      </c>
      <c r="F683" s="190"/>
      <c r="G683" s="191">
        <f>G684</f>
        <v>11312</v>
      </c>
      <c r="H683" s="191">
        <f>H684</f>
        <v>0</v>
      </c>
      <c r="I683" s="192">
        <f t="shared" si="49"/>
        <v>-11312</v>
      </c>
    </row>
    <row r="684" spans="1:9" s="372" customFormat="1" x14ac:dyDescent="0.2">
      <c r="A684" s="189" t="s">
        <v>1347</v>
      </c>
      <c r="B684" s="190"/>
      <c r="C684" s="189" t="s">
        <v>512</v>
      </c>
      <c r="D684" s="189" t="s">
        <v>531</v>
      </c>
      <c r="E684" s="189" t="s">
        <v>1491</v>
      </c>
      <c r="F684" s="190" t="s">
        <v>535</v>
      </c>
      <c r="G684" s="191">
        <f>G685</f>
        <v>11312</v>
      </c>
      <c r="H684" s="191">
        <f>H685</f>
        <v>0</v>
      </c>
      <c r="I684" s="192">
        <f t="shared" si="49"/>
        <v>-11312</v>
      </c>
    </row>
    <row r="685" spans="1:9" s="372" customFormat="1" ht="24" x14ac:dyDescent="0.2">
      <c r="A685" s="189" t="s">
        <v>534</v>
      </c>
      <c r="B685" s="190"/>
      <c r="C685" s="189" t="s">
        <v>512</v>
      </c>
      <c r="D685" s="189" t="s">
        <v>531</v>
      </c>
      <c r="E685" s="189" t="s">
        <v>1491</v>
      </c>
      <c r="F685" s="190" t="s">
        <v>529</v>
      </c>
      <c r="G685" s="191">
        <f>500-400+11212</f>
        <v>11312</v>
      </c>
      <c r="H685" s="191">
        <f>500-400+11212-11312</f>
        <v>0</v>
      </c>
      <c r="I685" s="192">
        <f t="shared" si="49"/>
        <v>-11312</v>
      </c>
    </row>
    <row r="686" spans="1:9" s="372" customFormat="1" ht="24" x14ac:dyDescent="0.2">
      <c r="A686" s="189" t="s">
        <v>1488</v>
      </c>
      <c r="B686" s="190"/>
      <c r="C686" s="189" t="s">
        <v>512</v>
      </c>
      <c r="D686" s="189" t="s">
        <v>531</v>
      </c>
      <c r="E686" s="189" t="s">
        <v>1489</v>
      </c>
      <c r="F686" s="190"/>
      <c r="G686" s="191">
        <f>G687</f>
        <v>55000</v>
      </c>
      <c r="H686" s="191">
        <f>H687</f>
        <v>0</v>
      </c>
      <c r="I686" s="192">
        <f t="shared" si="49"/>
        <v>-55000</v>
      </c>
    </row>
    <row r="687" spans="1:9" s="372" customFormat="1" x14ac:dyDescent="0.2">
      <c r="A687" s="189" t="s">
        <v>1347</v>
      </c>
      <c r="B687" s="190"/>
      <c r="C687" s="189" t="s">
        <v>512</v>
      </c>
      <c r="D687" s="189" t="s">
        <v>531</v>
      </c>
      <c r="E687" s="189" t="s">
        <v>1489</v>
      </c>
      <c r="F687" s="190" t="s">
        <v>535</v>
      </c>
      <c r="G687" s="191">
        <f>G688</f>
        <v>55000</v>
      </c>
      <c r="H687" s="191">
        <f>H688</f>
        <v>0</v>
      </c>
      <c r="I687" s="192">
        <f t="shared" si="49"/>
        <v>-55000</v>
      </c>
    </row>
    <row r="688" spans="1:9" s="372" customFormat="1" ht="24" x14ac:dyDescent="0.2">
      <c r="A688" s="189" t="s">
        <v>534</v>
      </c>
      <c r="B688" s="190"/>
      <c r="C688" s="189" t="s">
        <v>512</v>
      </c>
      <c r="D688" s="189" t="s">
        <v>531</v>
      </c>
      <c r="E688" s="189" t="s">
        <v>1489</v>
      </c>
      <c r="F688" s="190" t="s">
        <v>529</v>
      </c>
      <c r="G688" s="191">
        <f>50000+5000</f>
        <v>55000</v>
      </c>
      <c r="H688" s="191">
        <f>50000+5000-848-5000-9000-40152</f>
        <v>0</v>
      </c>
      <c r="I688" s="192">
        <f t="shared" si="49"/>
        <v>-55000</v>
      </c>
    </row>
    <row r="689" spans="1:9" x14ac:dyDescent="0.2">
      <c r="A689" s="189" t="s">
        <v>978</v>
      </c>
      <c r="B689" s="190"/>
      <c r="C689" s="189" t="s">
        <v>512</v>
      </c>
      <c r="D689" s="189" t="s">
        <v>531</v>
      </c>
      <c r="E689" s="189" t="s">
        <v>977</v>
      </c>
      <c r="F689" s="190"/>
      <c r="G689" s="191">
        <f>G693+G690</f>
        <v>16565.2</v>
      </c>
      <c r="H689" s="191">
        <f>H693+H690</f>
        <v>9300</v>
      </c>
      <c r="I689" s="192">
        <f t="shared" si="49"/>
        <v>-7265.2000000000007</v>
      </c>
    </row>
    <row r="690" spans="1:9" s="178" customFormat="1" ht="24" x14ac:dyDescent="0.2">
      <c r="A690" s="189" t="s">
        <v>1370</v>
      </c>
      <c r="B690" s="190"/>
      <c r="C690" s="189" t="s">
        <v>512</v>
      </c>
      <c r="D690" s="189" t="s">
        <v>531</v>
      </c>
      <c r="E690" s="189" t="s">
        <v>1371</v>
      </c>
      <c r="F690" s="190"/>
      <c r="G690" s="191">
        <f>G691</f>
        <v>12121.2</v>
      </c>
      <c r="H690" s="191">
        <f>H691</f>
        <v>9300</v>
      </c>
      <c r="I690" s="192">
        <f t="shared" si="49"/>
        <v>-2821.2000000000007</v>
      </c>
    </row>
    <row r="691" spans="1:9" s="178" customFormat="1" x14ac:dyDescent="0.2">
      <c r="A691" s="189" t="s">
        <v>1347</v>
      </c>
      <c r="B691" s="190"/>
      <c r="C691" s="189" t="s">
        <v>512</v>
      </c>
      <c r="D691" s="189" t="s">
        <v>531</v>
      </c>
      <c r="E691" s="189" t="s">
        <v>1371</v>
      </c>
      <c r="F691" s="190" t="s">
        <v>535</v>
      </c>
      <c r="G691" s="191">
        <f>G692</f>
        <v>12121.2</v>
      </c>
      <c r="H691" s="191">
        <f>H692</f>
        <v>9300</v>
      </c>
      <c r="I691" s="192">
        <f t="shared" si="49"/>
        <v>-2821.2000000000007</v>
      </c>
    </row>
    <row r="692" spans="1:9" s="178" customFormat="1" ht="24" x14ac:dyDescent="0.2">
      <c r="A692" s="189" t="s">
        <v>534</v>
      </c>
      <c r="B692" s="190"/>
      <c r="C692" s="189" t="s">
        <v>512</v>
      </c>
      <c r="D692" s="189" t="s">
        <v>531</v>
      </c>
      <c r="E692" s="189" t="s">
        <v>1371</v>
      </c>
      <c r="F692" s="190" t="s">
        <v>529</v>
      </c>
      <c r="G692" s="191">
        <v>12121.2</v>
      </c>
      <c r="H692" s="191">
        <f>12121.2-28.2-2793</f>
        <v>9300</v>
      </c>
      <c r="I692" s="192">
        <f t="shared" si="49"/>
        <v>-2821.2000000000007</v>
      </c>
    </row>
    <row r="693" spans="1:9" x14ac:dyDescent="0.2">
      <c r="A693" s="189" t="s">
        <v>1530</v>
      </c>
      <c r="B693" s="190"/>
      <c r="C693" s="189" t="s">
        <v>512</v>
      </c>
      <c r="D693" s="189" t="s">
        <v>531</v>
      </c>
      <c r="E693" s="189" t="s">
        <v>974</v>
      </c>
      <c r="F693" s="190"/>
      <c r="G693" s="191">
        <f>G694</f>
        <v>4444</v>
      </c>
      <c r="H693" s="191">
        <f>H694</f>
        <v>0</v>
      </c>
      <c r="I693" s="192">
        <f t="shared" si="49"/>
        <v>-4444</v>
      </c>
    </row>
    <row r="694" spans="1:9" s="388" customFormat="1" ht="24" x14ac:dyDescent="0.2">
      <c r="A694" s="189" t="s">
        <v>547</v>
      </c>
      <c r="B694" s="190"/>
      <c r="C694" s="189" t="s">
        <v>512</v>
      </c>
      <c r="D694" s="189" t="s">
        <v>531</v>
      </c>
      <c r="E694" s="189" t="s">
        <v>974</v>
      </c>
      <c r="F694" s="190">
        <v>600</v>
      </c>
      <c r="G694" s="191">
        <f>G695</f>
        <v>4444</v>
      </c>
      <c r="H694" s="191">
        <f>H695</f>
        <v>0</v>
      </c>
      <c r="I694" s="192">
        <f>H694-G694</f>
        <v>-4444</v>
      </c>
    </row>
    <row r="695" spans="1:9" s="388" customFormat="1" x14ac:dyDescent="0.2">
      <c r="A695" s="189" t="s">
        <v>571</v>
      </c>
      <c r="B695" s="190"/>
      <c r="C695" s="189" t="s">
        <v>512</v>
      </c>
      <c r="D695" s="189" t="s">
        <v>531</v>
      </c>
      <c r="E695" s="189" t="s">
        <v>974</v>
      </c>
      <c r="F695" s="190">
        <v>610</v>
      </c>
      <c r="G695" s="191">
        <f>8624-4180</f>
        <v>4444</v>
      </c>
      <c r="H695" s="191">
        <f>8624-4180-2777.5-1666.5</f>
        <v>0</v>
      </c>
      <c r="I695" s="192">
        <f>H695-G695</f>
        <v>-4444</v>
      </c>
    </row>
    <row r="696" spans="1:9" x14ac:dyDescent="0.2">
      <c r="A696" s="189" t="s">
        <v>973</v>
      </c>
      <c r="B696" s="190"/>
      <c r="C696" s="189" t="s">
        <v>512</v>
      </c>
      <c r="D696" s="189" t="s">
        <v>531</v>
      </c>
      <c r="E696" s="189" t="s">
        <v>972</v>
      </c>
      <c r="F696" s="190"/>
      <c r="G696" s="191">
        <f>G697</f>
        <v>599193.30000000005</v>
      </c>
      <c r="H696" s="191">
        <f>H697</f>
        <v>625619.29999999993</v>
      </c>
      <c r="I696" s="192">
        <f t="shared" si="49"/>
        <v>26425.999999999884</v>
      </c>
    </row>
    <row r="697" spans="1:9" ht="24" x14ac:dyDescent="0.2">
      <c r="A697" s="189" t="s">
        <v>971</v>
      </c>
      <c r="B697" s="190"/>
      <c r="C697" s="189" t="s">
        <v>512</v>
      </c>
      <c r="D697" s="189" t="s">
        <v>531</v>
      </c>
      <c r="E697" s="189" t="s">
        <v>970</v>
      </c>
      <c r="F697" s="190"/>
      <c r="G697" s="191">
        <f>G698+G703+G706+G709+G712+G715+G718+G721+G726+G731+G736+G739+G742+G749+G756</f>
        <v>599193.30000000005</v>
      </c>
      <c r="H697" s="191">
        <f>H698+H703+H706+H709+H712+H715+H718+H721+H726+H731+H736+H739+H742+H749+H756</f>
        <v>625619.29999999993</v>
      </c>
      <c r="I697" s="192">
        <f t="shared" si="49"/>
        <v>26425.999999999884</v>
      </c>
    </row>
    <row r="698" spans="1:9" x14ac:dyDescent="0.2">
      <c r="A698" s="189" t="s">
        <v>1531</v>
      </c>
      <c r="B698" s="190"/>
      <c r="C698" s="189" t="s">
        <v>512</v>
      </c>
      <c r="D698" s="189" t="s">
        <v>531</v>
      </c>
      <c r="E698" s="189" t="s">
        <v>969</v>
      </c>
      <c r="F698" s="190"/>
      <c r="G698" s="191">
        <f>G699+G701</f>
        <v>61321.600000000006</v>
      </c>
      <c r="H698" s="191">
        <f>H699+H701</f>
        <v>63498.8</v>
      </c>
      <c r="I698" s="192">
        <f t="shared" si="49"/>
        <v>2177.1999999999971</v>
      </c>
    </row>
    <row r="699" spans="1:9" x14ac:dyDescent="0.2">
      <c r="A699" s="189" t="s">
        <v>1347</v>
      </c>
      <c r="B699" s="190"/>
      <c r="C699" s="189" t="s">
        <v>512</v>
      </c>
      <c r="D699" s="189" t="s">
        <v>531</v>
      </c>
      <c r="E699" s="189" t="s">
        <v>969</v>
      </c>
      <c r="F699" s="190" t="s">
        <v>535</v>
      </c>
      <c r="G699" s="191">
        <f>G700</f>
        <v>10996.700000000004</v>
      </c>
      <c r="H699" s="191">
        <f>H700</f>
        <v>10996.700000000004</v>
      </c>
      <c r="I699" s="192">
        <f t="shared" si="49"/>
        <v>0</v>
      </c>
    </row>
    <row r="700" spans="1:9" ht="24" x14ac:dyDescent="0.2">
      <c r="A700" s="189" t="s">
        <v>534</v>
      </c>
      <c r="B700" s="190"/>
      <c r="C700" s="189" t="s">
        <v>512</v>
      </c>
      <c r="D700" s="189" t="s">
        <v>531</v>
      </c>
      <c r="E700" s="189" t="s">
        <v>969</v>
      </c>
      <c r="F700" s="190" t="s">
        <v>529</v>
      </c>
      <c r="G700" s="191">
        <f>43364.9+2878.8+3500-38747</f>
        <v>10996.700000000004</v>
      </c>
      <c r="H700" s="191">
        <f>43364.9+2878.8+3500-38747</f>
        <v>10996.700000000004</v>
      </c>
      <c r="I700" s="192">
        <f t="shared" si="49"/>
        <v>0</v>
      </c>
    </row>
    <row r="701" spans="1:9" s="388" customFormat="1" ht="24" x14ac:dyDescent="0.2">
      <c r="A701" s="189" t="s">
        <v>547</v>
      </c>
      <c r="B701" s="190"/>
      <c r="C701" s="189" t="s">
        <v>512</v>
      </c>
      <c r="D701" s="189" t="s">
        <v>531</v>
      </c>
      <c r="E701" s="189" t="s">
        <v>969</v>
      </c>
      <c r="F701" s="190">
        <v>600</v>
      </c>
      <c r="G701" s="191">
        <f>G702</f>
        <v>50324.9</v>
      </c>
      <c r="H701" s="191">
        <f>H702</f>
        <v>52502.1</v>
      </c>
      <c r="I701" s="192">
        <f>H701-G701</f>
        <v>2177.1999999999971</v>
      </c>
    </row>
    <row r="702" spans="1:9" s="388" customFormat="1" x14ac:dyDescent="0.2">
      <c r="A702" s="189" t="s">
        <v>571</v>
      </c>
      <c r="B702" s="190"/>
      <c r="C702" s="189" t="s">
        <v>512</v>
      </c>
      <c r="D702" s="189" t="s">
        <v>531</v>
      </c>
      <c r="E702" s="189" t="s">
        <v>969</v>
      </c>
      <c r="F702" s="190">
        <v>610</v>
      </c>
      <c r="G702" s="191">
        <f>38747+5311-2836.6+5000+2000-2000+3253.5+850</f>
        <v>50324.9</v>
      </c>
      <c r="H702" s="191">
        <f>38747+5311-2836.6+5000+2000-2000+3253.5+850+177.2+2000</f>
        <v>52502.1</v>
      </c>
      <c r="I702" s="192">
        <f>H702-G702</f>
        <v>2177.1999999999971</v>
      </c>
    </row>
    <row r="703" spans="1:9" ht="24" x14ac:dyDescent="0.2">
      <c r="A703" s="189" t="s">
        <v>968</v>
      </c>
      <c r="B703" s="190"/>
      <c r="C703" s="189" t="s">
        <v>512</v>
      </c>
      <c r="D703" s="189" t="s">
        <v>531</v>
      </c>
      <c r="E703" s="189" t="s">
        <v>967</v>
      </c>
      <c r="F703" s="190"/>
      <c r="G703" s="191">
        <f>G704</f>
        <v>17619.100000000002</v>
      </c>
      <c r="H703" s="191">
        <f>H704</f>
        <v>17619.100000000002</v>
      </c>
      <c r="I703" s="192">
        <f t="shared" si="49"/>
        <v>0</v>
      </c>
    </row>
    <row r="704" spans="1:9" x14ac:dyDescent="0.2">
      <c r="A704" s="189" t="s">
        <v>1347</v>
      </c>
      <c r="B704" s="190"/>
      <c r="C704" s="189" t="s">
        <v>512</v>
      </c>
      <c r="D704" s="189" t="s">
        <v>531</v>
      </c>
      <c r="E704" s="189" t="s">
        <v>967</v>
      </c>
      <c r="F704" s="190" t="s">
        <v>535</v>
      </c>
      <c r="G704" s="191">
        <f>G705</f>
        <v>17619.100000000002</v>
      </c>
      <c r="H704" s="191">
        <f>H705</f>
        <v>17619.100000000002</v>
      </c>
      <c r="I704" s="192">
        <f t="shared" si="49"/>
        <v>0</v>
      </c>
    </row>
    <row r="705" spans="1:9" ht="24" x14ac:dyDescent="0.2">
      <c r="A705" s="189" t="s">
        <v>534</v>
      </c>
      <c r="B705" s="190"/>
      <c r="C705" s="189" t="s">
        <v>512</v>
      </c>
      <c r="D705" s="189" t="s">
        <v>531</v>
      </c>
      <c r="E705" s="189" t="s">
        <v>967</v>
      </c>
      <c r="F705" s="190" t="s">
        <v>529</v>
      </c>
      <c r="G705" s="191">
        <f>21384.7-500-600-2665.6</f>
        <v>17619.100000000002</v>
      </c>
      <c r="H705" s="191">
        <f>21384.7-500-600-2665.6</f>
        <v>17619.100000000002</v>
      </c>
      <c r="I705" s="192">
        <f t="shared" si="49"/>
        <v>0</v>
      </c>
    </row>
    <row r="706" spans="1:9" ht="24" x14ac:dyDescent="0.2">
      <c r="A706" s="189" t="s">
        <v>966</v>
      </c>
      <c r="B706" s="190"/>
      <c r="C706" s="189" t="s">
        <v>512</v>
      </c>
      <c r="D706" s="189" t="s">
        <v>531</v>
      </c>
      <c r="E706" s="189" t="s">
        <v>965</v>
      </c>
      <c r="F706" s="190"/>
      <c r="G706" s="191">
        <f>G707</f>
        <v>20346.599999999999</v>
      </c>
      <c r="H706" s="191">
        <f>H707</f>
        <v>21446.6</v>
      </c>
      <c r="I706" s="192">
        <f t="shared" si="49"/>
        <v>1100</v>
      </c>
    </row>
    <row r="707" spans="1:9" x14ac:dyDescent="0.2">
      <c r="A707" s="189" t="s">
        <v>1347</v>
      </c>
      <c r="B707" s="190"/>
      <c r="C707" s="189" t="s">
        <v>512</v>
      </c>
      <c r="D707" s="189" t="s">
        <v>531</v>
      </c>
      <c r="E707" s="189" t="s">
        <v>965</v>
      </c>
      <c r="F707" s="190" t="s">
        <v>535</v>
      </c>
      <c r="G707" s="191">
        <f>G708</f>
        <v>20346.599999999999</v>
      </c>
      <c r="H707" s="191">
        <f>H708</f>
        <v>21446.6</v>
      </c>
      <c r="I707" s="192">
        <f t="shared" si="49"/>
        <v>1100</v>
      </c>
    </row>
    <row r="708" spans="1:9" ht="24" x14ac:dyDescent="0.2">
      <c r="A708" s="189" t="s">
        <v>534</v>
      </c>
      <c r="B708" s="190"/>
      <c r="C708" s="189" t="s">
        <v>512</v>
      </c>
      <c r="D708" s="189" t="s">
        <v>531</v>
      </c>
      <c r="E708" s="189" t="s">
        <v>965</v>
      </c>
      <c r="F708" s="190" t="s">
        <v>529</v>
      </c>
      <c r="G708" s="191">
        <f>18759.1-3422.5+10+470.4-70.4-450+50+5000</f>
        <v>20346.599999999999</v>
      </c>
      <c r="H708" s="191">
        <f>18759.1-3422.5+10+470.4-70.4-450+50+5000-100+1200+1000-1000</f>
        <v>21446.6</v>
      </c>
      <c r="I708" s="192">
        <f t="shared" si="49"/>
        <v>1100</v>
      </c>
    </row>
    <row r="709" spans="1:9" ht="24" x14ac:dyDescent="0.2">
      <c r="A709" s="189" t="s">
        <v>964</v>
      </c>
      <c r="B709" s="190"/>
      <c r="C709" s="189" t="s">
        <v>512</v>
      </c>
      <c r="D709" s="189" t="s">
        <v>531</v>
      </c>
      <c r="E709" s="189" t="s">
        <v>963</v>
      </c>
      <c r="F709" s="190"/>
      <c r="G709" s="191">
        <f>G710</f>
        <v>6000</v>
      </c>
      <c r="H709" s="191">
        <f>H710</f>
        <v>5347.5</v>
      </c>
      <c r="I709" s="192">
        <f t="shared" si="49"/>
        <v>-652.5</v>
      </c>
    </row>
    <row r="710" spans="1:9" ht="24" x14ac:dyDescent="0.2">
      <c r="A710" s="189" t="s">
        <v>547</v>
      </c>
      <c r="B710" s="190"/>
      <c r="C710" s="189" t="s">
        <v>512</v>
      </c>
      <c r="D710" s="189" t="s">
        <v>531</v>
      </c>
      <c r="E710" s="189" t="s">
        <v>963</v>
      </c>
      <c r="F710" s="190" t="s">
        <v>519</v>
      </c>
      <c r="G710" s="191">
        <f>G711</f>
        <v>6000</v>
      </c>
      <c r="H710" s="191">
        <f>H711</f>
        <v>5347.5</v>
      </c>
      <c r="I710" s="192">
        <f t="shared" si="49"/>
        <v>-652.5</v>
      </c>
    </row>
    <row r="711" spans="1:9" x14ac:dyDescent="0.2">
      <c r="A711" s="189" t="s">
        <v>571</v>
      </c>
      <c r="B711" s="190"/>
      <c r="C711" s="189" t="s">
        <v>512</v>
      </c>
      <c r="D711" s="189" t="s">
        <v>531</v>
      </c>
      <c r="E711" s="189" t="s">
        <v>963</v>
      </c>
      <c r="F711" s="190" t="s">
        <v>522</v>
      </c>
      <c r="G711" s="191">
        <v>6000</v>
      </c>
      <c r="H711" s="191">
        <f>6000-652.5</f>
        <v>5347.5</v>
      </c>
      <c r="I711" s="192">
        <f t="shared" si="49"/>
        <v>-652.5</v>
      </c>
    </row>
    <row r="712" spans="1:9" x14ac:dyDescent="0.2">
      <c r="A712" s="189" t="s">
        <v>962</v>
      </c>
      <c r="B712" s="190"/>
      <c r="C712" s="189" t="s">
        <v>512</v>
      </c>
      <c r="D712" s="189" t="s">
        <v>531</v>
      </c>
      <c r="E712" s="189" t="s">
        <v>961</v>
      </c>
      <c r="F712" s="190"/>
      <c r="G712" s="191">
        <f>G713</f>
        <v>206256.5</v>
      </c>
      <c r="H712" s="191">
        <f>H713</f>
        <v>213722.5</v>
      </c>
      <c r="I712" s="192">
        <f t="shared" si="49"/>
        <v>7466</v>
      </c>
    </row>
    <row r="713" spans="1:9" x14ac:dyDescent="0.2">
      <c r="A713" s="189" t="s">
        <v>1347</v>
      </c>
      <c r="B713" s="190"/>
      <c r="C713" s="189" t="s">
        <v>512</v>
      </c>
      <c r="D713" s="189" t="s">
        <v>531</v>
      </c>
      <c r="E713" s="189" t="s">
        <v>961</v>
      </c>
      <c r="F713" s="190" t="s">
        <v>535</v>
      </c>
      <c r="G713" s="191">
        <f>G714</f>
        <v>206256.5</v>
      </c>
      <c r="H713" s="191">
        <f>H714</f>
        <v>213722.5</v>
      </c>
      <c r="I713" s="192">
        <f t="shared" si="49"/>
        <v>7466</v>
      </c>
    </row>
    <row r="714" spans="1:9" ht="24" x14ac:dyDescent="0.2">
      <c r="A714" s="189" t="s">
        <v>534</v>
      </c>
      <c r="B714" s="190"/>
      <c r="C714" s="189" t="s">
        <v>512</v>
      </c>
      <c r="D714" s="189" t="s">
        <v>531</v>
      </c>
      <c r="E714" s="189" t="s">
        <v>961</v>
      </c>
      <c r="F714" s="190" t="s">
        <v>529</v>
      </c>
      <c r="G714" s="191">
        <f>190756.5+2500+13000</f>
        <v>206256.5</v>
      </c>
      <c r="H714" s="191">
        <f>190756.5+2500+13000+3000+5916-1400-50</f>
        <v>213722.5</v>
      </c>
      <c r="I714" s="192">
        <f t="shared" si="49"/>
        <v>7466</v>
      </c>
    </row>
    <row r="715" spans="1:9" ht="24" x14ac:dyDescent="0.2">
      <c r="A715" s="189" t="s">
        <v>960</v>
      </c>
      <c r="B715" s="190"/>
      <c r="C715" s="189" t="s">
        <v>512</v>
      </c>
      <c r="D715" s="189" t="s">
        <v>531</v>
      </c>
      <c r="E715" s="189" t="s">
        <v>959</v>
      </c>
      <c r="F715" s="190"/>
      <c r="G715" s="191">
        <f>G716</f>
        <v>16684.699999999997</v>
      </c>
      <c r="H715" s="191">
        <f>H716</f>
        <v>20477.299999999996</v>
      </c>
      <c r="I715" s="192">
        <f t="shared" si="49"/>
        <v>3792.5999999999985</v>
      </c>
    </row>
    <row r="716" spans="1:9" x14ac:dyDescent="0.2">
      <c r="A716" s="189" t="s">
        <v>1347</v>
      </c>
      <c r="B716" s="190"/>
      <c r="C716" s="189" t="s">
        <v>512</v>
      </c>
      <c r="D716" s="189" t="s">
        <v>531</v>
      </c>
      <c r="E716" s="189" t="s">
        <v>959</v>
      </c>
      <c r="F716" s="190" t="s">
        <v>535</v>
      </c>
      <c r="G716" s="191">
        <f>G717</f>
        <v>16684.699999999997</v>
      </c>
      <c r="H716" s="191">
        <f>H717</f>
        <v>20477.299999999996</v>
      </c>
      <c r="I716" s="192">
        <f t="shared" si="49"/>
        <v>3792.5999999999985</v>
      </c>
    </row>
    <row r="717" spans="1:9" ht="24" x14ac:dyDescent="0.2">
      <c r="A717" s="189" t="s">
        <v>534</v>
      </c>
      <c r="B717" s="190"/>
      <c r="C717" s="189" t="s">
        <v>512</v>
      </c>
      <c r="D717" s="189" t="s">
        <v>531</v>
      </c>
      <c r="E717" s="189" t="s">
        <v>959</v>
      </c>
      <c r="F717" s="190" t="s">
        <v>529</v>
      </c>
      <c r="G717" s="191">
        <f>17883.8-1056.7-142.4</f>
        <v>16684.699999999997</v>
      </c>
      <c r="H717" s="191">
        <f>17883.8-1056.7-142.4+819.1+1111.5+700+1162</f>
        <v>20477.299999999996</v>
      </c>
      <c r="I717" s="192">
        <f t="shared" si="49"/>
        <v>3792.5999999999985</v>
      </c>
    </row>
    <row r="718" spans="1:9" ht="24" x14ac:dyDescent="0.2">
      <c r="A718" s="189" t="s">
        <v>958</v>
      </c>
      <c r="B718" s="190"/>
      <c r="C718" s="189" t="s">
        <v>512</v>
      </c>
      <c r="D718" s="189" t="s">
        <v>531</v>
      </c>
      <c r="E718" s="189" t="s">
        <v>957</v>
      </c>
      <c r="F718" s="190"/>
      <c r="G718" s="191">
        <f>G719</f>
        <v>4500</v>
      </c>
      <c r="H718" s="191">
        <f>H719</f>
        <v>10550</v>
      </c>
      <c r="I718" s="192">
        <f t="shared" si="49"/>
        <v>6050</v>
      </c>
    </row>
    <row r="719" spans="1:9" x14ac:dyDescent="0.2">
      <c r="A719" s="189" t="s">
        <v>1347</v>
      </c>
      <c r="B719" s="190"/>
      <c r="C719" s="189" t="s">
        <v>512</v>
      </c>
      <c r="D719" s="189" t="s">
        <v>531</v>
      </c>
      <c r="E719" s="189" t="s">
        <v>957</v>
      </c>
      <c r="F719" s="190" t="s">
        <v>535</v>
      </c>
      <c r="G719" s="191">
        <f>G720</f>
        <v>4500</v>
      </c>
      <c r="H719" s="191">
        <f>H720</f>
        <v>10550</v>
      </c>
      <c r="I719" s="192">
        <f t="shared" si="49"/>
        <v>6050</v>
      </c>
    </row>
    <row r="720" spans="1:9" ht="24" x14ac:dyDescent="0.2">
      <c r="A720" s="189" t="s">
        <v>534</v>
      </c>
      <c r="B720" s="190"/>
      <c r="C720" s="189" t="s">
        <v>512</v>
      </c>
      <c r="D720" s="189" t="s">
        <v>531</v>
      </c>
      <c r="E720" s="189" t="s">
        <v>957</v>
      </c>
      <c r="F720" s="190" t="s">
        <v>529</v>
      </c>
      <c r="G720" s="191">
        <f>3000+1500</f>
        <v>4500</v>
      </c>
      <c r="H720" s="191">
        <f>3000+1500+6000+50</f>
        <v>10550</v>
      </c>
      <c r="I720" s="192">
        <f t="shared" si="49"/>
        <v>6050</v>
      </c>
    </row>
    <row r="721" spans="1:9" ht="24" x14ac:dyDescent="0.2">
      <c r="A721" s="189" t="s">
        <v>1532</v>
      </c>
      <c r="B721" s="190"/>
      <c r="C721" s="189" t="s">
        <v>512</v>
      </c>
      <c r="D721" s="189" t="s">
        <v>531</v>
      </c>
      <c r="E721" s="189" t="s">
        <v>956</v>
      </c>
      <c r="F721" s="190"/>
      <c r="G721" s="191">
        <f>G722+G724</f>
        <v>396.40000000000003</v>
      </c>
      <c r="H721" s="191">
        <f>H722+H724</f>
        <v>396.40000000000003</v>
      </c>
      <c r="I721" s="192">
        <f t="shared" si="49"/>
        <v>0</v>
      </c>
    </row>
    <row r="722" spans="1:9" x14ac:dyDescent="0.2">
      <c r="A722" s="189" t="s">
        <v>1347</v>
      </c>
      <c r="B722" s="190"/>
      <c r="C722" s="189" t="s">
        <v>512</v>
      </c>
      <c r="D722" s="189" t="s">
        <v>531</v>
      </c>
      <c r="E722" s="189" t="s">
        <v>956</v>
      </c>
      <c r="F722" s="190" t="s">
        <v>535</v>
      </c>
      <c r="G722" s="191">
        <f>G723</f>
        <v>23.8</v>
      </c>
      <c r="H722" s="191">
        <f>H723</f>
        <v>23.8</v>
      </c>
      <c r="I722" s="192">
        <f t="shared" si="49"/>
        <v>0</v>
      </c>
    </row>
    <row r="723" spans="1:9" ht="24" x14ac:dyDescent="0.2">
      <c r="A723" s="189" t="s">
        <v>534</v>
      </c>
      <c r="B723" s="190"/>
      <c r="C723" s="189" t="s">
        <v>512</v>
      </c>
      <c r="D723" s="189" t="s">
        <v>531</v>
      </c>
      <c r="E723" s="189" t="s">
        <v>956</v>
      </c>
      <c r="F723" s="190" t="s">
        <v>529</v>
      </c>
      <c r="G723" s="191">
        <f>40-16.2</f>
        <v>23.8</v>
      </c>
      <c r="H723" s="191">
        <f>40-16.2</f>
        <v>23.8</v>
      </c>
      <c r="I723" s="192">
        <f t="shared" si="49"/>
        <v>0</v>
      </c>
    </row>
    <row r="724" spans="1:9" s="388" customFormat="1" ht="24" x14ac:dyDescent="0.2">
      <c r="A724" s="189" t="s">
        <v>547</v>
      </c>
      <c r="B724" s="190"/>
      <c r="C724" s="189" t="s">
        <v>512</v>
      </c>
      <c r="D724" s="189" t="s">
        <v>531</v>
      </c>
      <c r="E724" s="189" t="s">
        <v>956</v>
      </c>
      <c r="F724" s="190">
        <v>600</v>
      </c>
      <c r="G724" s="191">
        <f>G725</f>
        <v>372.6</v>
      </c>
      <c r="H724" s="191">
        <f>H725</f>
        <v>372.6</v>
      </c>
      <c r="I724" s="192">
        <f>H724-G724</f>
        <v>0</v>
      </c>
    </row>
    <row r="725" spans="1:9" s="388" customFormat="1" x14ac:dyDescent="0.2">
      <c r="A725" s="189" t="s">
        <v>571</v>
      </c>
      <c r="B725" s="190"/>
      <c r="C725" s="189" t="s">
        <v>512</v>
      </c>
      <c r="D725" s="189" t="s">
        <v>531</v>
      </c>
      <c r="E725" s="189" t="s">
        <v>956</v>
      </c>
      <c r="F725" s="190">
        <v>610</v>
      </c>
      <c r="G725" s="191">
        <f>388.8-16.2</f>
        <v>372.6</v>
      </c>
      <c r="H725" s="191">
        <f>388.8-16.2</f>
        <v>372.6</v>
      </c>
      <c r="I725" s="192">
        <f>H725-G725</f>
        <v>0</v>
      </c>
    </row>
    <row r="726" spans="1:9" ht="24" x14ac:dyDescent="0.2">
      <c r="A726" s="189" t="s">
        <v>948</v>
      </c>
      <c r="B726" s="190"/>
      <c r="C726" s="189" t="s">
        <v>512</v>
      </c>
      <c r="D726" s="189" t="s">
        <v>531</v>
      </c>
      <c r="E726" s="189" t="s">
        <v>955</v>
      </c>
      <c r="F726" s="190"/>
      <c r="G726" s="191">
        <f>G727+G729</f>
        <v>329.1</v>
      </c>
      <c r="H726" s="191">
        <f>H727+H729</f>
        <v>329.1</v>
      </c>
      <c r="I726" s="192">
        <f t="shared" si="49"/>
        <v>0</v>
      </c>
    </row>
    <row r="727" spans="1:9" ht="36" x14ac:dyDescent="0.2">
      <c r="A727" s="189" t="s">
        <v>1348</v>
      </c>
      <c r="B727" s="190"/>
      <c r="C727" s="189" t="s">
        <v>512</v>
      </c>
      <c r="D727" s="189" t="s">
        <v>531</v>
      </c>
      <c r="E727" s="189" t="s">
        <v>955</v>
      </c>
      <c r="F727" s="190" t="s">
        <v>556</v>
      </c>
      <c r="G727" s="191">
        <f>G728</f>
        <v>295.8</v>
      </c>
      <c r="H727" s="191">
        <f>H728</f>
        <v>295.8</v>
      </c>
      <c r="I727" s="192">
        <f t="shared" si="49"/>
        <v>0</v>
      </c>
    </row>
    <row r="728" spans="1:9" x14ac:dyDescent="0.2">
      <c r="A728" s="189" t="s">
        <v>555</v>
      </c>
      <c r="B728" s="190"/>
      <c r="C728" s="189" t="s">
        <v>512</v>
      </c>
      <c r="D728" s="189" t="s">
        <v>531</v>
      </c>
      <c r="E728" s="189" t="s">
        <v>955</v>
      </c>
      <c r="F728" s="190" t="s">
        <v>554</v>
      </c>
      <c r="G728" s="191">
        <v>295.8</v>
      </c>
      <c r="H728" s="191">
        <v>295.8</v>
      </c>
      <c r="I728" s="192">
        <f t="shared" si="49"/>
        <v>0</v>
      </c>
    </row>
    <row r="729" spans="1:9" x14ac:dyDescent="0.2">
      <c r="A729" s="189" t="s">
        <v>1347</v>
      </c>
      <c r="B729" s="190"/>
      <c r="C729" s="189" t="s">
        <v>512</v>
      </c>
      <c r="D729" s="189" t="s">
        <v>531</v>
      </c>
      <c r="E729" s="189" t="s">
        <v>955</v>
      </c>
      <c r="F729" s="190" t="s">
        <v>535</v>
      </c>
      <c r="G729" s="191">
        <f>G730</f>
        <v>33.299999999999997</v>
      </c>
      <c r="H729" s="191">
        <f>H730</f>
        <v>33.299999999999997</v>
      </c>
      <c r="I729" s="192">
        <f t="shared" si="49"/>
        <v>0</v>
      </c>
    </row>
    <row r="730" spans="1:9" ht="24" x14ac:dyDescent="0.2">
      <c r="A730" s="189" t="s">
        <v>534</v>
      </c>
      <c r="B730" s="190"/>
      <c r="C730" s="189" t="s">
        <v>512</v>
      </c>
      <c r="D730" s="189" t="s">
        <v>531</v>
      </c>
      <c r="E730" s="189" t="s">
        <v>955</v>
      </c>
      <c r="F730" s="190" t="s">
        <v>529</v>
      </c>
      <c r="G730" s="191">
        <v>33.299999999999997</v>
      </c>
      <c r="H730" s="191">
        <v>33.299999999999997</v>
      </c>
      <c r="I730" s="192">
        <f t="shared" si="49"/>
        <v>0</v>
      </c>
    </row>
    <row r="731" spans="1:9" ht="24" x14ac:dyDescent="0.2">
      <c r="A731" s="189" t="s">
        <v>946</v>
      </c>
      <c r="B731" s="190"/>
      <c r="C731" s="189" t="s">
        <v>512</v>
      </c>
      <c r="D731" s="189" t="s">
        <v>531</v>
      </c>
      <c r="E731" s="189" t="s">
        <v>954</v>
      </c>
      <c r="F731" s="190"/>
      <c r="G731" s="191">
        <f>G732+G734</f>
        <v>184.10000000000002</v>
      </c>
      <c r="H731" s="191">
        <f>H732+H734</f>
        <v>184.10000000000002</v>
      </c>
      <c r="I731" s="192">
        <f t="shared" ref="I731:I788" si="50">H731-G731</f>
        <v>0</v>
      </c>
    </row>
    <row r="732" spans="1:9" ht="36" x14ac:dyDescent="0.2">
      <c r="A732" s="189" t="s">
        <v>1348</v>
      </c>
      <c r="B732" s="190"/>
      <c r="C732" s="189" t="s">
        <v>512</v>
      </c>
      <c r="D732" s="189" t="s">
        <v>531</v>
      </c>
      <c r="E732" s="189" t="s">
        <v>954</v>
      </c>
      <c r="F732" s="190" t="s">
        <v>556</v>
      </c>
      <c r="G732" s="191">
        <f>G733</f>
        <v>117.4</v>
      </c>
      <c r="H732" s="191">
        <f>H733</f>
        <v>117.4</v>
      </c>
      <c r="I732" s="192">
        <f t="shared" si="50"/>
        <v>0</v>
      </c>
    </row>
    <row r="733" spans="1:9" x14ac:dyDescent="0.2">
      <c r="A733" s="189" t="s">
        <v>555</v>
      </c>
      <c r="B733" s="190"/>
      <c r="C733" s="189" t="s">
        <v>512</v>
      </c>
      <c r="D733" s="189" t="s">
        <v>531</v>
      </c>
      <c r="E733" s="189" t="s">
        <v>954</v>
      </c>
      <c r="F733" s="190" t="s">
        <v>554</v>
      </c>
      <c r="G733" s="191">
        <v>117.4</v>
      </c>
      <c r="H733" s="191">
        <v>117.4</v>
      </c>
      <c r="I733" s="192">
        <f t="shared" si="50"/>
        <v>0</v>
      </c>
    </row>
    <row r="734" spans="1:9" x14ac:dyDescent="0.2">
      <c r="A734" s="189" t="s">
        <v>1347</v>
      </c>
      <c r="B734" s="190"/>
      <c r="C734" s="189" t="s">
        <v>512</v>
      </c>
      <c r="D734" s="189" t="s">
        <v>531</v>
      </c>
      <c r="E734" s="189" t="s">
        <v>954</v>
      </c>
      <c r="F734" s="190" t="s">
        <v>535</v>
      </c>
      <c r="G734" s="191">
        <f>G735</f>
        <v>66.7</v>
      </c>
      <c r="H734" s="191">
        <f>H735</f>
        <v>66.7</v>
      </c>
      <c r="I734" s="192">
        <f t="shared" si="50"/>
        <v>0</v>
      </c>
    </row>
    <row r="735" spans="1:9" ht="24" x14ac:dyDescent="0.2">
      <c r="A735" s="189" t="s">
        <v>534</v>
      </c>
      <c r="B735" s="190"/>
      <c r="C735" s="189" t="s">
        <v>512</v>
      </c>
      <c r="D735" s="189" t="s">
        <v>531</v>
      </c>
      <c r="E735" s="189" t="s">
        <v>954</v>
      </c>
      <c r="F735" s="190" t="s">
        <v>529</v>
      </c>
      <c r="G735" s="191">
        <v>66.7</v>
      </c>
      <c r="H735" s="191">
        <v>66.7</v>
      </c>
      <c r="I735" s="192">
        <f t="shared" si="50"/>
        <v>0</v>
      </c>
    </row>
    <row r="736" spans="1:9" ht="24" x14ac:dyDescent="0.2">
      <c r="A736" s="189" t="s">
        <v>953</v>
      </c>
      <c r="B736" s="190"/>
      <c r="C736" s="189" t="s">
        <v>512</v>
      </c>
      <c r="D736" s="189" t="s">
        <v>531</v>
      </c>
      <c r="E736" s="189" t="s">
        <v>952</v>
      </c>
      <c r="F736" s="190"/>
      <c r="G736" s="191">
        <f>G737</f>
        <v>21562.100000000002</v>
      </c>
      <c r="H736" s="191">
        <f>H737</f>
        <v>25214.600000000002</v>
      </c>
      <c r="I736" s="192">
        <f t="shared" si="50"/>
        <v>3652.5</v>
      </c>
    </row>
    <row r="737" spans="1:9" ht="24" x14ac:dyDescent="0.2">
      <c r="A737" s="189" t="s">
        <v>547</v>
      </c>
      <c r="B737" s="190"/>
      <c r="C737" s="189" t="s">
        <v>512</v>
      </c>
      <c r="D737" s="189" t="s">
        <v>531</v>
      </c>
      <c r="E737" s="189" t="s">
        <v>952</v>
      </c>
      <c r="F737" s="190" t="s">
        <v>519</v>
      </c>
      <c r="G737" s="191">
        <f>G738</f>
        <v>21562.100000000002</v>
      </c>
      <c r="H737" s="191">
        <f>H738</f>
        <v>25214.600000000002</v>
      </c>
      <c r="I737" s="192">
        <f t="shared" si="50"/>
        <v>3652.5</v>
      </c>
    </row>
    <row r="738" spans="1:9" x14ac:dyDescent="0.2">
      <c r="A738" s="189" t="s">
        <v>571</v>
      </c>
      <c r="B738" s="190"/>
      <c r="C738" s="189" t="s">
        <v>512</v>
      </c>
      <c r="D738" s="189" t="s">
        <v>531</v>
      </c>
      <c r="E738" s="189" t="s">
        <v>952</v>
      </c>
      <c r="F738" s="190" t="s">
        <v>522</v>
      </c>
      <c r="G738" s="191">
        <f>22826.4-1264.3</f>
        <v>21562.100000000002</v>
      </c>
      <c r="H738" s="191">
        <f>22826.4-1264.3+652.5+3000</f>
        <v>25214.600000000002</v>
      </c>
      <c r="I738" s="192">
        <f t="shared" si="50"/>
        <v>3652.5</v>
      </c>
    </row>
    <row r="739" spans="1:9" ht="24" x14ac:dyDescent="0.2">
      <c r="A739" s="189" t="s">
        <v>951</v>
      </c>
      <c r="B739" s="190"/>
      <c r="C739" s="189" t="s">
        <v>512</v>
      </c>
      <c r="D739" s="189" t="s">
        <v>531</v>
      </c>
      <c r="E739" s="189" t="s">
        <v>950</v>
      </c>
      <c r="F739" s="190"/>
      <c r="G739" s="191">
        <f>G740</f>
        <v>39546.1</v>
      </c>
      <c r="H739" s="191">
        <f>H740</f>
        <v>39546.1</v>
      </c>
      <c r="I739" s="192">
        <f t="shared" si="50"/>
        <v>0</v>
      </c>
    </row>
    <row r="740" spans="1:9" ht="24" x14ac:dyDescent="0.2">
      <c r="A740" s="189" t="s">
        <v>547</v>
      </c>
      <c r="B740" s="190"/>
      <c r="C740" s="189" t="s">
        <v>512</v>
      </c>
      <c r="D740" s="189" t="s">
        <v>531</v>
      </c>
      <c r="E740" s="189" t="s">
        <v>950</v>
      </c>
      <c r="F740" s="190" t="s">
        <v>519</v>
      </c>
      <c r="G740" s="191">
        <f>G741</f>
        <v>39546.1</v>
      </c>
      <c r="H740" s="191">
        <f>H741</f>
        <v>39546.1</v>
      </c>
      <c r="I740" s="192">
        <f t="shared" si="50"/>
        <v>0</v>
      </c>
    </row>
    <row r="741" spans="1:9" x14ac:dyDescent="0.2">
      <c r="A741" s="189" t="s">
        <v>571</v>
      </c>
      <c r="B741" s="190"/>
      <c r="C741" s="189" t="s">
        <v>512</v>
      </c>
      <c r="D741" s="189" t="s">
        <v>531</v>
      </c>
      <c r="E741" s="189" t="s">
        <v>950</v>
      </c>
      <c r="F741" s="190" t="s">
        <v>522</v>
      </c>
      <c r="G741" s="191">
        <f>39869-4322.9+4000</f>
        <v>39546.1</v>
      </c>
      <c r="H741" s="191">
        <f>39869-4322.9+4000</f>
        <v>39546.1</v>
      </c>
      <c r="I741" s="192">
        <f t="shared" si="50"/>
        <v>0</v>
      </c>
    </row>
    <row r="742" spans="1:9" ht="24" x14ac:dyDescent="0.2">
      <c r="A742" s="189" t="s">
        <v>1532</v>
      </c>
      <c r="B742" s="190"/>
      <c r="C742" s="189" t="s">
        <v>512</v>
      </c>
      <c r="D742" s="189" t="s">
        <v>531</v>
      </c>
      <c r="E742" s="189" t="s">
        <v>949</v>
      </c>
      <c r="F742" s="190"/>
      <c r="G742" s="191">
        <f>G743+G745+G747</f>
        <v>155076.20000000001</v>
      </c>
      <c r="H742" s="191">
        <f>H743+H745+H747</f>
        <v>160798.20000000001</v>
      </c>
      <c r="I742" s="192">
        <f t="shared" si="50"/>
        <v>5722</v>
      </c>
    </row>
    <row r="743" spans="1:9" ht="36" x14ac:dyDescent="0.2">
      <c r="A743" s="189" t="s">
        <v>1348</v>
      </c>
      <c r="B743" s="190"/>
      <c r="C743" s="189" t="s">
        <v>512</v>
      </c>
      <c r="D743" s="189" t="s">
        <v>531</v>
      </c>
      <c r="E743" s="189" t="s">
        <v>949</v>
      </c>
      <c r="F743" s="190" t="s">
        <v>556</v>
      </c>
      <c r="G743" s="191">
        <f>G744</f>
        <v>26370</v>
      </c>
      <c r="H743" s="191">
        <f>H744</f>
        <v>26370</v>
      </c>
      <c r="I743" s="192">
        <f t="shared" si="50"/>
        <v>0</v>
      </c>
    </row>
    <row r="744" spans="1:9" x14ac:dyDescent="0.2">
      <c r="A744" s="189" t="s">
        <v>555</v>
      </c>
      <c r="B744" s="190"/>
      <c r="C744" s="189" t="s">
        <v>512</v>
      </c>
      <c r="D744" s="189" t="s">
        <v>531</v>
      </c>
      <c r="E744" s="189" t="s">
        <v>949</v>
      </c>
      <c r="F744" s="190" t="s">
        <v>554</v>
      </c>
      <c r="G744" s="191">
        <f>106964.1+762.2+237.8-81594.1</f>
        <v>26370</v>
      </c>
      <c r="H744" s="191">
        <f>106964.1+762.2+237.8-81594.1</f>
        <v>26370</v>
      </c>
      <c r="I744" s="192">
        <f t="shared" si="50"/>
        <v>0</v>
      </c>
    </row>
    <row r="745" spans="1:9" x14ac:dyDescent="0.2">
      <c r="A745" s="189" t="s">
        <v>1347</v>
      </c>
      <c r="B745" s="190"/>
      <c r="C745" s="189" t="s">
        <v>512</v>
      </c>
      <c r="D745" s="189" t="s">
        <v>531</v>
      </c>
      <c r="E745" s="189" t="s">
        <v>949</v>
      </c>
      <c r="F745" s="190" t="s">
        <v>535</v>
      </c>
      <c r="G745" s="191">
        <f>G746</f>
        <v>2233.7000000000044</v>
      </c>
      <c r="H745" s="191">
        <f>H746</f>
        <v>2233.7000000000044</v>
      </c>
      <c r="I745" s="192">
        <f t="shared" si="50"/>
        <v>0</v>
      </c>
    </row>
    <row r="746" spans="1:9" ht="24" x14ac:dyDescent="0.2">
      <c r="A746" s="189" t="s">
        <v>534</v>
      </c>
      <c r="B746" s="190"/>
      <c r="C746" s="189" t="s">
        <v>512</v>
      </c>
      <c r="D746" s="189" t="s">
        <v>531</v>
      </c>
      <c r="E746" s="189" t="s">
        <v>949</v>
      </c>
      <c r="F746" s="190" t="s">
        <v>529</v>
      </c>
      <c r="G746" s="191">
        <f>49036.3+345.1-47147.7</f>
        <v>2233.7000000000044</v>
      </c>
      <c r="H746" s="191">
        <f>49036.3+345.1-47147.7</f>
        <v>2233.7000000000044</v>
      </c>
      <c r="I746" s="192">
        <f t="shared" si="50"/>
        <v>0</v>
      </c>
    </row>
    <row r="747" spans="1:9" s="388" customFormat="1" ht="24" x14ac:dyDescent="0.2">
      <c r="A747" s="189" t="s">
        <v>547</v>
      </c>
      <c r="B747" s="190"/>
      <c r="C747" s="189" t="s">
        <v>512</v>
      </c>
      <c r="D747" s="189" t="s">
        <v>531</v>
      </c>
      <c r="E747" s="189" t="s">
        <v>949</v>
      </c>
      <c r="F747" s="190">
        <v>600</v>
      </c>
      <c r="G747" s="191">
        <f>G748</f>
        <v>126472.5</v>
      </c>
      <c r="H747" s="191">
        <f>H748</f>
        <v>132194.5</v>
      </c>
      <c r="I747" s="192">
        <f>H747-G747</f>
        <v>5722</v>
      </c>
    </row>
    <row r="748" spans="1:9" s="388" customFormat="1" x14ac:dyDescent="0.2">
      <c r="A748" s="189" t="s">
        <v>571</v>
      </c>
      <c r="B748" s="190"/>
      <c r="C748" s="189" t="s">
        <v>512</v>
      </c>
      <c r="D748" s="189" t="s">
        <v>531</v>
      </c>
      <c r="E748" s="189" t="s">
        <v>949</v>
      </c>
      <c r="F748" s="190">
        <v>610</v>
      </c>
      <c r="G748" s="191">
        <f>128741.8+2852.8-9122.1+2000+2000</f>
        <v>126472.5</v>
      </c>
      <c r="H748" s="191">
        <f>128741.8+2852.8-9122.1+2000+2000+5722</f>
        <v>132194.5</v>
      </c>
      <c r="I748" s="192">
        <f>H748-G748</f>
        <v>5722</v>
      </c>
    </row>
    <row r="749" spans="1:9" ht="24" x14ac:dyDescent="0.2">
      <c r="A749" s="189" t="s">
        <v>948</v>
      </c>
      <c r="B749" s="190"/>
      <c r="C749" s="189" t="s">
        <v>512</v>
      </c>
      <c r="D749" s="189" t="s">
        <v>531</v>
      </c>
      <c r="E749" s="189" t="s">
        <v>947</v>
      </c>
      <c r="F749" s="190"/>
      <c r="G749" s="191">
        <f>G750+G752+G754</f>
        <v>26460.400000000001</v>
      </c>
      <c r="H749" s="191">
        <f>H750+H752+H754</f>
        <v>24303.600000000002</v>
      </c>
      <c r="I749" s="192">
        <f t="shared" si="50"/>
        <v>-2156.7999999999993</v>
      </c>
    </row>
    <row r="750" spans="1:9" ht="36" x14ac:dyDescent="0.2">
      <c r="A750" s="189" t="s">
        <v>1348</v>
      </c>
      <c r="B750" s="190"/>
      <c r="C750" s="189" t="s">
        <v>512</v>
      </c>
      <c r="D750" s="189" t="s">
        <v>531</v>
      </c>
      <c r="E750" s="189" t="s">
        <v>947</v>
      </c>
      <c r="F750" s="190" t="s">
        <v>556</v>
      </c>
      <c r="G750" s="191">
        <f>G751</f>
        <v>21418</v>
      </c>
      <c r="H750" s="191">
        <f>H751</f>
        <v>19261.2</v>
      </c>
      <c r="I750" s="192">
        <f t="shared" si="50"/>
        <v>-2156.7999999999993</v>
      </c>
    </row>
    <row r="751" spans="1:9" x14ac:dyDescent="0.2">
      <c r="A751" s="189" t="s">
        <v>555</v>
      </c>
      <c r="B751" s="190"/>
      <c r="C751" s="189" t="s">
        <v>512</v>
      </c>
      <c r="D751" s="189" t="s">
        <v>531</v>
      </c>
      <c r="E751" s="189" t="s">
        <v>947</v>
      </c>
      <c r="F751" s="190" t="s">
        <v>554</v>
      </c>
      <c r="G751" s="191">
        <f>22175-400-357</f>
        <v>21418</v>
      </c>
      <c r="H751" s="191">
        <f>22175-400-357-2156.8</f>
        <v>19261.2</v>
      </c>
      <c r="I751" s="192">
        <f t="shared" si="50"/>
        <v>-2156.7999999999993</v>
      </c>
    </row>
    <row r="752" spans="1:9" x14ac:dyDescent="0.2">
      <c r="A752" s="189" t="s">
        <v>1347</v>
      </c>
      <c r="B752" s="190"/>
      <c r="C752" s="189" t="s">
        <v>512</v>
      </c>
      <c r="D752" s="189" t="s">
        <v>531</v>
      </c>
      <c r="E752" s="189" t="s">
        <v>947</v>
      </c>
      <c r="F752" s="190" t="s">
        <v>535</v>
      </c>
      <c r="G752" s="191">
        <f>G753</f>
        <v>4105</v>
      </c>
      <c r="H752" s="191">
        <f>H753</f>
        <v>4105</v>
      </c>
      <c r="I752" s="192">
        <f t="shared" si="50"/>
        <v>0</v>
      </c>
    </row>
    <row r="753" spans="1:9" ht="24" x14ac:dyDescent="0.2">
      <c r="A753" s="189" t="s">
        <v>534</v>
      </c>
      <c r="B753" s="190"/>
      <c r="C753" s="189" t="s">
        <v>512</v>
      </c>
      <c r="D753" s="189" t="s">
        <v>531</v>
      </c>
      <c r="E753" s="189" t="s">
        <v>947</v>
      </c>
      <c r="F753" s="190" t="s">
        <v>529</v>
      </c>
      <c r="G753" s="191">
        <v>4105</v>
      </c>
      <c r="H753" s="191">
        <v>4105</v>
      </c>
      <c r="I753" s="192">
        <f t="shared" si="50"/>
        <v>0</v>
      </c>
    </row>
    <row r="754" spans="1:9" x14ac:dyDescent="0.2">
      <c r="A754" s="189" t="s">
        <v>615</v>
      </c>
      <c r="B754" s="190"/>
      <c r="C754" s="189" t="s">
        <v>512</v>
      </c>
      <c r="D754" s="189" t="s">
        <v>531</v>
      </c>
      <c r="E754" s="189" t="s">
        <v>947</v>
      </c>
      <c r="F754" s="190" t="s">
        <v>509</v>
      </c>
      <c r="G754" s="191">
        <f>G755</f>
        <v>937.4</v>
      </c>
      <c r="H754" s="191">
        <f>H755</f>
        <v>937.4</v>
      </c>
      <c r="I754" s="192">
        <f t="shared" si="50"/>
        <v>0</v>
      </c>
    </row>
    <row r="755" spans="1:9" x14ac:dyDescent="0.2">
      <c r="A755" s="189" t="s">
        <v>614</v>
      </c>
      <c r="B755" s="190"/>
      <c r="C755" s="189" t="s">
        <v>512</v>
      </c>
      <c r="D755" s="189" t="s">
        <v>531</v>
      </c>
      <c r="E755" s="189" t="s">
        <v>947</v>
      </c>
      <c r="F755" s="190" t="s">
        <v>613</v>
      </c>
      <c r="G755" s="191">
        <v>937.4</v>
      </c>
      <c r="H755" s="191">
        <v>937.4</v>
      </c>
      <c r="I755" s="192">
        <f t="shared" si="50"/>
        <v>0</v>
      </c>
    </row>
    <row r="756" spans="1:9" ht="24" x14ac:dyDescent="0.2">
      <c r="A756" s="189" t="s">
        <v>946</v>
      </c>
      <c r="B756" s="190"/>
      <c r="C756" s="189" t="s">
        <v>512</v>
      </c>
      <c r="D756" s="189" t="s">
        <v>531</v>
      </c>
      <c r="E756" s="189" t="s">
        <v>945</v>
      </c>
      <c r="F756" s="190"/>
      <c r="G756" s="191">
        <f>G757+G759</f>
        <v>22910.400000000001</v>
      </c>
      <c r="H756" s="191">
        <f>H757+H759</f>
        <v>22185.4</v>
      </c>
      <c r="I756" s="192">
        <f t="shared" si="50"/>
        <v>-725</v>
      </c>
    </row>
    <row r="757" spans="1:9" ht="36" x14ac:dyDescent="0.2">
      <c r="A757" s="189" t="s">
        <v>1348</v>
      </c>
      <c r="B757" s="190"/>
      <c r="C757" s="189" t="s">
        <v>512</v>
      </c>
      <c r="D757" s="189" t="s">
        <v>531</v>
      </c>
      <c r="E757" s="189" t="s">
        <v>945</v>
      </c>
      <c r="F757" s="190" t="s">
        <v>556</v>
      </c>
      <c r="G757" s="191">
        <f>G758</f>
        <v>17538.600000000002</v>
      </c>
      <c r="H757" s="191">
        <f>H758</f>
        <v>17538.600000000002</v>
      </c>
      <c r="I757" s="192">
        <f t="shared" si="50"/>
        <v>0</v>
      </c>
    </row>
    <row r="758" spans="1:9" x14ac:dyDescent="0.2">
      <c r="A758" s="189" t="s">
        <v>555</v>
      </c>
      <c r="B758" s="190"/>
      <c r="C758" s="189" t="s">
        <v>512</v>
      </c>
      <c r="D758" s="189" t="s">
        <v>531</v>
      </c>
      <c r="E758" s="189" t="s">
        <v>945</v>
      </c>
      <c r="F758" s="190" t="s">
        <v>554</v>
      </c>
      <c r="G758" s="191">
        <f>18497.9-736.8-222.5</f>
        <v>17538.600000000002</v>
      </c>
      <c r="H758" s="191">
        <f>18497.9-736.8-222.5</f>
        <v>17538.600000000002</v>
      </c>
      <c r="I758" s="192">
        <f t="shared" si="50"/>
        <v>0</v>
      </c>
    </row>
    <row r="759" spans="1:9" x14ac:dyDescent="0.2">
      <c r="A759" s="189" t="s">
        <v>1347</v>
      </c>
      <c r="B759" s="190"/>
      <c r="C759" s="189" t="s">
        <v>512</v>
      </c>
      <c r="D759" s="189" t="s">
        <v>531</v>
      </c>
      <c r="E759" s="189" t="s">
        <v>945</v>
      </c>
      <c r="F759" s="190" t="s">
        <v>535</v>
      </c>
      <c r="G759" s="191">
        <f>G760</f>
        <v>5371.8</v>
      </c>
      <c r="H759" s="191">
        <f>H760</f>
        <v>4646.8</v>
      </c>
      <c r="I759" s="192">
        <f t="shared" si="50"/>
        <v>-725</v>
      </c>
    </row>
    <row r="760" spans="1:9" ht="24" x14ac:dyDescent="0.2">
      <c r="A760" s="189" t="s">
        <v>534</v>
      </c>
      <c r="B760" s="190"/>
      <c r="C760" s="189" t="s">
        <v>512</v>
      </c>
      <c r="D760" s="189" t="s">
        <v>531</v>
      </c>
      <c r="E760" s="189" t="s">
        <v>945</v>
      </c>
      <c r="F760" s="190" t="s">
        <v>529</v>
      </c>
      <c r="G760" s="191">
        <f>1000+61.8+455+200+3655</f>
        <v>5371.8</v>
      </c>
      <c r="H760" s="191">
        <f>1000+61.8+455+200+3655-725</f>
        <v>4646.8</v>
      </c>
      <c r="I760" s="192">
        <f t="shared" si="50"/>
        <v>-725</v>
      </c>
    </row>
    <row r="761" spans="1:9" x14ac:dyDescent="0.2">
      <c r="A761" s="189" t="s">
        <v>944</v>
      </c>
      <c r="B761" s="190"/>
      <c r="C761" s="189" t="s">
        <v>512</v>
      </c>
      <c r="D761" s="189" t="s">
        <v>512</v>
      </c>
      <c r="E761" s="189"/>
      <c r="F761" s="190"/>
      <c r="G761" s="191">
        <f t="shared" ref="G761:H763" si="51">G762</f>
        <v>162535.6</v>
      </c>
      <c r="H761" s="191">
        <f t="shared" si="51"/>
        <v>171124.2</v>
      </c>
      <c r="I761" s="192">
        <f t="shared" si="50"/>
        <v>8588.6000000000058</v>
      </c>
    </row>
    <row r="762" spans="1:9" x14ac:dyDescent="0.2">
      <c r="A762" s="189" t="s">
        <v>604</v>
      </c>
      <c r="B762" s="190"/>
      <c r="C762" s="189" t="s">
        <v>512</v>
      </c>
      <c r="D762" s="189" t="s">
        <v>512</v>
      </c>
      <c r="E762" s="189" t="s">
        <v>603</v>
      </c>
      <c r="F762" s="190"/>
      <c r="G762" s="191">
        <f t="shared" si="51"/>
        <v>162535.6</v>
      </c>
      <c r="H762" s="191">
        <f t="shared" si="51"/>
        <v>171124.2</v>
      </c>
      <c r="I762" s="192">
        <f t="shared" si="50"/>
        <v>8588.6000000000058</v>
      </c>
    </row>
    <row r="763" spans="1:9" x14ac:dyDescent="0.2">
      <c r="A763" s="189" t="s">
        <v>602</v>
      </c>
      <c r="B763" s="190"/>
      <c r="C763" s="189" t="s">
        <v>512</v>
      </c>
      <c r="D763" s="189" t="s">
        <v>512</v>
      </c>
      <c r="E763" s="189" t="s">
        <v>601</v>
      </c>
      <c r="F763" s="190"/>
      <c r="G763" s="191">
        <f t="shared" si="51"/>
        <v>162535.6</v>
      </c>
      <c r="H763" s="191">
        <f t="shared" si="51"/>
        <v>171124.2</v>
      </c>
      <c r="I763" s="192">
        <f t="shared" si="50"/>
        <v>8588.6000000000058</v>
      </c>
    </row>
    <row r="764" spans="1:9" ht="24" x14ac:dyDescent="0.2">
      <c r="A764" s="189" t="s">
        <v>600</v>
      </c>
      <c r="B764" s="190"/>
      <c r="C764" s="189" t="s">
        <v>512</v>
      </c>
      <c r="D764" s="189" t="s">
        <v>512</v>
      </c>
      <c r="E764" s="189" t="s">
        <v>599</v>
      </c>
      <c r="F764" s="190"/>
      <c r="G764" s="191">
        <f>G765+G768+G775+G782+G789</f>
        <v>162535.6</v>
      </c>
      <c r="H764" s="191">
        <f>H765+H768+H775+H782+H789</f>
        <v>171124.2</v>
      </c>
      <c r="I764" s="192">
        <f t="shared" si="50"/>
        <v>8588.6000000000058</v>
      </c>
    </row>
    <row r="765" spans="1:9" ht="24" x14ac:dyDescent="0.2">
      <c r="A765" s="189" t="s">
        <v>937</v>
      </c>
      <c r="B765" s="190"/>
      <c r="C765" s="189" t="s">
        <v>512</v>
      </c>
      <c r="D765" s="189" t="s">
        <v>512</v>
      </c>
      <c r="E765" s="189" t="s">
        <v>935</v>
      </c>
      <c r="F765" s="190"/>
      <c r="G765" s="191">
        <f>G766</f>
        <v>4785.2</v>
      </c>
      <c r="H765" s="191">
        <f>H766</f>
        <v>4785.2</v>
      </c>
      <c r="I765" s="192">
        <f t="shared" si="50"/>
        <v>0</v>
      </c>
    </row>
    <row r="766" spans="1:9" x14ac:dyDescent="0.2">
      <c r="A766" s="189" t="s">
        <v>553</v>
      </c>
      <c r="B766" s="190"/>
      <c r="C766" s="189" t="s">
        <v>512</v>
      </c>
      <c r="D766" s="189" t="s">
        <v>512</v>
      </c>
      <c r="E766" s="189" t="s">
        <v>935</v>
      </c>
      <c r="F766" s="190" t="s">
        <v>552</v>
      </c>
      <c r="G766" s="191">
        <f>G767</f>
        <v>4785.2</v>
      </c>
      <c r="H766" s="191">
        <f>H767</f>
        <v>4785.2</v>
      </c>
      <c r="I766" s="192">
        <f t="shared" si="50"/>
        <v>0</v>
      </c>
    </row>
    <row r="767" spans="1:9" x14ac:dyDescent="0.2">
      <c r="A767" s="189" t="s">
        <v>936</v>
      </c>
      <c r="B767" s="190"/>
      <c r="C767" s="189" t="s">
        <v>512</v>
      </c>
      <c r="D767" s="189" t="s">
        <v>512</v>
      </c>
      <c r="E767" s="189" t="s">
        <v>935</v>
      </c>
      <c r="F767" s="190" t="s">
        <v>934</v>
      </c>
      <c r="G767" s="191">
        <v>4785.2</v>
      </c>
      <c r="H767" s="191">
        <v>4785.2</v>
      </c>
      <c r="I767" s="192">
        <f t="shared" si="50"/>
        <v>0</v>
      </c>
    </row>
    <row r="768" spans="1:9" ht="24" x14ac:dyDescent="0.2">
      <c r="A768" s="189" t="s">
        <v>933</v>
      </c>
      <c r="B768" s="190"/>
      <c r="C768" s="189" t="s">
        <v>512</v>
      </c>
      <c r="D768" s="189" t="s">
        <v>512</v>
      </c>
      <c r="E768" s="189" t="s">
        <v>932</v>
      </c>
      <c r="F768" s="190"/>
      <c r="G768" s="191">
        <f>G769+G771+G773</f>
        <v>50930.200000000004</v>
      </c>
      <c r="H768" s="191">
        <f>H769+H771+H773</f>
        <v>59730.200000000004</v>
      </c>
      <c r="I768" s="192">
        <f t="shared" si="50"/>
        <v>8800</v>
      </c>
    </row>
    <row r="769" spans="1:9" ht="36" x14ac:dyDescent="0.2">
      <c r="A769" s="189" t="s">
        <v>1348</v>
      </c>
      <c r="B769" s="190"/>
      <c r="C769" s="189" t="s">
        <v>512</v>
      </c>
      <c r="D769" s="189" t="s">
        <v>512</v>
      </c>
      <c r="E769" s="189" t="s">
        <v>932</v>
      </c>
      <c r="F769" s="190" t="s">
        <v>556</v>
      </c>
      <c r="G769" s="191">
        <f>G770</f>
        <v>47892.800000000003</v>
      </c>
      <c r="H769" s="191">
        <f>H770</f>
        <v>55892.800000000003</v>
      </c>
      <c r="I769" s="192">
        <f t="shared" si="50"/>
        <v>8000</v>
      </c>
    </row>
    <row r="770" spans="1:9" x14ac:dyDescent="0.2">
      <c r="A770" s="189" t="s">
        <v>555</v>
      </c>
      <c r="B770" s="190"/>
      <c r="C770" s="189" t="s">
        <v>512</v>
      </c>
      <c r="D770" s="189" t="s">
        <v>512</v>
      </c>
      <c r="E770" s="189" t="s">
        <v>932</v>
      </c>
      <c r="F770" s="190" t="s">
        <v>554</v>
      </c>
      <c r="G770" s="191">
        <f>78966.3-21233.4-9840.1</f>
        <v>47892.800000000003</v>
      </c>
      <c r="H770" s="191">
        <f>78966.3-21233.4-9840.1+8000</f>
        <v>55892.800000000003</v>
      </c>
      <c r="I770" s="192">
        <f t="shared" si="50"/>
        <v>8000</v>
      </c>
    </row>
    <row r="771" spans="1:9" x14ac:dyDescent="0.2">
      <c r="A771" s="189" t="s">
        <v>1347</v>
      </c>
      <c r="B771" s="190"/>
      <c r="C771" s="189" t="s">
        <v>512</v>
      </c>
      <c r="D771" s="189" t="s">
        <v>512</v>
      </c>
      <c r="E771" s="189" t="s">
        <v>932</v>
      </c>
      <c r="F771" s="190" t="s">
        <v>535</v>
      </c>
      <c r="G771" s="191">
        <f>G772</f>
        <v>2937.4</v>
      </c>
      <c r="H771" s="191">
        <f>H772</f>
        <v>3737.4</v>
      </c>
      <c r="I771" s="192">
        <f t="shared" si="50"/>
        <v>800</v>
      </c>
    </row>
    <row r="772" spans="1:9" ht="24" x14ac:dyDescent="0.2">
      <c r="A772" s="189" t="s">
        <v>534</v>
      </c>
      <c r="B772" s="190"/>
      <c r="C772" s="189" t="s">
        <v>512</v>
      </c>
      <c r="D772" s="189" t="s">
        <v>512</v>
      </c>
      <c r="E772" s="189" t="s">
        <v>932</v>
      </c>
      <c r="F772" s="190" t="s">
        <v>529</v>
      </c>
      <c r="G772" s="191">
        <f>2861.4+76</f>
        <v>2937.4</v>
      </c>
      <c r="H772" s="191">
        <f>2861.4+76+800</f>
        <v>3737.4</v>
      </c>
      <c r="I772" s="192">
        <f t="shared" si="50"/>
        <v>800</v>
      </c>
    </row>
    <row r="773" spans="1:9" x14ac:dyDescent="0.2">
      <c r="A773" s="189" t="s">
        <v>615</v>
      </c>
      <c r="B773" s="190"/>
      <c r="C773" s="189" t="s">
        <v>512</v>
      </c>
      <c r="D773" s="189" t="s">
        <v>512</v>
      </c>
      <c r="E773" s="189" t="s">
        <v>932</v>
      </c>
      <c r="F773" s="190" t="s">
        <v>509</v>
      </c>
      <c r="G773" s="191">
        <f>G774</f>
        <v>100</v>
      </c>
      <c r="H773" s="191">
        <f>H774</f>
        <v>100</v>
      </c>
      <c r="I773" s="192">
        <f t="shared" si="50"/>
        <v>0</v>
      </c>
    </row>
    <row r="774" spans="1:9" x14ac:dyDescent="0.2">
      <c r="A774" s="189" t="s">
        <v>614</v>
      </c>
      <c r="B774" s="190"/>
      <c r="C774" s="189" t="s">
        <v>512</v>
      </c>
      <c r="D774" s="189" t="s">
        <v>512</v>
      </c>
      <c r="E774" s="189" t="s">
        <v>932</v>
      </c>
      <c r="F774" s="190" t="s">
        <v>613</v>
      </c>
      <c r="G774" s="191">
        <v>100</v>
      </c>
      <c r="H774" s="191">
        <v>100</v>
      </c>
      <c r="I774" s="192">
        <f t="shared" si="50"/>
        <v>0</v>
      </c>
    </row>
    <row r="775" spans="1:9" ht="36" x14ac:dyDescent="0.2">
      <c r="A775" s="189" t="s">
        <v>931</v>
      </c>
      <c r="B775" s="190"/>
      <c r="C775" s="189" t="s">
        <v>512</v>
      </c>
      <c r="D775" s="189" t="s">
        <v>512</v>
      </c>
      <c r="E775" s="189" t="s">
        <v>930</v>
      </c>
      <c r="F775" s="190"/>
      <c r="G775" s="191">
        <f>G776+G778+G780</f>
        <v>35524.299999999996</v>
      </c>
      <c r="H775" s="191">
        <f>H776+H778+H780</f>
        <v>35524.299999999996</v>
      </c>
      <c r="I775" s="192">
        <f t="shared" si="50"/>
        <v>0</v>
      </c>
    </row>
    <row r="776" spans="1:9" ht="36" x14ac:dyDescent="0.2">
      <c r="A776" s="189" t="s">
        <v>1348</v>
      </c>
      <c r="B776" s="190"/>
      <c r="C776" s="189" t="s">
        <v>512</v>
      </c>
      <c r="D776" s="189" t="s">
        <v>512</v>
      </c>
      <c r="E776" s="189" t="s">
        <v>930</v>
      </c>
      <c r="F776" s="190" t="s">
        <v>556</v>
      </c>
      <c r="G776" s="191">
        <f>G777</f>
        <v>29613.200000000001</v>
      </c>
      <c r="H776" s="191">
        <f>H777</f>
        <v>29933.200000000001</v>
      </c>
      <c r="I776" s="192">
        <f t="shared" si="50"/>
        <v>320</v>
      </c>
    </row>
    <row r="777" spans="1:9" x14ac:dyDescent="0.2">
      <c r="A777" s="189" t="s">
        <v>555</v>
      </c>
      <c r="B777" s="190"/>
      <c r="C777" s="189" t="s">
        <v>512</v>
      </c>
      <c r="D777" s="189" t="s">
        <v>512</v>
      </c>
      <c r="E777" s="189" t="s">
        <v>930</v>
      </c>
      <c r="F777" s="190" t="s">
        <v>554</v>
      </c>
      <c r="G777" s="191">
        <f>40196.6+269.4-7252-3600.8</f>
        <v>29613.200000000001</v>
      </c>
      <c r="H777" s="191">
        <f>40196.6+269.4-7252-3600.8+1004.8-684.8</f>
        <v>29933.200000000001</v>
      </c>
      <c r="I777" s="192">
        <f t="shared" si="50"/>
        <v>320</v>
      </c>
    </row>
    <row r="778" spans="1:9" x14ac:dyDescent="0.2">
      <c r="A778" s="189" t="s">
        <v>1347</v>
      </c>
      <c r="B778" s="190"/>
      <c r="C778" s="189" t="s">
        <v>512</v>
      </c>
      <c r="D778" s="189" t="s">
        <v>512</v>
      </c>
      <c r="E778" s="189" t="s">
        <v>930</v>
      </c>
      <c r="F778" s="190" t="s">
        <v>535</v>
      </c>
      <c r="G778" s="191">
        <f>G779</f>
        <v>5893</v>
      </c>
      <c r="H778" s="191">
        <f>H779</f>
        <v>5573</v>
      </c>
      <c r="I778" s="192">
        <f t="shared" si="50"/>
        <v>-320</v>
      </c>
    </row>
    <row r="779" spans="1:9" ht="24" x14ac:dyDescent="0.2">
      <c r="A779" s="189" t="s">
        <v>534</v>
      </c>
      <c r="B779" s="190"/>
      <c r="C779" s="189" t="s">
        <v>512</v>
      </c>
      <c r="D779" s="189" t="s">
        <v>512</v>
      </c>
      <c r="E779" s="189" t="s">
        <v>930</v>
      </c>
      <c r="F779" s="190" t="s">
        <v>529</v>
      </c>
      <c r="G779" s="191">
        <f>6162.4-269.4</f>
        <v>5893</v>
      </c>
      <c r="H779" s="191">
        <f>6162.4-269.4-168.4-151.6</f>
        <v>5573</v>
      </c>
      <c r="I779" s="192">
        <f t="shared" si="50"/>
        <v>-320</v>
      </c>
    </row>
    <row r="780" spans="1:9" x14ac:dyDescent="0.2">
      <c r="A780" s="189" t="s">
        <v>615</v>
      </c>
      <c r="B780" s="190"/>
      <c r="C780" s="189" t="s">
        <v>512</v>
      </c>
      <c r="D780" s="189" t="s">
        <v>512</v>
      </c>
      <c r="E780" s="189" t="s">
        <v>930</v>
      </c>
      <c r="F780" s="190" t="s">
        <v>509</v>
      </c>
      <c r="G780" s="191">
        <f>G781</f>
        <v>18.100000000000001</v>
      </c>
      <c r="H780" s="191">
        <f>H781</f>
        <v>18.100000000000001</v>
      </c>
      <c r="I780" s="192">
        <f t="shared" si="50"/>
        <v>0</v>
      </c>
    </row>
    <row r="781" spans="1:9" x14ac:dyDescent="0.2">
      <c r="A781" s="189" t="s">
        <v>614</v>
      </c>
      <c r="B781" s="190"/>
      <c r="C781" s="189" t="s">
        <v>512</v>
      </c>
      <c r="D781" s="189" t="s">
        <v>512</v>
      </c>
      <c r="E781" s="189" t="s">
        <v>930</v>
      </c>
      <c r="F781" s="190" t="s">
        <v>613</v>
      </c>
      <c r="G781" s="191">
        <v>18.100000000000001</v>
      </c>
      <c r="H781" s="191">
        <v>18.100000000000001</v>
      </c>
      <c r="I781" s="192">
        <f t="shared" si="50"/>
        <v>0</v>
      </c>
    </row>
    <row r="782" spans="1:9" ht="36" x14ac:dyDescent="0.2">
      <c r="A782" s="189" t="s">
        <v>929</v>
      </c>
      <c r="B782" s="190"/>
      <c r="C782" s="189" t="s">
        <v>512</v>
      </c>
      <c r="D782" s="189" t="s">
        <v>512</v>
      </c>
      <c r="E782" s="189" t="s">
        <v>928</v>
      </c>
      <c r="F782" s="190"/>
      <c r="G782" s="191">
        <f>G783+G785+G787</f>
        <v>36901.200000000004</v>
      </c>
      <c r="H782" s="191">
        <f>H783+H785+H787</f>
        <v>36901.200000000004</v>
      </c>
      <c r="I782" s="192">
        <f t="shared" si="50"/>
        <v>0</v>
      </c>
    </row>
    <row r="783" spans="1:9" ht="36" x14ac:dyDescent="0.2">
      <c r="A783" s="189" t="s">
        <v>1348</v>
      </c>
      <c r="B783" s="190"/>
      <c r="C783" s="189" t="s">
        <v>512</v>
      </c>
      <c r="D783" s="189" t="s">
        <v>512</v>
      </c>
      <c r="E783" s="189" t="s">
        <v>928</v>
      </c>
      <c r="F783" s="190" t="s">
        <v>556</v>
      </c>
      <c r="G783" s="191">
        <f>G784</f>
        <v>30171.200000000004</v>
      </c>
      <c r="H783" s="191">
        <f>H784</f>
        <v>30171.200000000004</v>
      </c>
      <c r="I783" s="192">
        <f t="shared" si="50"/>
        <v>0</v>
      </c>
    </row>
    <row r="784" spans="1:9" x14ac:dyDescent="0.2">
      <c r="A784" s="189" t="s">
        <v>555</v>
      </c>
      <c r="B784" s="190"/>
      <c r="C784" s="189" t="s">
        <v>512</v>
      </c>
      <c r="D784" s="189" t="s">
        <v>512</v>
      </c>
      <c r="E784" s="189" t="s">
        <v>928</v>
      </c>
      <c r="F784" s="190" t="s">
        <v>554</v>
      </c>
      <c r="G784" s="191">
        <f>43427.8-9256-4000.6</f>
        <v>30171.200000000004</v>
      </c>
      <c r="H784" s="191">
        <f>43427.8-9256-4000.6</f>
        <v>30171.200000000004</v>
      </c>
      <c r="I784" s="192">
        <f t="shared" si="50"/>
        <v>0</v>
      </c>
    </row>
    <row r="785" spans="1:9" x14ac:dyDescent="0.2">
      <c r="A785" s="189" t="s">
        <v>1347</v>
      </c>
      <c r="B785" s="190"/>
      <c r="C785" s="189" t="s">
        <v>512</v>
      </c>
      <c r="D785" s="189" t="s">
        <v>512</v>
      </c>
      <c r="E785" s="189" t="s">
        <v>928</v>
      </c>
      <c r="F785" s="190" t="s">
        <v>535</v>
      </c>
      <c r="G785" s="191">
        <f>G786</f>
        <v>6178</v>
      </c>
      <c r="H785" s="191">
        <f>H786</f>
        <v>6178</v>
      </c>
      <c r="I785" s="192">
        <f t="shared" si="50"/>
        <v>0</v>
      </c>
    </row>
    <row r="786" spans="1:9" ht="24" x14ac:dyDescent="0.2">
      <c r="A786" s="189" t="s">
        <v>534</v>
      </c>
      <c r="B786" s="190"/>
      <c r="C786" s="189" t="s">
        <v>512</v>
      </c>
      <c r="D786" s="189" t="s">
        <v>512</v>
      </c>
      <c r="E786" s="189" t="s">
        <v>928</v>
      </c>
      <c r="F786" s="190" t="s">
        <v>529</v>
      </c>
      <c r="G786" s="191">
        <f>5421+757</f>
        <v>6178</v>
      </c>
      <c r="H786" s="191">
        <f>5421+757</f>
        <v>6178</v>
      </c>
      <c r="I786" s="192">
        <f t="shared" si="50"/>
        <v>0</v>
      </c>
    </row>
    <row r="787" spans="1:9" x14ac:dyDescent="0.2">
      <c r="A787" s="189" t="s">
        <v>615</v>
      </c>
      <c r="B787" s="190"/>
      <c r="C787" s="189" t="s">
        <v>512</v>
      </c>
      <c r="D787" s="189" t="s">
        <v>512</v>
      </c>
      <c r="E787" s="189" t="s">
        <v>928</v>
      </c>
      <c r="F787" s="190" t="s">
        <v>509</v>
      </c>
      <c r="G787" s="191">
        <f>G788</f>
        <v>552</v>
      </c>
      <c r="H787" s="191">
        <f>H788</f>
        <v>552</v>
      </c>
      <c r="I787" s="192">
        <f t="shared" si="50"/>
        <v>0</v>
      </c>
    </row>
    <row r="788" spans="1:9" x14ac:dyDescent="0.2">
      <c r="A788" s="189" t="s">
        <v>614</v>
      </c>
      <c r="B788" s="190"/>
      <c r="C788" s="189" t="s">
        <v>512</v>
      </c>
      <c r="D788" s="189" t="s">
        <v>512</v>
      </c>
      <c r="E788" s="189" t="s">
        <v>928</v>
      </c>
      <c r="F788" s="190" t="s">
        <v>613</v>
      </c>
      <c r="G788" s="191">
        <v>552</v>
      </c>
      <c r="H788" s="191">
        <v>552</v>
      </c>
      <c r="I788" s="192">
        <f t="shared" si="50"/>
        <v>0</v>
      </c>
    </row>
    <row r="789" spans="1:9" ht="36" x14ac:dyDescent="0.2">
      <c r="A789" s="189" t="s">
        <v>927</v>
      </c>
      <c r="B789" s="190"/>
      <c r="C789" s="189" t="s">
        <v>512</v>
      </c>
      <c r="D789" s="189" t="s">
        <v>512</v>
      </c>
      <c r="E789" s="189" t="s">
        <v>926</v>
      </c>
      <c r="F789" s="190"/>
      <c r="G789" s="191">
        <f>G790+G792+G794</f>
        <v>34394.700000000004</v>
      </c>
      <c r="H789" s="191">
        <f>H790+H792+H794</f>
        <v>34183.300000000003</v>
      </c>
      <c r="I789" s="192">
        <f t="shared" ref="I789:I886" si="52">H789-G789</f>
        <v>-211.40000000000146</v>
      </c>
    </row>
    <row r="790" spans="1:9" ht="36" x14ac:dyDescent="0.2">
      <c r="A790" s="189" t="s">
        <v>1348</v>
      </c>
      <c r="B790" s="190"/>
      <c r="C790" s="189" t="s">
        <v>512</v>
      </c>
      <c r="D790" s="189" t="s">
        <v>512</v>
      </c>
      <c r="E790" s="189" t="s">
        <v>926</v>
      </c>
      <c r="F790" s="190" t="s">
        <v>556</v>
      </c>
      <c r="G790" s="191">
        <f>G791</f>
        <v>29100.400000000001</v>
      </c>
      <c r="H790" s="191">
        <f>H791</f>
        <v>29100.400000000001</v>
      </c>
      <c r="I790" s="192">
        <f t="shared" si="52"/>
        <v>0</v>
      </c>
    </row>
    <row r="791" spans="1:9" x14ac:dyDescent="0.2">
      <c r="A791" s="189" t="s">
        <v>555</v>
      </c>
      <c r="B791" s="190"/>
      <c r="C791" s="189" t="s">
        <v>512</v>
      </c>
      <c r="D791" s="189" t="s">
        <v>512</v>
      </c>
      <c r="E791" s="189" t="s">
        <v>926</v>
      </c>
      <c r="F791" s="190" t="s">
        <v>554</v>
      </c>
      <c r="G791" s="191">
        <f>47186.4-10525.1-7560.9</f>
        <v>29100.400000000001</v>
      </c>
      <c r="H791" s="191">
        <f>47186.4-10525.1-7560.9</f>
        <v>29100.400000000001</v>
      </c>
      <c r="I791" s="192">
        <f t="shared" si="52"/>
        <v>0</v>
      </c>
    </row>
    <row r="792" spans="1:9" x14ac:dyDescent="0.2">
      <c r="A792" s="189" t="s">
        <v>1347</v>
      </c>
      <c r="B792" s="190"/>
      <c r="C792" s="189" t="s">
        <v>512</v>
      </c>
      <c r="D792" s="189" t="s">
        <v>512</v>
      </c>
      <c r="E792" s="189" t="s">
        <v>926</v>
      </c>
      <c r="F792" s="190" t="s">
        <v>535</v>
      </c>
      <c r="G792" s="191">
        <f>G793</f>
        <v>5211.3999999999996</v>
      </c>
      <c r="H792" s="191">
        <f>H793</f>
        <v>5000</v>
      </c>
      <c r="I792" s="192">
        <f t="shared" si="52"/>
        <v>-211.39999999999964</v>
      </c>
    </row>
    <row r="793" spans="1:9" ht="24" x14ac:dyDescent="0.2">
      <c r="A793" s="189" t="s">
        <v>534</v>
      </c>
      <c r="B793" s="190"/>
      <c r="C793" s="189" t="s">
        <v>512</v>
      </c>
      <c r="D793" s="189" t="s">
        <v>512</v>
      </c>
      <c r="E793" s="189" t="s">
        <v>926</v>
      </c>
      <c r="F793" s="190" t="s">
        <v>529</v>
      </c>
      <c r="G793" s="191">
        <f>5234.7-23.3</f>
        <v>5211.3999999999996</v>
      </c>
      <c r="H793" s="191">
        <f>5234.7-23.3-211.4</f>
        <v>5000</v>
      </c>
      <c r="I793" s="192">
        <f t="shared" si="52"/>
        <v>-211.39999999999964</v>
      </c>
    </row>
    <row r="794" spans="1:9" x14ac:dyDescent="0.2">
      <c r="A794" s="189" t="s">
        <v>615</v>
      </c>
      <c r="B794" s="190"/>
      <c r="C794" s="189" t="s">
        <v>512</v>
      </c>
      <c r="D794" s="189" t="s">
        <v>512</v>
      </c>
      <c r="E794" s="189" t="s">
        <v>926</v>
      </c>
      <c r="F794" s="190" t="s">
        <v>509</v>
      </c>
      <c r="G794" s="191">
        <f>G795</f>
        <v>82.9</v>
      </c>
      <c r="H794" s="191">
        <f>H795</f>
        <v>82.9</v>
      </c>
      <c r="I794" s="192">
        <f t="shared" si="52"/>
        <v>0</v>
      </c>
    </row>
    <row r="795" spans="1:9" x14ac:dyDescent="0.2">
      <c r="A795" s="189" t="s">
        <v>614</v>
      </c>
      <c r="B795" s="190"/>
      <c r="C795" s="189" t="s">
        <v>512</v>
      </c>
      <c r="D795" s="189" t="s">
        <v>512</v>
      </c>
      <c r="E795" s="189" t="s">
        <v>926</v>
      </c>
      <c r="F795" s="190" t="s">
        <v>613</v>
      </c>
      <c r="G795" s="191">
        <v>82.9</v>
      </c>
      <c r="H795" s="191">
        <v>82.9</v>
      </c>
      <c r="I795" s="192">
        <f t="shared" si="52"/>
        <v>0</v>
      </c>
    </row>
    <row r="796" spans="1:9" s="78" customFormat="1" x14ac:dyDescent="0.2">
      <c r="A796" s="185" t="s">
        <v>925</v>
      </c>
      <c r="B796" s="186"/>
      <c r="C796" s="185" t="s">
        <v>747</v>
      </c>
      <c r="D796" s="185"/>
      <c r="E796" s="185"/>
      <c r="F796" s="186"/>
      <c r="G796" s="187">
        <f>G804+G797</f>
        <v>43682.9</v>
      </c>
      <c r="H796" s="187">
        <f>H804+H797</f>
        <v>104594.34999999999</v>
      </c>
      <c r="I796" s="188">
        <f t="shared" si="52"/>
        <v>60911.44999999999</v>
      </c>
    </row>
    <row r="797" spans="1:9" s="78" customFormat="1" x14ac:dyDescent="0.2">
      <c r="A797" s="189" t="s">
        <v>1595</v>
      </c>
      <c r="B797" s="186"/>
      <c r="C797" s="189" t="s">
        <v>747</v>
      </c>
      <c r="D797" s="189" t="s">
        <v>502</v>
      </c>
      <c r="E797" s="189"/>
      <c r="F797" s="189"/>
      <c r="G797" s="191">
        <f t="shared" ref="G797:H802" si="53">G798</f>
        <v>37074.400000000001</v>
      </c>
      <c r="H797" s="191">
        <f t="shared" si="53"/>
        <v>98865.15</v>
      </c>
      <c r="I797" s="192">
        <f t="shared" si="52"/>
        <v>61790.749999999993</v>
      </c>
    </row>
    <row r="798" spans="1:9" s="78" customFormat="1" x14ac:dyDescent="0.2">
      <c r="A798" s="189" t="s">
        <v>943</v>
      </c>
      <c r="B798" s="186"/>
      <c r="C798" s="189" t="s">
        <v>747</v>
      </c>
      <c r="D798" s="189" t="s">
        <v>502</v>
      </c>
      <c r="E798" s="189" t="s">
        <v>942</v>
      </c>
      <c r="F798" s="189"/>
      <c r="G798" s="191">
        <f t="shared" si="53"/>
        <v>37074.400000000001</v>
      </c>
      <c r="H798" s="191">
        <f t="shared" si="53"/>
        <v>98865.15</v>
      </c>
      <c r="I798" s="192">
        <f t="shared" si="52"/>
        <v>61790.749999999993</v>
      </c>
    </row>
    <row r="799" spans="1:9" s="78" customFormat="1" x14ac:dyDescent="0.2">
      <c r="A799" s="189" t="s">
        <v>1596</v>
      </c>
      <c r="B799" s="186"/>
      <c r="C799" s="189" t="s">
        <v>747</v>
      </c>
      <c r="D799" s="189" t="s">
        <v>502</v>
      </c>
      <c r="E799" s="189" t="s">
        <v>1599</v>
      </c>
      <c r="F799" s="189"/>
      <c r="G799" s="191">
        <f t="shared" si="53"/>
        <v>37074.400000000001</v>
      </c>
      <c r="H799" s="191">
        <f t="shared" si="53"/>
        <v>98865.15</v>
      </c>
      <c r="I799" s="192">
        <f t="shared" si="52"/>
        <v>61790.749999999993</v>
      </c>
    </row>
    <row r="800" spans="1:9" s="78" customFormat="1" ht="36" x14ac:dyDescent="0.2">
      <c r="A800" s="189" t="s">
        <v>1597</v>
      </c>
      <c r="B800" s="186"/>
      <c r="C800" s="189" t="s">
        <v>747</v>
      </c>
      <c r="D800" s="189" t="s">
        <v>502</v>
      </c>
      <c r="E800" s="189" t="s">
        <v>1600</v>
      </c>
      <c r="F800" s="189"/>
      <c r="G800" s="191">
        <f t="shared" si="53"/>
        <v>37074.400000000001</v>
      </c>
      <c r="H800" s="191">
        <f t="shared" si="53"/>
        <v>98865.15</v>
      </c>
      <c r="I800" s="192">
        <f t="shared" si="52"/>
        <v>61790.749999999993</v>
      </c>
    </row>
    <row r="801" spans="1:9" s="78" customFormat="1" x14ac:dyDescent="0.2">
      <c r="A801" s="189" t="s">
        <v>1598</v>
      </c>
      <c r="B801" s="186"/>
      <c r="C801" s="189" t="s">
        <v>747</v>
      </c>
      <c r="D801" s="189" t="s">
        <v>502</v>
      </c>
      <c r="E801" s="189" t="s">
        <v>1601</v>
      </c>
      <c r="F801" s="189"/>
      <c r="G801" s="191">
        <f t="shared" si="53"/>
        <v>37074.400000000001</v>
      </c>
      <c r="H801" s="191">
        <f t="shared" si="53"/>
        <v>98865.15</v>
      </c>
      <c r="I801" s="192">
        <f t="shared" si="52"/>
        <v>61790.749999999993</v>
      </c>
    </row>
    <row r="802" spans="1:9" s="78" customFormat="1" x14ac:dyDescent="0.2">
      <c r="A802" s="189" t="s">
        <v>1355</v>
      </c>
      <c r="B802" s="186"/>
      <c r="C802" s="189" t="s">
        <v>747</v>
      </c>
      <c r="D802" s="189" t="s">
        <v>502</v>
      </c>
      <c r="E802" s="189" t="s">
        <v>1601</v>
      </c>
      <c r="F802" s="189" t="s">
        <v>824</v>
      </c>
      <c r="G802" s="191">
        <f t="shared" si="53"/>
        <v>37074.400000000001</v>
      </c>
      <c r="H802" s="191">
        <f t="shared" si="53"/>
        <v>98865.15</v>
      </c>
      <c r="I802" s="192">
        <f t="shared" si="52"/>
        <v>61790.749999999993</v>
      </c>
    </row>
    <row r="803" spans="1:9" s="78" customFormat="1" x14ac:dyDescent="0.2">
      <c r="A803" s="189" t="s">
        <v>823</v>
      </c>
      <c r="B803" s="186"/>
      <c r="C803" s="189" t="s">
        <v>747</v>
      </c>
      <c r="D803" s="189" t="s">
        <v>502</v>
      </c>
      <c r="E803" s="189" t="s">
        <v>1601</v>
      </c>
      <c r="F803" s="189" t="s">
        <v>821</v>
      </c>
      <c r="G803" s="191">
        <v>37074.400000000001</v>
      </c>
      <c r="H803" s="191">
        <f>37074.43+61790.72</f>
        <v>98865.15</v>
      </c>
      <c r="I803" s="192">
        <f t="shared" si="52"/>
        <v>61790.749999999993</v>
      </c>
    </row>
    <row r="804" spans="1:9" x14ac:dyDescent="0.2">
      <c r="A804" s="189" t="s">
        <v>924</v>
      </c>
      <c r="B804" s="190"/>
      <c r="C804" s="189" t="s">
        <v>747</v>
      </c>
      <c r="D804" s="189" t="s">
        <v>531</v>
      </c>
      <c r="E804" s="189"/>
      <c r="F804" s="190"/>
      <c r="G804" s="191">
        <f>G805</f>
        <v>6608.5</v>
      </c>
      <c r="H804" s="191">
        <f>H805</f>
        <v>5729.1999999999989</v>
      </c>
      <c r="I804" s="192">
        <f t="shared" si="52"/>
        <v>-879.30000000000109</v>
      </c>
    </row>
    <row r="805" spans="1:9" x14ac:dyDescent="0.2">
      <c r="A805" s="189" t="s">
        <v>923</v>
      </c>
      <c r="B805" s="190"/>
      <c r="C805" s="189" t="s">
        <v>747</v>
      </c>
      <c r="D805" s="189" t="s">
        <v>531</v>
      </c>
      <c r="E805" s="189" t="s">
        <v>922</v>
      </c>
      <c r="F805" s="190"/>
      <c r="G805" s="191">
        <f>G806+G823</f>
        <v>6608.5</v>
      </c>
      <c r="H805" s="191">
        <f>H806+H823</f>
        <v>5729.1999999999989</v>
      </c>
      <c r="I805" s="192">
        <f t="shared" si="52"/>
        <v>-879.30000000000109</v>
      </c>
    </row>
    <row r="806" spans="1:9" x14ac:dyDescent="0.2">
      <c r="A806" s="189" t="s">
        <v>921</v>
      </c>
      <c r="B806" s="190"/>
      <c r="C806" s="189" t="s">
        <v>747</v>
      </c>
      <c r="D806" s="189" t="s">
        <v>531</v>
      </c>
      <c r="E806" s="189" t="s">
        <v>920</v>
      </c>
      <c r="F806" s="190"/>
      <c r="G806" s="191">
        <f>G807+G819</f>
        <v>6388.5</v>
      </c>
      <c r="H806" s="191">
        <f>H807+H819</f>
        <v>5509.1999999999989</v>
      </c>
      <c r="I806" s="192">
        <f t="shared" si="52"/>
        <v>-879.30000000000109</v>
      </c>
    </row>
    <row r="807" spans="1:9" s="241" customFormat="1" ht="24" x14ac:dyDescent="0.2">
      <c r="A807" s="189" t="s">
        <v>1015</v>
      </c>
      <c r="B807" s="190"/>
      <c r="C807" s="189" t="s">
        <v>747</v>
      </c>
      <c r="D807" s="189" t="s">
        <v>531</v>
      </c>
      <c r="E807" s="189" t="s">
        <v>1014</v>
      </c>
      <c r="F807" s="190"/>
      <c r="G807" s="191">
        <f>G808+G811+G814</f>
        <v>6338.5</v>
      </c>
      <c r="H807" s="191">
        <f>H808+H811+H814</f>
        <v>5459.1999999999989</v>
      </c>
      <c r="I807" s="192">
        <f t="shared" si="52"/>
        <v>-879.30000000000109</v>
      </c>
    </row>
    <row r="808" spans="1:9" s="241" customFormat="1" x14ac:dyDescent="0.2">
      <c r="A808" s="189" t="s">
        <v>917</v>
      </c>
      <c r="B808" s="190"/>
      <c r="C808" s="189" t="s">
        <v>747</v>
      </c>
      <c r="D808" s="189" t="s">
        <v>531</v>
      </c>
      <c r="E808" s="189" t="s">
        <v>1377</v>
      </c>
      <c r="F808" s="190"/>
      <c r="G808" s="191">
        <f>G809</f>
        <v>1659.9</v>
      </c>
      <c r="H808" s="191">
        <f>H809</f>
        <v>1659.9</v>
      </c>
      <c r="I808" s="192">
        <f t="shared" si="52"/>
        <v>0</v>
      </c>
    </row>
    <row r="809" spans="1:9" s="241" customFormat="1" x14ac:dyDescent="0.2">
      <c r="A809" s="189" t="s">
        <v>1347</v>
      </c>
      <c r="B809" s="190"/>
      <c r="C809" s="189" t="s">
        <v>747</v>
      </c>
      <c r="D809" s="189" t="s">
        <v>531</v>
      </c>
      <c r="E809" s="189" t="s">
        <v>1377</v>
      </c>
      <c r="F809" s="190">
        <v>200</v>
      </c>
      <c r="G809" s="191">
        <f>G810</f>
        <v>1659.9</v>
      </c>
      <c r="H809" s="191">
        <f>H810</f>
        <v>1659.9</v>
      </c>
      <c r="I809" s="192">
        <f t="shared" si="52"/>
        <v>0</v>
      </c>
    </row>
    <row r="810" spans="1:9" s="241" customFormat="1" ht="24" x14ac:dyDescent="0.2">
      <c r="A810" s="189" t="s">
        <v>534</v>
      </c>
      <c r="B810" s="190"/>
      <c r="C810" s="189" t="s">
        <v>747</v>
      </c>
      <c r="D810" s="189" t="s">
        <v>531</v>
      </c>
      <c r="E810" s="189" t="s">
        <v>1377</v>
      </c>
      <c r="F810" s="190">
        <v>240</v>
      </c>
      <c r="G810" s="191">
        <v>1659.9</v>
      </c>
      <c r="H810" s="191">
        <v>1659.9</v>
      </c>
      <c r="I810" s="192">
        <f t="shared" si="52"/>
        <v>0</v>
      </c>
    </row>
    <row r="811" spans="1:9" s="241" customFormat="1" ht="24" x14ac:dyDescent="0.2">
      <c r="A811" s="189" t="s">
        <v>915</v>
      </c>
      <c r="B811" s="190"/>
      <c r="C811" s="189" t="s">
        <v>747</v>
      </c>
      <c r="D811" s="189" t="s">
        <v>531</v>
      </c>
      <c r="E811" s="189" t="s">
        <v>1386</v>
      </c>
      <c r="F811" s="190"/>
      <c r="G811" s="191">
        <f>G812</f>
        <v>3741.7</v>
      </c>
      <c r="H811" s="191">
        <f>H812</f>
        <v>2862.3999999999996</v>
      </c>
      <c r="I811" s="192">
        <f t="shared" si="52"/>
        <v>-879.30000000000018</v>
      </c>
    </row>
    <row r="812" spans="1:9" s="241" customFormat="1" x14ac:dyDescent="0.2">
      <c r="A812" s="189" t="s">
        <v>1347</v>
      </c>
      <c r="B812" s="190"/>
      <c r="C812" s="189" t="s">
        <v>747</v>
      </c>
      <c r="D812" s="189" t="s">
        <v>531</v>
      </c>
      <c r="E812" s="189" t="s">
        <v>1386</v>
      </c>
      <c r="F812" s="190">
        <v>200</v>
      </c>
      <c r="G812" s="191">
        <f>G813</f>
        <v>3741.7</v>
      </c>
      <c r="H812" s="191">
        <f>H813</f>
        <v>2862.3999999999996</v>
      </c>
      <c r="I812" s="192">
        <f t="shared" si="52"/>
        <v>-879.30000000000018</v>
      </c>
    </row>
    <row r="813" spans="1:9" s="241" customFormat="1" ht="13.5" customHeight="1" x14ac:dyDescent="0.2">
      <c r="A813" s="189" t="s">
        <v>534</v>
      </c>
      <c r="B813" s="190"/>
      <c r="C813" s="189" t="s">
        <v>747</v>
      </c>
      <c r="D813" s="189" t="s">
        <v>531</v>
      </c>
      <c r="E813" s="189" t="s">
        <v>1386</v>
      </c>
      <c r="F813" s="190">
        <v>240</v>
      </c>
      <c r="G813" s="191">
        <f>4000-258.3</f>
        <v>3741.7</v>
      </c>
      <c r="H813" s="191">
        <f>4000-258.3-879.3</f>
        <v>2862.3999999999996</v>
      </c>
      <c r="I813" s="192">
        <f t="shared" si="52"/>
        <v>-879.30000000000018</v>
      </c>
    </row>
    <row r="814" spans="1:9" s="241" customFormat="1" ht="24" x14ac:dyDescent="0.2">
      <c r="A814" s="189" t="s">
        <v>1529</v>
      </c>
      <c r="B814" s="190"/>
      <c r="C814" s="189" t="s">
        <v>747</v>
      </c>
      <c r="D814" s="189" t="s">
        <v>531</v>
      </c>
      <c r="E814" s="189" t="s">
        <v>1010</v>
      </c>
      <c r="F814" s="190"/>
      <c r="G814" s="191">
        <f>G815+G817</f>
        <v>936.9</v>
      </c>
      <c r="H814" s="191">
        <f>H815+H817</f>
        <v>936.9</v>
      </c>
      <c r="I814" s="192">
        <f t="shared" si="52"/>
        <v>0</v>
      </c>
    </row>
    <row r="815" spans="1:9" s="241" customFormat="1" ht="36" x14ac:dyDescent="0.2">
      <c r="A815" s="189" t="s">
        <v>1348</v>
      </c>
      <c r="B815" s="190"/>
      <c r="C815" s="189" t="s">
        <v>747</v>
      </c>
      <c r="D815" s="189" t="s">
        <v>531</v>
      </c>
      <c r="E815" s="189" t="s">
        <v>1010</v>
      </c>
      <c r="F815" s="190">
        <v>100</v>
      </c>
      <c r="G815" s="191">
        <f>G816</f>
        <v>177.5</v>
      </c>
      <c r="H815" s="191">
        <f>H816</f>
        <v>177.5</v>
      </c>
      <c r="I815" s="192">
        <f t="shared" si="52"/>
        <v>0</v>
      </c>
    </row>
    <row r="816" spans="1:9" s="241" customFormat="1" x14ac:dyDescent="0.2">
      <c r="A816" s="189" t="s">
        <v>555</v>
      </c>
      <c r="B816" s="190"/>
      <c r="C816" s="189" t="s">
        <v>747</v>
      </c>
      <c r="D816" s="189" t="s">
        <v>531</v>
      </c>
      <c r="E816" s="189" t="s">
        <v>1010</v>
      </c>
      <c r="F816" s="190">
        <v>110</v>
      </c>
      <c r="G816" s="191">
        <f>720-542.5</f>
        <v>177.5</v>
      </c>
      <c r="H816" s="191">
        <f>720-542.5</f>
        <v>177.5</v>
      </c>
      <c r="I816" s="192">
        <f t="shared" si="52"/>
        <v>0</v>
      </c>
    </row>
    <row r="817" spans="1:9" s="388" customFormat="1" ht="24" x14ac:dyDescent="0.2">
      <c r="A817" s="189" t="s">
        <v>547</v>
      </c>
      <c r="B817" s="190"/>
      <c r="C817" s="189" t="s">
        <v>747</v>
      </c>
      <c r="D817" s="189" t="s">
        <v>531</v>
      </c>
      <c r="E817" s="189" t="s">
        <v>1010</v>
      </c>
      <c r="F817" s="190">
        <v>600</v>
      </c>
      <c r="G817" s="191">
        <f>G818</f>
        <v>759.4</v>
      </c>
      <c r="H817" s="191">
        <f>H818</f>
        <v>759.4</v>
      </c>
      <c r="I817" s="192">
        <f>H817-G817</f>
        <v>0</v>
      </c>
    </row>
    <row r="818" spans="1:9" s="388" customFormat="1" x14ac:dyDescent="0.2">
      <c r="A818" s="189" t="s">
        <v>571</v>
      </c>
      <c r="B818" s="190"/>
      <c r="C818" s="189" t="s">
        <v>747</v>
      </c>
      <c r="D818" s="189" t="s">
        <v>531</v>
      </c>
      <c r="E818" s="189" t="s">
        <v>1010</v>
      </c>
      <c r="F818" s="190">
        <v>610</v>
      </c>
      <c r="G818" s="191">
        <v>759.4</v>
      </c>
      <c r="H818" s="191">
        <v>759.4</v>
      </c>
      <c r="I818" s="192">
        <f>H818-G818</f>
        <v>0</v>
      </c>
    </row>
    <row r="819" spans="1:9" x14ac:dyDescent="0.2">
      <c r="A819" s="189" t="s">
        <v>919</v>
      </c>
      <c r="B819" s="190"/>
      <c r="C819" s="189" t="s">
        <v>747</v>
      </c>
      <c r="D819" s="189" t="s">
        <v>531</v>
      </c>
      <c r="E819" s="189" t="s">
        <v>918</v>
      </c>
      <c r="F819" s="190"/>
      <c r="G819" s="191">
        <f t="shared" ref="G819:H821" si="54">G820</f>
        <v>50</v>
      </c>
      <c r="H819" s="191">
        <f t="shared" si="54"/>
        <v>50</v>
      </c>
      <c r="I819" s="192">
        <f t="shared" si="52"/>
        <v>0</v>
      </c>
    </row>
    <row r="820" spans="1:9" x14ac:dyDescent="0.2">
      <c r="A820" s="189" t="s">
        <v>917</v>
      </c>
      <c r="B820" s="190"/>
      <c r="C820" s="189" t="s">
        <v>747</v>
      </c>
      <c r="D820" s="189" t="s">
        <v>531</v>
      </c>
      <c r="E820" s="189" t="s">
        <v>916</v>
      </c>
      <c r="F820" s="190"/>
      <c r="G820" s="191">
        <f t="shared" si="54"/>
        <v>50</v>
      </c>
      <c r="H820" s="191">
        <f t="shared" si="54"/>
        <v>50</v>
      </c>
      <c r="I820" s="192">
        <f t="shared" si="52"/>
        <v>0</v>
      </c>
    </row>
    <row r="821" spans="1:9" x14ac:dyDescent="0.2">
      <c r="A821" s="189" t="s">
        <v>1347</v>
      </c>
      <c r="B821" s="190"/>
      <c r="C821" s="189" t="s">
        <v>747</v>
      </c>
      <c r="D821" s="189" t="s">
        <v>531</v>
      </c>
      <c r="E821" s="189" t="s">
        <v>916</v>
      </c>
      <c r="F821" s="190" t="s">
        <v>535</v>
      </c>
      <c r="G821" s="191">
        <f t="shared" si="54"/>
        <v>50</v>
      </c>
      <c r="H821" s="191">
        <f t="shared" si="54"/>
        <v>50</v>
      </c>
      <c r="I821" s="192">
        <f t="shared" si="52"/>
        <v>0</v>
      </c>
    </row>
    <row r="822" spans="1:9" ht="15" customHeight="1" x14ac:dyDescent="0.2">
      <c r="A822" s="189" t="s">
        <v>534</v>
      </c>
      <c r="B822" s="190"/>
      <c r="C822" s="189" t="s">
        <v>747</v>
      </c>
      <c r="D822" s="189" t="s">
        <v>531</v>
      </c>
      <c r="E822" s="189" t="s">
        <v>916</v>
      </c>
      <c r="F822" s="190" t="s">
        <v>529</v>
      </c>
      <c r="G822" s="191">
        <f>2966.8-2916.8</f>
        <v>50</v>
      </c>
      <c r="H822" s="191">
        <f>2966.8-2916.8</f>
        <v>50</v>
      </c>
      <c r="I822" s="192">
        <f t="shared" si="52"/>
        <v>0</v>
      </c>
    </row>
    <row r="823" spans="1:9" s="241" customFormat="1" ht="14.25" customHeight="1" x14ac:dyDescent="0.2">
      <c r="A823" s="189" t="s">
        <v>1380</v>
      </c>
      <c r="B823" s="190"/>
      <c r="C823" s="189" t="s">
        <v>747</v>
      </c>
      <c r="D823" s="189" t="s">
        <v>531</v>
      </c>
      <c r="E823" s="189" t="s">
        <v>1383</v>
      </c>
      <c r="F823" s="190"/>
      <c r="G823" s="191">
        <f t="shared" ref="G823:H826" si="55">G824</f>
        <v>220</v>
      </c>
      <c r="H823" s="191">
        <f t="shared" si="55"/>
        <v>220</v>
      </c>
      <c r="I823" s="192">
        <f t="shared" si="52"/>
        <v>0</v>
      </c>
    </row>
    <row r="824" spans="1:9" s="241" customFormat="1" ht="17.25" customHeight="1" x14ac:dyDescent="0.2">
      <c r="A824" s="189" t="s">
        <v>1381</v>
      </c>
      <c r="B824" s="190"/>
      <c r="C824" s="189" t="s">
        <v>747</v>
      </c>
      <c r="D824" s="189" t="s">
        <v>531</v>
      </c>
      <c r="E824" s="189" t="s">
        <v>1384</v>
      </c>
      <c r="F824" s="190"/>
      <c r="G824" s="191">
        <f t="shared" si="55"/>
        <v>220</v>
      </c>
      <c r="H824" s="191">
        <f t="shared" si="55"/>
        <v>220</v>
      </c>
      <c r="I824" s="192">
        <f t="shared" si="52"/>
        <v>0</v>
      </c>
    </row>
    <row r="825" spans="1:9" s="241" customFormat="1" ht="24" x14ac:dyDescent="0.2">
      <c r="A825" s="189" t="s">
        <v>1382</v>
      </c>
      <c r="B825" s="190"/>
      <c r="C825" s="189" t="s">
        <v>747</v>
      </c>
      <c r="D825" s="189" t="s">
        <v>531</v>
      </c>
      <c r="E825" s="189" t="s">
        <v>1385</v>
      </c>
      <c r="F825" s="190"/>
      <c r="G825" s="191">
        <f t="shared" si="55"/>
        <v>220</v>
      </c>
      <c r="H825" s="191">
        <f t="shared" si="55"/>
        <v>220</v>
      </c>
      <c r="I825" s="192">
        <f t="shared" si="52"/>
        <v>0</v>
      </c>
    </row>
    <row r="826" spans="1:9" s="241" customFormat="1" x14ac:dyDescent="0.2">
      <c r="A826" s="189" t="s">
        <v>1347</v>
      </c>
      <c r="B826" s="190"/>
      <c r="C826" s="189" t="s">
        <v>747</v>
      </c>
      <c r="D826" s="189" t="s">
        <v>531</v>
      </c>
      <c r="E826" s="189" t="s">
        <v>1385</v>
      </c>
      <c r="F826" s="190" t="s">
        <v>535</v>
      </c>
      <c r="G826" s="191">
        <f t="shared" si="55"/>
        <v>220</v>
      </c>
      <c r="H826" s="191">
        <f t="shared" si="55"/>
        <v>220</v>
      </c>
      <c r="I826" s="192">
        <f t="shared" si="52"/>
        <v>0</v>
      </c>
    </row>
    <row r="827" spans="1:9" s="241" customFormat="1" ht="24" x14ac:dyDescent="0.2">
      <c r="A827" s="189" t="s">
        <v>534</v>
      </c>
      <c r="B827" s="190"/>
      <c r="C827" s="189" t="s">
        <v>747</v>
      </c>
      <c r="D827" s="189" t="s">
        <v>531</v>
      </c>
      <c r="E827" s="189" t="s">
        <v>1385</v>
      </c>
      <c r="F827" s="190" t="s">
        <v>529</v>
      </c>
      <c r="G827" s="191">
        <v>220</v>
      </c>
      <c r="H827" s="191">
        <v>220</v>
      </c>
      <c r="I827" s="192">
        <f t="shared" si="52"/>
        <v>0</v>
      </c>
    </row>
    <row r="828" spans="1:9" s="78" customFormat="1" x14ac:dyDescent="0.2">
      <c r="A828" s="185" t="s">
        <v>612</v>
      </c>
      <c r="B828" s="186"/>
      <c r="C828" s="185" t="s">
        <v>609</v>
      </c>
      <c r="D828" s="185"/>
      <c r="E828" s="185"/>
      <c r="F828" s="186"/>
      <c r="G828" s="187">
        <f>G829+G851+G881+G888+G895</f>
        <v>1189052.4000000001</v>
      </c>
      <c r="H828" s="187">
        <f>H829+H851+H881+H888+H895</f>
        <v>1020282.8</v>
      </c>
      <c r="I828" s="188">
        <f t="shared" si="52"/>
        <v>-168769.60000000009</v>
      </c>
    </row>
    <row r="829" spans="1:9" x14ac:dyDescent="0.2">
      <c r="A829" s="189" t="s">
        <v>728</v>
      </c>
      <c r="B829" s="190"/>
      <c r="C829" s="189" t="s">
        <v>609</v>
      </c>
      <c r="D829" s="189" t="s">
        <v>498</v>
      </c>
      <c r="E829" s="189"/>
      <c r="F829" s="190"/>
      <c r="G829" s="191">
        <f>G830+G836+G842</f>
        <v>168885.9</v>
      </c>
      <c r="H829" s="191">
        <f>H830+H836+H842</f>
        <v>25244.1</v>
      </c>
      <c r="I829" s="192">
        <f t="shared" si="52"/>
        <v>-143641.79999999999</v>
      </c>
    </row>
    <row r="830" spans="1:9" x14ac:dyDescent="0.2">
      <c r="A830" s="189" t="s">
        <v>666</v>
      </c>
      <c r="B830" s="190"/>
      <c r="C830" s="189" t="s">
        <v>609</v>
      </c>
      <c r="D830" s="189" t="s">
        <v>498</v>
      </c>
      <c r="E830" s="189" t="s">
        <v>665</v>
      </c>
      <c r="F830" s="190"/>
      <c r="G830" s="191">
        <f t="shared" ref="G830:H834" si="56">G831</f>
        <v>13464.1</v>
      </c>
      <c r="H830" s="191">
        <f t="shared" si="56"/>
        <v>13464.1</v>
      </c>
      <c r="I830" s="192">
        <f t="shared" si="52"/>
        <v>0</v>
      </c>
    </row>
    <row r="831" spans="1:9" x14ac:dyDescent="0.2">
      <c r="A831" s="189" t="s">
        <v>664</v>
      </c>
      <c r="B831" s="190"/>
      <c r="C831" s="189" t="s">
        <v>609</v>
      </c>
      <c r="D831" s="189" t="s">
        <v>498</v>
      </c>
      <c r="E831" s="189" t="s">
        <v>663</v>
      </c>
      <c r="F831" s="190"/>
      <c r="G831" s="191">
        <f t="shared" si="56"/>
        <v>13464.1</v>
      </c>
      <c r="H831" s="191">
        <f t="shared" si="56"/>
        <v>13464.1</v>
      </c>
      <c r="I831" s="192">
        <f t="shared" si="52"/>
        <v>0</v>
      </c>
    </row>
    <row r="832" spans="1:9" ht="24" x14ac:dyDescent="0.2">
      <c r="A832" s="189" t="s">
        <v>662</v>
      </c>
      <c r="B832" s="190"/>
      <c r="C832" s="189" t="s">
        <v>609</v>
      </c>
      <c r="D832" s="189" t="s">
        <v>498</v>
      </c>
      <c r="E832" s="189" t="s">
        <v>661</v>
      </c>
      <c r="F832" s="190"/>
      <c r="G832" s="191">
        <f t="shared" si="56"/>
        <v>13464.1</v>
      </c>
      <c r="H832" s="191">
        <f t="shared" si="56"/>
        <v>13464.1</v>
      </c>
      <c r="I832" s="192">
        <f t="shared" si="52"/>
        <v>0</v>
      </c>
    </row>
    <row r="833" spans="1:9" ht="24" x14ac:dyDescent="0.2">
      <c r="A833" s="189" t="s">
        <v>727</v>
      </c>
      <c r="B833" s="190"/>
      <c r="C833" s="189" t="s">
        <v>609</v>
      </c>
      <c r="D833" s="189" t="s">
        <v>498</v>
      </c>
      <c r="E833" s="189" t="s">
        <v>726</v>
      </c>
      <c r="F833" s="190"/>
      <c r="G833" s="191">
        <f t="shared" si="56"/>
        <v>13464.1</v>
      </c>
      <c r="H833" s="191">
        <f t="shared" si="56"/>
        <v>13464.1</v>
      </c>
      <c r="I833" s="192">
        <f t="shared" si="52"/>
        <v>0</v>
      </c>
    </row>
    <row r="834" spans="1:9" x14ac:dyDescent="0.2">
      <c r="A834" s="189" t="s">
        <v>1347</v>
      </c>
      <c r="B834" s="190"/>
      <c r="C834" s="189" t="s">
        <v>609</v>
      </c>
      <c r="D834" s="189" t="s">
        <v>498</v>
      </c>
      <c r="E834" s="189" t="s">
        <v>726</v>
      </c>
      <c r="F834" s="190" t="s">
        <v>535</v>
      </c>
      <c r="G834" s="191">
        <f t="shared" si="56"/>
        <v>13464.1</v>
      </c>
      <c r="H834" s="191">
        <f t="shared" si="56"/>
        <v>13464.1</v>
      </c>
      <c r="I834" s="192">
        <f t="shared" si="52"/>
        <v>0</v>
      </c>
    </row>
    <row r="835" spans="1:9" ht="24" x14ac:dyDescent="0.2">
      <c r="A835" s="189" t="s">
        <v>534</v>
      </c>
      <c r="B835" s="190"/>
      <c r="C835" s="189" t="s">
        <v>609</v>
      </c>
      <c r="D835" s="189" t="s">
        <v>498</v>
      </c>
      <c r="E835" s="189" t="s">
        <v>726</v>
      </c>
      <c r="F835" s="190" t="s">
        <v>529</v>
      </c>
      <c r="G835" s="191">
        <f>11200+2264.1</f>
        <v>13464.1</v>
      </c>
      <c r="H835" s="191">
        <f>11200+2264.1</f>
        <v>13464.1</v>
      </c>
      <c r="I835" s="192">
        <f t="shared" si="52"/>
        <v>0</v>
      </c>
    </row>
    <row r="836" spans="1:9" x14ac:dyDescent="0.2">
      <c r="A836" s="189" t="s">
        <v>568</v>
      </c>
      <c r="B836" s="190"/>
      <c r="C836" s="189" t="s">
        <v>609</v>
      </c>
      <c r="D836" s="189" t="s">
        <v>498</v>
      </c>
      <c r="E836" s="189" t="s">
        <v>567</v>
      </c>
      <c r="F836" s="190"/>
      <c r="G836" s="191">
        <f t="shared" ref="G836:H840" si="57">G837</f>
        <v>760</v>
      </c>
      <c r="H836" s="191">
        <f t="shared" si="57"/>
        <v>760</v>
      </c>
      <c r="I836" s="192">
        <f t="shared" si="52"/>
        <v>0</v>
      </c>
    </row>
    <row r="837" spans="1:9" x14ac:dyDescent="0.2">
      <c r="A837" s="189" t="s">
        <v>566</v>
      </c>
      <c r="B837" s="190"/>
      <c r="C837" s="189" t="s">
        <v>609</v>
      </c>
      <c r="D837" s="189" t="s">
        <v>498</v>
      </c>
      <c r="E837" s="189" t="s">
        <v>565</v>
      </c>
      <c r="F837" s="190"/>
      <c r="G837" s="191">
        <f t="shared" si="57"/>
        <v>760</v>
      </c>
      <c r="H837" s="191">
        <f t="shared" si="57"/>
        <v>760</v>
      </c>
      <c r="I837" s="192">
        <f t="shared" si="52"/>
        <v>0</v>
      </c>
    </row>
    <row r="838" spans="1:9" ht="24" x14ac:dyDescent="0.2">
      <c r="A838" s="189" t="s">
        <v>1387</v>
      </c>
      <c r="B838" s="190"/>
      <c r="C838" s="189" t="s">
        <v>609</v>
      </c>
      <c r="D838" s="189" t="s">
        <v>498</v>
      </c>
      <c r="E838" s="189" t="s">
        <v>578</v>
      </c>
      <c r="F838" s="190"/>
      <c r="G838" s="191">
        <f t="shared" si="57"/>
        <v>760</v>
      </c>
      <c r="H838" s="191">
        <f t="shared" si="57"/>
        <v>760</v>
      </c>
      <c r="I838" s="192">
        <f t="shared" si="52"/>
        <v>0</v>
      </c>
    </row>
    <row r="839" spans="1:9" ht="24" x14ac:dyDescent="0.2">
      <c r="A839" s="189" t="s">
        <v>914</v>
      </c>
      <c r="B839" s="190"/>
      <c r="C839" s="189" t="s">
        <v>609</v>
      </c>
      <c r="D839" s="189" t="s">
        <v>498</v>
      </c>
      <c r="E839" s="189" t="s">
        <v>913</v>
      </c>
      <c r="F839" s="190"/>
      <c r="G839" s="191">
        <f t="shared" si="57"/>
        <v>760</v>
      </c>
      <c r="H839" s="191">
        <f t="shared" si="57"/>
        <v>760</v>
      </c>
      <c r="I839" s="192">
        <f t="shared" si="52"/>
        <v>0</v>
      </c>
    </row>
    <row r="840" spans="1:9" x14ac:dyDescent="0.2">
      <c r="A840" s="189" t="s">
        <v>1347</v>
      </c>
      <c r="B840" s="190"/>
      <c r="C840" s="189" t="s">
        <v>609</v>
      </c>
      <c r="D840" s="189" t="s">
        <v>498</v>
      </c>
      <c r="E840" s="189" t="s">
        <v>913</v>
      </c>
      <c r="F840" s="190" t="s">
        <v>535</v>
      </c>
      <c r="G840" s="191">
        <f t="shared" si="57"/>
        <v>760</v>
      </c>
      <c r="H840" s="191">
        <f t="shared" si="57"/>
        <v>760</v>
      </c>
      <c r="I840" s="192">
        <f t="shared" si="52"/>
        <v>0</v>
      </c>
    </row>
    <row r="841" spans="1:9" ht="24" x14ac:dyDescent="0.2">
      <c r="A841" s="189" t="s">
        <v>534</v>
      </c>
      <c r="B841" s="190"/>
      <c r="C841" s="189" t="s">
        <v>609</v>
      </c>
      <c r="D841" s="189" t="s">
        <v>498</v>
      </c>
      <c r="E841" s="189" t="s">
        <v>913</v>
      </c>
      <c r="F841" s="190" t="s">
        <v>529</v>
      </c>
      <c r="G841" s="191">
        <v>760</v>
      </c>
      <c r="H841" s="191">
        <v>760</v>
      </c>
      <c r="I841" s="192">
        <f t="shared" si="52"/>
        <v>0</v>
      </c>
    </row>
    <row r="842" spans="1:9" x14ac:dyDescent="0.2">
      <c r="A842" s="189" t="s">
        <v>908</v>
      </c>
      <c r="B842" s="190"/>
      <c r="C842" s="189" t="s">
        <v>609</v>
      </c>
      <c r="D842" s="189" t="s">
        <v>498</v>
      </c>
      <c r="E842" s="189" t="s">
        <v>907</v>
      </c>
      <c r="F842" s="190"/>
      <c r="G842" s="191">
        <f>G843</f>
        <v>154661.79999999999</v>
      </c>
      <c r="H842" s="191">
        <f>H843</f>
        <v>11020</v>
      </c>
      <c r="I842" s="192">
        <f t="shared" si="52"/>
        <v>-143641.79999999999</v>
      </c>
    </row>
    <row r="843" spans="1:9" x14ac:dyDescent="0.2">
      <c r="A843" s="189" t="s">
        <v>906</v>
      </c>
      <c r="B843" s="190"/>
      <c r="C843" s="189" t="s">
        <v>609</v>
      </c>
      <c r="D843" s="189" t="s">
        <v>498</v>
      </c>
      <c r="E843" s="189" t="s">
        <v>905</v>
      </c>
      <c r="F843" s="190"/>
      <c r="G843" s="191">
        <f>G844</f>
        <v>154661.79999999999</v>
      </c>
      <c r="H843" s="191">
        <f>H844</f>
        <v>11020</v>
      </c>
      <c r="I843" s="192">
        <f t="shared" si="52"/>
        <v>-143641.79999999999</v>
      </c>
    </row>
    <row r="844" spans="1:9" ht="24" x14ac:dyDescent="0.2">
      <c r="A844" s="189" t="s">
        <v>912</v>
      </c>
      <c r="B844" s="190"/>
      <c r="C844" s="189" t="s">
        <v>609</v>
      </c>
      <c r="D844" s="189" t="s">
        <v>498</v>
      </c>
      <c r="E844" s="189" t="s">
        <v>911</v>
      </c>
      <c r="F844" s="190"/>
      <c r="G844" s="191">
        <f>G845+G848</f>
        <v>154661.79999999999</v>
      </c>
      <c r="H844" s="191">
        <f>H845+H848</f>
        <v>11020</v>
      </c>
      <c r="I844" s="192">
        <f t="shared" si="52"/>
        <v>-143641.79999999999</v>
      </c>
    </row>
    <row r="845" spans="1:9" x14ac:dyDescent="0.2">
      <c r="A845" s="189" t="s">
        <v>910</v>
      </c>
      <c r="B845" s="190"/>
      <c r="C845" s="189" t="s">
        <v>609</v>
      </c>
      <c r="D845" s="189" t="s">
        <v>498</v>
      </c>
      <c r="E845" s="189" t="s">
        <v>909</v>
      </c>
      <c r="F845" s="190"/>
      <c r="G845" s="191">
        <f>G846</f>
        <v>59661.8</v>
      </c>
      <c r="H845" s="191">
        <f>H846</f>
        <v>11020</v>
      </c>
      <c r="I845" s="192">
        <f t="shared" si="52"/>
        <v>-48641.8</v>
      </c>
    </row>
    <row r="846" spans="1:9" x14ac:dyDescent="0.2">
      <c r="A846" s="189" t="s">
        <v>1355</v>
      </c>
      <c r="B846" s="190"/>
      <c r="C846" s="189" t="s">
        <v>609</v>
      </c>
      <c r="D846" s="189" t="s">
        <v>498</v>
      </c>
      <c r="E846" s="189" t="s">
        <v>909</v>
      </c>
      <c r="F846" s="190" t="s">
        <v>824</v>
      </c>
      <c r="G846" s="191">
        <f>G847</f>
        <v>59661.8</v>
      </c>
      <c r="H846" s="191">
        <f>H847</f>
        <v>11020</v>
      </c>
      <c r="I846" s="192">
        <f t="shared" si="52"/>
        <v>-48641.8</v>
      </c>
    </row>
    <row r="847" spans="1:9" x14ac:dyDescent="0.2">
      <c r="A847" s="189" t="s">
        <v>823</v>
      </c>
      <c r="B847" s="190"/>
      <c r="C847" s="189" t="s">
        <v>609</v>
      </c>
      <c r="D847" s="189" t="s">
        <v>498</v>
      </c>
      <c r="E847" s="189" t="s">
        <v>909</v>
      </c>
      <c r="F847" s="190" t="s">
        <v>821</v>
      </c>
      <c r="G847" s="191">
        <f>113839+0.4+10166+0.1+0.1-64343.8</f>
        <v>59661.8</v>
      </c>
      <c r="H847" s="191">
        <f>113839+0.4+10166+0.1+0.1-64343.8-48641.8</f>
        <v>11020</v>
      </c>
      <c r="I847" s="192">
        <f t="shared" si="52"/>
        <v>-48641.8</v>
      </c>
    </row>
    <row r="848" spans="1:9" s="295" customFormat="1" ht="27" customHeight="1" x14ac:dyDescent="0.2">
      <c r="A848" s="189" t="s">
        <v>1408</v>
      </c>
      <c r="B848" s="190"/>
      <c r="C848" s="189" t="s">
        <v>609</v>
      </c>
      <c r="D848" s="189" t="s">
        <v>498</v>
      </c>
      <c r="E848" s="189" t="s">
        <v>1409</v>
      </c>
      <c r="F848" s="190"/>
      <c r="G848" s="191">
        <f>G849</f>
        <v>95000</v>
      </c>
      <c r="H848" s="191">
        <f>H849</f>
        <v>0</v>
      </c>
      <c r="I848" s="192">
        <f t="shared" si="52"/>
        <v>-95000</v>
      </c>
    </row>
    <row r="849" spans="1:9" s="295" customFormat="1" x14ac:dyDescent="0.2">
      <c r="A849" s="189" t="s">
        <v>1355</v>
      </c>
      <c r="B849" s="190"/>
      <c r="C849" s="189" t="s">
        <v>609</v>
      </c>
      <c r="D849" s="189" t="s">
        <v>498</v>
      </c>
      <c r="E849" s="189" t="s">
        <v>1409</v>
      </c>
      <c r="F849" s="190" t="s">
        <v>824</v>
      </c>
      <c r="G849" s="191">
        <f>G850</f>
        <v>95000</v>
      </c>
      <c r="H849" s="191">
        <f>H850</f>
        <v>0</v>
      </c>
      <c r="I849" s="192">
        <f t="shared" si="52"/>
        <v>-95000</v>
      </c>
    </row>
    <row r="850" spans="1:9" s="295" customFormat="1" x14ac:dyDescent="0.2">
      <c r="A850" s="189" t="s">
        <v>823</v>
      </c>
      <c r="B850" s="190"/>
      <c r="C850" s="189" t="s">
        <v>609</v>
      </c>
      <c r="D850" s="189" t="s">
        <v>498</v>
      </c>
      <c r="E850" s="189" t="s">
        <v>1409</v>
      </c>
      <c r="F850" s="190" t="s">
        <v>821</v>
      </c>
      <c r="G850" s="191">
        <f>50675.4+44324.6+5000-5000</f>
        <v>95000</v>
      </c>
      <c r="H850" s="191">
        <f>50675.4+44324.6+5000-5000-95000</f>
        <v>0</v>
      </c>
      <c r="I850" s="192">
        <f t="shared" si="52"/>
        <v>-95000</v>
      </c>
    </row>
    <row r="851" spans="1:9" x14ac:dyDescent="0.2">
      <c r="A851" s="189" t="s">
        <v>717</v>
      </c>
      <c r="B851" s="190"/>
      <c r="C851" s="189" t="s">
        <v>609</v>
      </c>
      <c r="D851" s="189" t="s">
        <v>502</v>
      </c>
      <c r="E851" s="189"/>
      <c r="F851" s="190"/>
      <c r="G851" s="191">
        <f>G852+G862</f>
        <v>978902.50000000012</v>
      </c>
      <c r="H851" s="191">
        <f>H852+H862</f>
        <v>953774.70000000007</v>
      </c>
      <c r="I851" s="192">
        <f t="shared" si="52"/>
        <v>-25127.800000000047</v>
      </c>
    </row>
    <row r="852" spans="1:9" x14ac:dyDescent="0.2">
      <c r="A852" s="189" t="s">
        <v>666</v>
      </c>
      <c r="B852" s="190"/>
      <c r="C852" s="189" t="s">
        <v>609</v>
      </c>
      <c r="D852" s="189" t="s">
        <v>502</v>
      </c>
      <c r="E852" s="189" t="s">
        <v>665</v>
      </c>
      <c r="F852" s="190"/>
      <c r="G852" s="191">
        <f>G853</f>
        <v>19889.400000000001</v>
      </c>
      <c r="H852" s="191">
        <f>H853</f>
        <v>19889.400000000001</v>
      </c>
      <c r="I852" s="192">
        <f t="shared" si="52"/>
        <v>0</v>
      </c>
    </row>
    <row r="853" spans="1:9" x14ac:dyDescent="0.2">
      <c r="A853" s="189" t="s">
        <v>688</v>
      </c>
      <c r="B853" s="190"/>
      <c r="C853" s="189" t="s">
        <v>609</v>
      </c>
      <c r="D853" s="189" t="s">
        <v>502</v>
      </c>
      <c r="E853" s="189" t="s">
        <v>687</v>
      </c>
      <c r="F853" s="190"/>
      <c r="G853" s="191">
        <f>G854+G858</f>
        <v>19889.400000000001</v>
      </c>
      <c r="H853" s="191">
        <f>H854+H858</f>
        <v>19889.400000000001</v>
      </c>
      <c r="I853" s="192">
        <f t="shared" si="52"/>
        <v>0</v>
      </c>
    </row>
    <row r="854" spans="1:9" ht="24" x14ac:dyDescent="0.2">
      <c r="A854" s="189" t="s">
        <v>686</v>
      </c>
      <c r="B854" s="190"/>
      <c r="C854" s="189" t="s">
        <v>609</v>
      </c>
      <c r="D854" s="189" t="s">
        <v>502</v>
      </c>
      <c r="E854" s="189" t="s">
        <v>685</v>
      </c>
      <c r="F854" s="190"/>
      <c r="G854" s="191">
        <f t="shared" ref="G854:H856" si="58">G855</f>
        <v>10664.4</v>
      </c>
      <c r="H854" s="191">
        <f t="shared" si="58"/>
        <v>10664.4</v>
      </c>
      <c r="I854" s="192">
        <f t="shared" si="52"/>
        <v>0</v>
      </c>
    </row>
    <row r="855" spans="1:9" ht="24" x14ac:dyDescent="0.2">
      <c r="A855" s="189" t="s">
        <v>684</v>
      </c>
      <c r="B855" s="190"/>
      <c r="C855" s="189" t="s">
        <v>609</v>
      </c>
      <c r="D855" s="189" t="s">
        <v>502</v>
      </c>
      <c r="E855" s="189" t="s">
        <v>683</v>
      </c>
      <c r="F855" s="190"/>
      <c r="G855" s="191">
        <f t="shared" si="58"/>
        <v>10664.4</v>
      </c>
      <c r="H855" s="191">
        <f t="shared" si="58"/>
        <v>10664.4</v>
      </c>
      <c r="I855" s="192">
        <f t="shared" si="52"/>
        <v>0</v>
      </c>
    </row>
    <row r="856" spans="1:9" x14ac:dyDescent="0.2">
      <c r="A856" s="189" t="s">
        <v>1347</v>
      </c>
      <c r="B856" s="190"/>
      <c r="C856" s="189" t="s">
        <v>609</v>
      </c>
      <c r="D856" s="189" t="s">
        <v>502</v>
      </c>
      <c r="E856" s="189" t="s">
        <v>683</v>
      </c>
      <c r="F856" s="190" t="s">
        <v>535</v>
      </c>
      <c r="G856" s="191">
        <f t="shared" si="58"/>
        <v>10664.4</v>
      </c>
      <c r="H856" s="191">
        <f t="shared" si="58"/>
        <v>10664.4</v>
      </c>
      <c r="I856" s="192">
        <f t="shared" si="52"/>
        <v>0</v>
      </c>
    </row>
    <row r="857" spans="1:9" ht="24" x14ac:dyDescent="0.2">
      <c r="A857" s="189" t="s">
        <v>534</v>
      </c>
      <c r="B857" s="190"/>
      <c r="C857" s="189" t="s">
        <v>609</v>
      </c>
      <c r="D857" s="189" t="s">
        <v>502</v>
      </c>
      <c r="E857" s="189" t="s">
        <v>683</v>
      </c>
      <c r="F857" s="190" t="s">
        <v>529</v>
      </c>
      <c r="G857" s="191">
        <f>7800+1100+1764.4</f>
        <v>10664.4</v>
      </c>
      <c r="H857" s="191">
        <f>7800+1100+1764.4</f>
        <v>10664.4</v>
      </c>
      <c r="I857" s="192">
        <f>H857-G857</f>
        <v>0</v>
      </c>
    </row>
    <row r="858" spans="1:9" s="301" customFormat="1" x14ac:dyDescent="0.2">
      <c r="A858" s="189" t="s">
        <v>900</v>
      </c>
      <c r="B858" s="190"/>
      <c r="C858" s="189" t="s">
        <v>609</v>
      </c>
      <c r="D858" s="189" t="s">
        <v>502</v>
      </c>
      <c r="E858" s="189" t="s">
        <v>1293</v>
      </c>
      <c r="F858" s="190"/>
      <c r="G858" s="191">
        <f t="shared" ref="G858:H860" si="59">G859</f>
        <v>9225</v>
      </c>
      <c r="H858" s="191">
        <f t="shared" si="59"/>
        <v>9225</v>
      </c>
      <c r="I858" s="192">
        <f t="shared" ref="I858:I861" si="60">H858-G858</f>
        <v>0</v>
      </c>
    </row>
    <row r="859" spans="1:9" s="301" customFormat="1" ht="24" x14ac:dyDescent="0.2">
      <c r="A859" s="189" t="s">
        <v>1417</v>
      </c>
      <c r="B859" s="190"/>
      <c r="C859" s="189" t="s">
        <v>609</v>
      </c>
      <c r="D859" s="189" t="s">
        <v>502</v>
      </c>
      <c r="E859" s="189" t="s">
        <v>1418</v>
      </c>
      <c r="F859" s="190"/>
      <c r="G859" s="191">
        <f t="shared" si="59"/>
        <v>9225</v>
      </c>
      <c r="H859" s="191">
        <f t="shared" si="59"/>
        <v>9225</v>
      </c>
      <c r="I859" s="192">
        <f t="shared" si="60"/>
        <v>0</v>
      </c>
    </row>
    <row r="860" spans="1:9" s="301" customFormat="1" x14ac:dyDescent="0.2">
      <c r="A860" s="189" t="s">
        <v>1347</v>
      </c>
      <c r="B860" s="190"/>
      <c r="C860" s="189" t="s">
        <v>609</v>
      </c>
      <c r="D860" s="189" t="s">
        <v>502</v>
      </c>
      <c r="E860" s="189" t="s">
        <v>1418</v>
      </c>
      <c r="F860" s="190">
        <v>200</v>
      </c>
      <c r="G860" s="191">
        <f t="shared" si="59"/>
        <v>9225</v>
      </c>
      <c r="H860" s="191">
        <f t="shared" si="59"/>
        <v>9225</v>
      </c>
      <c r="I860" s="192">
        <f t="shared" si="60"/>
        <v>0</v>
      </c>
    </row>
    <row r="861" spans="1:9" s="301" customFormat="1" ht="24" x14ac:dyDescent="0.2">
      <c r="A861" s="189" t="s">
        <v>534</v>
      </c>
      <c r="B861" s="190"/>
      <c r="C861" s="189" t="s">
        <v>609</v>
      </c>
      <c r="D861" s="189" t="s">
        <v>502</v>
      </c>
      <c r="E861" s="189" t="s">
        <v>1418</v>
      </c>
      <c r="F861" s="190">
        <v>240</v>
      </c>
      <c r="G861" s="191">
        <v>9225</v>
      </c>
      <c r="H861" s="191">
        <v>9225</v>
      </c>
      <c r="I861" s="192">
        <f t="shared" si="60"/>
        <v>0</v>
      </c>
    </row>
    <row r="862" spans="1:9" x14ac:dyDescent="0.2">
      <c r="A862" s="189" t="s">
        <v>908</v>
      </c>
      <c r="B862" s="190"/>
      <c r="C862" s="189" t="s">
        <v>609</v>
      </c>
      <c r="D862" s="189" t="s">
        <v>502</v>
      </c>
      <c r="E862" s="189" t="s">
        <v>907</v>
      </c>
      <c r="F862" s="190"/>
      <c r="G862" s="191">
        <f>G863</f>
        <v>959013.10000000009</v>
      </c>
      <c r="H862" s="191">
        <f>H863</f>
        <v>933885.3</v>
      </c>
      <c r="I862" s="192">
        <f t="shared" si="52"/>
        <v>-25127.800000000047</v>
      </c>
    </row>
    <row r="863" spans="1:9" x14ac:dyDescent="0.2">
      <c r="A863" s="189" t="s">
        <v>906</v>
      </c>
      <c r="B863" s="190"/>
      <c r="C863" s="189" t="s">
        <v>609</v>
      </c>
      <c r="D863" s="189" t="s">
        <v>502</v>
      </c>
      <c r="E863" s="189" t="s">
        <v>905</v>
      </c>
      <c r="F863" s="190"/>
      <c r="G863" s="191">
        <f>G864+G868</f>
        <v>959013.10000000009</v>
      </c>
      <c r="H863" s="191">
        <f>H864+H868</f>
        <v>933885.3</v>
      </c>
      <c r="I863" s="192">
        <f t="shared" si="52"/>
        <v>-25127.800000000047</v>
      </c>
    </row>
    <row r="864" spans="1:9" ht="24" x14ac:dyDescent="0.2">
      <c r="A864" s="189" t="s">
        <v>904</v>
      </c>
      <c r="B864" s="190"/>
      <c r="C864" s="189" t="s">
        <v>609</v>
      </c>
      <c r="D864" s="189" t="s">
        <v>502</v>
      </c>
      <c r="E864" s="189" t="s">
        <v>903</v>
      </c>
      <c r="F864" s="190"/>
      <c r="G864" s="191">
        <f t="shared" ref="G864:H866" si="61">G865</f>
        <v>10000</v>
      </c>
      <c r="H864" s="191">
        <f t="shared" si="61"/>
        <v>10000</v>
      </c>
      <c r="I864" s="192">
        <f t="shared" si="52"/>
        <v>0</v>
      </c>
    </row>
    <row r="865" spans="1:9" ht="24" x14ac:dyDescent="0.2">
      <c r="A865" s="189" t="s">
        <v>902</v>
      </c>
      <c r="B865" s="190"/>
      <c r="C865" s="189" t="s">
        <v>609</v>
      </c>
      <c r="D865" s="189" t="s">
        <v>502</v>
      </c>
      <c r="E865" s="189" t="s">
        <v>901</v>
      </c>
      <c r="F865" s="190"/>
      <c r="G865" s="191">
        <f t="shared" si="61"/>
        <v>10000</v>
      </c>
      <c r="H865" s="191">
        <f t="shared" si="61"/>
        <v>10000</v>
      </c>
      <c r="I865" s="192">
        <f t="shared" si="52"/>
        <v>0</v>
      </c>
    </row>
    <row r="866" spans="1:9" x14ac:dyDescent="0.2">
      <c r="A866" s="189" t="s">
        <v>1355</v>
      </c>
      <c r="B866" s="190"/>
      <c r="C866" s="189" t="s">
        <v>609</v>
      </c>
      <c r="D866" s="189" t="s">
        <v>502</v>
      </c>
      <c r="E866" s="189" t="s">
        <v>901</v>
      </c>
      <c r="F866" s="190" t="s">
        <v>824</v>
      </c>
      <c r="G866" s="191">
        <f t="shared" si="61"/>
        <v>10000</v>
      </c>
      <c r="H866" s="191">
        <f t="shared" si="61"/>
        <v>10000</v>
      </c>
      <c r="I866" s="192">
        <f t="shared" si="52"/>
        <v>0</v>
      </c>
    </row>
    <row r="867" spans="1:9" x14ac:dyDescent="0.2">
      <c r="A867" s="189" t="s">
        <v>823</v>
      </c>
      <c r="B867" s="190"/>
      <c r="C867" s="189" t="s">
        <v>609</v>
      </c>
      <c r="D867" s="189" t="s">
        <v>502</v>
      </c>
      <c r="E867" s="189" t="s">
        <v>901</v>
      </c>
      <c r="F867" s="190" t="s">
        <v>821</v>
      </c>
      <c r="G867" s="191">
        <f>79781.1-69781.1</f>
        <v>10000</v>
      </c>
      <c r="H867" s="191">
        <f>79781.1-69781.1</f>
        <v>10000</v>
      </c>
      <c r="I867" s="192">
        <f t="shared" si="52"/>
        <v>0</v>
      </c>
    </row>
    <row r="868" spans="1:9" x14ac:dyDescent="0.2">
      <c r="A868" s="189" t="s">
        <v>900</v>
      </c>
      <c r="B868" s="190"/>
      <c r="C868" s="189" t="s">
        <v>609</v>
      </c>
      <c r="D868" s="189" t="s">
        <v>502</v>
      </c>
      <c r="E868" s="189" t="s">
        <v>899</v>
      </c>
      <c r="F868" s="190"/>
      <c r="G868" s="191">
        <f>G875+G878+G872</f>
        <v>949013.10000000009</v>
      </c>
      <c r="H868" s="191">
        <f>H875+H878+H872+H869</f>
        <v>923885.3</v>
      </c>
      <c r="I868" s="192">
        <f t="shared" si="52"/>
        <v>-25127.800000000047</v>
      </c>
    </row>
    <row r="869" spans="1:9" s="446" customFormat="1" x14ac:dyDescent="0.2">
      <c r="A869" s="189" t="s">
        <v>1733</v>
      </c>
      <c r="B869" s="189"/>
      <c r="C869" s="189" t="s">
        <v>609</v>
      </c>
      <c r="D869" s="189" t="s">
        <v>502</v>
      </c>
      <c r="E869" s="189" t="s">
        <v>1734</v>
      </c>
      <c r="F869" s="189"/>
      <c r="G869" s="191">
        <f>G870</f>
        <v>0</v>
      </c>
      <c r="H869" s="191">
        <f>H870</f>
        <v>48</v>
      </c>
      <c r="I869" s="192">
        <f t="shared" si="52"/>
        <v>48</v>
      </c>
    </row>
    <row r="870" spans="1:9" s="446" customFormat="1" x14ac:dyDescent="0.2">
      <c r="A870" s="189" t="s">
        <v>1355</v>
      </c>
      <c r="B870" s="189"/>
      <c r="C870" s="189" t="s">
        <v>609</v>
      </c>
      <c r="D870" s="189" t="s">
        <v>502</v>
      </c>
      <c r="E870" s="189" t="s">
        <v>1734</v>
      </c>
      <c r="F870" s="190" t="s">
        <v>824</v>
      </c>
      <c r="G870" s="191">
        <f>G871</f>
        <v>0</v>
      </c>
      <c r="H870" s="191">
        <f>H871</f>
        <v>48</v>
      </c>
      <c r="I870" s="192">
        <f t="shared" si="52"/>
        <v>48</v>
      </c>
    </row>
    <row r="871" spans="1:9" s="446" customFormat="1" x14ac:dyDescent="0.2">
      <c r="A871" s="189" t="s">
        <v>823</v>
      </c>
      <c r="B871" s="189"/>
      <c r="C871" s="189" t="s">
        <v>609</v>
      </c>
      <c r="D871" s="189" t="s">
        <v>502</v>
      </c>
      <c r="E871" s="189" t="s">
        <v>1734</v>
      </c>
      <c r="F871" s="190" t="s">
        <v>821</v>
      </c>
      <c r="G871" s="191">
        <v>0</v>
      </c>
      <c r="H871" s="191">
        <v>48</v>
      </c>
      <c r="I871" s="192">
        <f t="shared" si="52"/>
        <v>48</v>
      </c>
    </row>
    <row r="872" spans="1:9" s="301" customFormat="1" ht="24" x14ac:dyDescent="0.2">
      <c r="A872" s="189" t="s">
        <v>1420</v>
      </c>
      <c r="B872" s="190"/>
      <c r="C872" s="189" t="s">
        <v>609</v>
      </c>
      <c r="D872" s="189" t="s">
        <v>502</v>
      </c>
      <c r="E872" s="189" t="s">
        <v>1419</v>
      </c>
      <c r="F872" s="190"/>
      <c r="G872" s="191">
        <f>G873</f>
        <v>1227.7</v>
      </c>
      <c r="H872" s="191">
        <f>H873</f>
        <v>1227.7</v>
      </c>
      <c r="I872" s="192">
        <f t="shared" si="52"/>
        <v>0</v>
      </c>
    </row>
    <row r="873" spans="1:9" s="301" customFormat="1" x14ac:dyDescent="0.2">
      <c r="A873" s="189" t="s">
        <v>1355</v>
      </c>
      <c r="B873" s="190"/>
      <c r="C873" s="189" t="s">
        <v>609</v>
      </c>
      <c r="D873" s="189" t="s">
        <v>502</v>
      </c>
      <c r="E873" s="189" t="s">
        <v>1419</v>
      </c>
      <c r="F873" s="190" t="s">
        <v>824</v>
      </c>
      <c r="G873" s="191">
        <f>G874</f>
        <v>1227.7</v>
      </c>
      <c r="H873" s="191">
        <f>H874</f>
        <v>1227.7</v>
      </c>
      <c r="I873" s="192">
        <f t="shared" si="52"/>
        <v>0</v>
      </c>
    </row>
    <row r="874" spans="1:9" s="301" customFormat="1" x14ac:dyDescent="0.2">
      <c r="A874" s="189" t="s">
        <v>823</v>
      </c>
      <c r="B874" s="190"/>
      <c r="C874" s="189" t="s">
        <v>609</v>
      </c>
      <c r="D874" s="189" t="s">
        <v>502</v>
      </c>
      <c r="E874" s="189" t="s">
        <v>1419</v>
      </c>
      <c r="F874" s="190" t="s">
        <v>821</v>
      </c>
      <c r="G874" s="191">
        <f>1027.2+200.5</f>
        <v>1227.7</v>
      </c>
      <c r="H874" s="191">
        <f>1027.2+200.5</f>
        <v>1227.7</v>
      </c>
      <c r="I874" s="192">
        <f t="shared" si="52"/>
        <v>0</v>
      </c>
    </row>
    <row r="875" spans="1:9" x14ac:dyDescent="0.2">
      <c r="A875" s="189" t="s">
        <v>898</v>
      </c>
      <c r="B875" s="190"/>
      <c r="C875" s="189" t="s">
        <v>609</v>
      </c>
      <c r="D875" s="189" t="s">
        <v>502</v>
      </c>
      <c r="E875" s="189" t="s">
        <v>897</v>
      </c>
      <c r="F875" s="190"/>
      <c r="G875" s="191">
        <f>G876</f>
        <v>213809.10000000003</v>
      </c>
      <c r="H875" s="191">
        <f>H876</f>
        <v>11622.300000000047</v>
      </c>
      <c r="I875" s="192">
        <f t="shared" si="52"/>
        <v>-202186.8</v>
      </c>
    </row>
    <row r="876" spans="1:9" x14ac:dyDescent="0.2">
      <c r="A876" s="189" t="s">
        <v>1355</v>
      </c>
      <c r="B876" s="190"/>
      <c r="C876" s="189" t="s">
        <v>609</v>
      </c>
      <c r="D876" s="189" t="s">
        <v>502</v>
      </c>
      <c r="E876" s="189" t="s">
        <v>897</v>
      </c>
      <c r="F876" s="190" t="s">
        <v>824</v>
      </c>
      <c r="G876" s="191">
        <f>G877</f>
        <v>213809.10000000003</v>
      </c>
      <c r="H876" s="191">
        <f>H877</f>
        <v>11622.300000000047</v>
      </c>
      <c r="I876" s="192">
        <f t="shared" si="52"/>
        <v>-202186.8</v>
      </c>
    </row>
    <row r="877" spans="1:9" x14ac:dyDescent="0.2">
      <c r="A877" s="189" t="s">
        <v>823</v>
      </c>
      <c r="B877" s="190"/>
      <c r="C877" s="189" t="s">
        <v>609</v>
      </c>
      <c r="D877" s="189" t="s">
        <v>502</v>
      </c>
      <c r="E877" s="189" t="s">
        <v>897</v>
      </c>
      <c r="F877" s="190" t="s">
        <v>821</v>
      </c>
      <c r="G877" s="191">
        <f>652210+4575+2930.3-445906.2</f>
        <v>213809.10000000003</v>
      </c>
      <c r="H877" s="191">
        <f>652210+4575+2930.3-445906.2-2495-199691.8</f>
        <v>11622.300000000047</v>
      </c>
      <c r="I877" s="192">
        <f t="shared" si="52"/>
        <v>-202186.8</v>
      </c>
    </row>
    <row r="878" spans="1:9" ht="24" x14ac:dyDescent="0.2">
      <c r="A878" s="189" t="s">
        <v>896</v>
      </c>
      <c r="B878" s="190"/>
      <c r="C878" s="189" t="s">
        <v>609</v>
      </c>
      <c r="D878" s="189" t="s">
        <v>502</v>
      </c>
      <c r="E878" s="189" t="s">
        <v>895</v>
      </c>
      <c r="F878" s="190"/>
      <c r="G878" s="191">
        <f>G879</f>
        <v>733976.3</v>
      </c>
      <c r="H878" s="191">
        <f>H879</f>
        <v>910987.3</v>
      </c>
      <c r="I878" s="192">
        <f t="shared" si="52"/>
        <v>177011</v>
      </c>
    </row>
    <row r="879" spans="1:9" x14ac:dyDescent="0.2">
      <c r="A879" s="189" t="s">
        <v>1355</v>
      </c>
      <c r="B879" s="190"/>
      <c r="C879" s="189" t="s">
        <v>609</v>
      </c>
      <c r="D879" s="189" t="s">
        <v>502</v>
      </c>
      <c r="E879" s="189" t="s">
        <v>895</v>
      </c>
      <c r="F879" s="190" t="s">
        <v>824</v>
      </c>
      <c r="G879" s="191">
        <f>G880</f>
        <v>733976.3</v>
      </c>
      <c r="H879" s="191">
        <f>H880</f>
        <v>910987.3</v>
      </c>
      <c r="I879" s="192">
        <f t="shared" si="52"/>
        <v>177011</v>
      </c>
    </row>
    <row r="880" spans="1:9" x14ac:dyDescent="0.2">
      <c r="A880" s="189" t="s">
        <v>823</v>
      </c>
      <c r="B880" s="190"/>
      <c r="C880" s="189" t="s">
        <v>609</v>
      </c>
      <c r="D880" s="189" t="s">
        <v>502</v>
      </c>
      <c r="E880" s="189" t="s">
        <v>895</v>
      </c>
      <c r="F880" s="190" t="s">
        <v>821</v>
      </c>
      <c r="G880" s="191">
        <f>689874.3+44102</f>
        <v>733976.3</v>
      </c>
      <c r="H880" s="191">
        <f>689874.3+44102+177011</f>
        <v>910987.3</v>
      </c>
      <c r="I880" s="192">
        <f t="shared" si="52"/>
        <v>177011</v>
      </c>
    </row>
    <row r="881" spans="1:9" x14ac:dyDescent="0.2">
      <c r="A881" s="189" t="s">
        <v>894</v>
      </c>
      <c r="B881" s="190"/>
      <c r="C881" s="189" t="s">
        <v>609</v>
      </c>
      <c r="D881" s="189" t="s">
        <v>512</v>
      </c>
      <c r="E881" s="189"/>
      <c r="F881" s="190"/>
      <c r="G881" s="191">
        <f t="shared" ref="G881:H886" si="62">G882</f>
        <v>250</v>
      </c>
      <c r="H881" s="191">
        <f t="shared" si="62"/>
        <v>250</v>
      </c>
      <c r="I881" s="192">
        <f t="shared" si="52"/>
        <v>0</v>
      </c>
    </row>
    <row r="882" spans="1:9" x14ac:dyDescent="0.2">
      <c r="A882" s="189" t="s">
        <v>604</v>
      </c>
      <c r="B882" s="190"/>
      <c r="C882" s="189" t="s">
        <v>609</v>
      </c>
      <c r="D882" s="189" t="s">
        <v>512</v>
      </c>
      <c r="E882" s="189" t="s">
        <v>603</v>
      </c>
      <c r="F882" s="190"/>
      <c r="G882" s="191">
        <f t="shared" si="62"/>
        <v>250</v>
      </c>
      <c r="H882" s="191">
        <f t="shared" si="62"/>
        <v>250</v>
      </c>
      <c r="I882" s="192">
        <f t="shared" si="52"/>
        <v>0</v>
      </c>
    </row>
    <row r="883" spans="1:9" x14ac:dyDescent="0.2">
      <c r="A883" s="189" t="s">
        <v>893</v>
      </c>
      <c r="B883" s="190"/>
      <c r="C883" s="189" t="s">
        <v>609</v>
      </c>
      <c r="D883" s="189" t="s">
        <v>512</v>
      </c>
      <c r="E883" s="189" t="s">
        <v>892</v>
      </c>
      <c r="F883" s="190"/>
      <c r="G883" s="191">
        <f t="shared" si="62"/>
        <v>250</v>
      </c>
      <c r="H883" s="191">
        <f t="shared" si="62"/>
        <v>250</v>
      </c>
      <c r="I883" s="192">
        <f t="shared" si="52"/>
        <v>0</v>
      </c>
    </row>
    <row r="884" spans="1:9" ht="24" x14ac:dyDescent="0.2">
      <c r="A884" s="189" t="s">
        <v>891</v>
      </c>
      <c r="B884" s="190"/>
      <c r="C884" s="189" t="s">
        <v>609</v>
      </c>
      <c r="D884" s="189" t="s">
        <v>512</v>
      </c>
      <c r="E884" s="189" t="s">
        <v>890</v>
      </c>
      <c r="F884" s="190"/>
      <c r="G884" s="191">
        <f t="shared" si="62"/>
        <v>250</v>
      </c>
      <c r="H884" s="191">
        <f t="shared" si="62"/>
        <v>250</v>
      </c>
      <c r="I884" s="192">
        <f t="shared" si="52"/>
        <v>0</v>
      </c>
    </row>
    <row r="885" spans="1:9" ht="60" x14ac:dyDescent="0.2">
      <c r="A885" s="189" t="s">
        <v>889</v>
      </c>
      <c r="B885" s="190"/>
      <c r="C885" s="189" t="s">
        <v>609</v>
      </c>
      <c r="D885" s="189" t="s">
        <v>512</v>
      </c>
      <c r="E885" s="189" t="s">
        <v>888</v>
      </c>
      <c r="F885" s="190"/>
      <c r="G885" s="191">
        <f t="shared" si="62"/>
        <v>250</v>
      </c>
      <c r="H885" s="191">
        <f t="shared" si="62"/>
        <v>250</v>
      </c>
      <c r="I885" s="192">
        <f t="shared" si="52"/>
        <v>0</v>
      </c>
    </row>
    <row r="886" spans="1:9" x14ac:dyDescent="0.2">
      <c r="A886" s="189" t="s">
        <v>1347</v>
      </c>
      <c r="B886" s="190"/>
      <c r="C886" s="189" t="s">
        <v>609</v>
      </c>
      <c r="D886" s="189" t="s">
        <v>512</v>
      </c>
      <c r="E886" s="189" t="s">
        <v>888</v>
      </c>
      <c r="F886" s="190" t="s">
        <v>535</v>
      </c>
      <c r="G886" s="191">
        <f t="shared" si="62"/>
        <v>250</v>
      </c>
      <c r="H886" s="191">
        <f t="shared" si="62"/>
        <v>250</v>
      </c>
      <c r="I886" s="192">
        <f t="shared" si="52"/>
        <v>0</v>
      </c>
    </row>
    <row r="887" spans="1:9" ht="24" x14ac:dyDescent="0.2">
      <c r="A887" s="189" t="s">
        <v>534</v>
      </c>
      <c r="B887" s="190"/>
      <c r="C887" s="189" t="s">
        <v>609</v>
      </c>
      <c r="D887" s="189" t="s">
        <v>512</v>
      </c>
      <c r="E887" s="189" t="s">
        <v>888</v>
      </c>
      <c r="F887" s="190" t="s">
        <v>529</v>
      </c>
      <c r="G887" s="191">
        <f>285-35</f>
        <v>250</v>
      </c>
      <c r="H887" s="191">
        <f>285-35</f>
        <v>250</v>
      </c>
      <c r="I887" s="192">
        <f t="shared" ref="I887:I950" si="63">H887-G887</f>
        <v>0</v>
      </c>
    </row>
    <row r="888" spans="1:9" x14ac:dyDescent="0.2">
      <c r="A888" s="189" t="s">
        <v>1356</v>
      </c>
      <c r="B888" s="190"/>
      <c r="C888" s="189" t="s">
        <v>609</v>
      </c>
      <c r="D888" s="189" t="s">
        <v>609</v>
      </c>
      <c r="E888" s="189"/>
      <c r="F888" s="190"/>
      <c r="G888" s="191">
        <f t="shared" ref="G888:H893" si="64">G889</f>
        <v>950</v>
      </c>
      <c r="H888" s="191">
        <f t="shared" si="64"/>
        <v>950</v>
      </c>
      <c r="I888" s="192">
        <f t="shared" si="63"/>
        <v>0</v>
      </c>
    </row>
    <row r="889" spans="1:9" ht="24" x14ac:dyDescent="0.2">
      <c r="A889" s="189" t="s">
        <v>588</v>
      </c>
      <c r="B889" s="190"/>
      <c r="C889" s="189" t="s">
        <v>609</v>
      </c>
      <c r="D889" s="189" t="s">
        <v>609</v>
      </c>
      <c r="E889" s="189" t="s">
        <v>587</v>
      </c>
      <c r="F889" s="190"/>
      <c r="G889" s="191">
        <f t="shared" si="64"/>
        <v>950</v>
      </c>
      <c r="H889" s="191">
        <f t="shared" si="64"/>
        <v>950</v>
      </c>
      <c r="I889" s="192">
        <f t="shared" si="63"/>
        <v>0</v>
      </c>
    </row>
    <row r="890" spans="1:9" x14ac:dyDescent="0.2">
      <c r="A890" s="189" t="s">
        <v>586</v>
      </c>
      <c r="B890" s="190"/>
      <c r="C890" s="189" t="s">
        <v>609</v>
      </c>
      <c r="D890" s="189" t="s">
        <v>609</v>
      </c>
      <c r="E890" s="189" t="s">
        <v>585</v>
      </c>
      <c r="F890" s="190"/>
      <c r="G890" s="191">
        <f t="shared" si="64"/>
        <v>950</v>
      </c>
      <c r="H890" s="191">
        <f t="shared" si="64"/>
        <v>950</v>
      </c>
      <c r="I890" s="192">
        <f t="shared" si="63"/>
        <v>0</v>
      </c>
    </row>
    <row r="891" spans="1:9" ht="36" x14ac:dyDescent="0.2">
      <c r="A891" s="189" t="s">
        <v>584</v>
      </c>
      <c r="B891" s="190"/>
      <c r="C891" s="189" t="s">
        <v>609</v>
      </c>
      <c r="D891" s="189" t="s">
        <v>609</v>
      </c>
      <c r="E891" s="189" t="s">
        <v>583</v>
      </c>
      <c r="F891" s="190"/>
      <c r="G891" s="191">
        <f t="shared" si="64"/>
        <v>950</v>
      </c>
      <c r="H891" s="191">
        <f t="shared" si="64"/>
        <v>950</v>
      </c>
      <c r="I891" s="192">
        <f t="shared" si="63"/>
        <v>0</v>
      </c>
    </row>
    <row r="892" spans="1:9" ht="24" x14ac:dyDescent="0.2">
      <c r="A892" s="189" t="s">
        <v>887</v>
      </c>
      <c r="B892" s="190"/>
      <c r="C892" s="189" t="s">
        <v>609</v>
      </c>
      <c r="D892" s="189" t="s">
        <v>609</v>
      </c>
      <c r="E892" s="189" t="s">
        <v>886</v>
      </c>
      <c r="F892" s="190"/>
      <c r="G892" s="191">
        <f t="shared" si="64"/>
        <v>950</v>
      </c>
      <c r="H892" s="191">
        <f t="shared" si="64"/>
        <v>950</v>
      </c>
      <c r="I892" s="192">
        <f t="shared" si="63"/>
        <v>0</v>
      </c>
    </row>
    <row r="893" spans="1:9" x14ac:dyDescent="0.2">
      <c r="A893" s="189" t="s">
        <v>1347</v>
      </c>
      <c r="B893" s="190"/>
      <c r="C893" s="189" t="s">
        <v>609</v>
      </c>
      <c r="D893" s="189" t="s">
        <v>609</v>
      </c>
      <c r="E893" s="189" t="s">
        <v>886</v>
      </c>
      <c r="F893" s="190" t="s">
        <v>535</v>
      </c>
      <c r="G893" s="191">
        <f t="shared" si="64"/>
        <v>950</v>
      </c>
      <c r="H893" s="191">
        <f t="shared" si="64"/>
        <v>950</v>
      </c>
      <c r="I893" s="192">
        <f t="shared" si="63"/>
        <v>0</v>
      </c>
    </row>
    <row r="894" spans="1:9" ht="24" x14ac:dyDescent="0.2">
      <c r="A894" s="189" t="s">
        <v>534</v>
      </c>
      <c r="B894" s="190"/>
      <c r="C894" s="189" t="s">
        <v>609</v>
      </c>
      <c r="D894" s="189" t="s">
        <v>609</v>
      </c>
      <c r="E894" s="189" t="s">
        <v>886</v>
      </c>
      <c r="F894" s="190" t="s">
        <v>529</v>
      </c>
      <c r="G894" s="191">
        <v>950</v>
      </c>
      <c r="H894" s="191">
        <v>950</v>
      </c>
      <c r="I894" s="192">
        <f t="shared" si="63"/>
        <v>0</v>
      </c>
    </row>
    <row r="895" spans="1:9" x14ac:dyDescent="0.2">
      <c r="A895" s="189" t="s">
        <v>689</v>
      </c>
      <c r="B895" s="190"/>
      <c r="C895" s="189" t="s">
        <v>609</v>
      </c>
      <c r="D895" s="189" t="s">
        <v>670</v>
      </c>
      <c r="E895" s="189"/>
      <c r="F895" s="190"/>
      <c r="G895" s="191">
        <f>G896+G902</f>
        <v>40064</v>
      </c>
      <c r="H895" s="191">
        <f>H896+H902</f>
        <v>40064</v>
      </c>
      <c r="I895" s="192">
        <f t="shared" si="63"/>
        <v>0</v>
      </c>
    </row>
    <row r="896" spans="1:9" x14ac:dyDescent="0.2">
      <c r="A896" s="189" t="s">
        <v>568</v>
      </c>
      <c r="B896" s="190"/>
      <c r="C896" s="189" t="s">
        <v>609</v>
      </c>
      <c r="D896" s="189" t="s">
        <v>670</v>
      </c>
      <c r="E896" s="189" t="s">
        <v>567</v>
      </c>
      <c r="F896" s="190"/>
      <c r="G896" s="191">
        <f t="shared" ref="G896:H900" si="65">G897</f>
        <v>14536.3</v>
      </c>
      <c r="H896" s="191">
        <f t="shared" si="65"/>
        <v>14536.3</v>
      </c>
      <c r="I896" s="192">
        <f t="shared" si="63"/>
        <v>0</v>
      </c>
    </row>
    <row r="897" spans="1:9" x14ac:dyDescent="0.2">
      <c r="A897" s="189" t="s">
        <v>675</v>
      </c>
      <c r="B897" s="190"/>
      <c r="C897" s="189" t="s">
        <v>609</v>
      </c>
      <c r="D897" s="189" t="s">
        <v>670</v>
      </c>
      <c r="E897" s="189" t="s">
        <v>674</v>
      </c>
      <c r="F897" s="190"/>
      <c r="G897" s="191">
        <f t="shared" si="65"/>
        <v>14536.3</v>
      </c>
      <c r="H897" s="191">
        <f t="shared" si="65"/>
        <v>14536.3</v>
      </c>
      <c r="I897" s="192">
        <f t="shared" si="63"/>
        <v>0</v>
      </c>
    </row>
    <row r="898" spans="1:9" ht="24" x14ac:dyDescent="0.2">
      <c r="A898" s="189" t="s">
        <v>673</v>
      </c>
      <c r="B898" s="190"/>
      <c r="C898" s="189" t="s">
        <v>609</v>
      </c>
      <c r="D898" s="189" t="s">
        <v>670</v>
      </c>
      <c r="E898" s="189" t="s">
        <v>672</v>
      </c>
      <c r="F898" s="190"/>
      <c r="G898" s="191">
        <f t="shared" si="65"/>
        <v>14536.3</v>
      </c>
      <c r="H898" s="191">
        <f t="shared" si="65"/>
        <v>14536.3</v>
      </c>
      <c r="I898" s="192">
        <f t="shared" si="63"/>
        <v>0</v>
      </c>
    </row>
    <row r="899" spans="1:9" x14ac:dyDescent="0.2">
      <c r="A899" s="189" t="s">
        <v>671</v>
      </c>
      <c r="B899" s="190"/>
      <c r="C899" s="189" t="s">
        <v>609</v>
      </c>
      <c r="D899" s="189" t="s">
        <v>670</v>
      </c>
      <c r="E899" s="189" t="s">
        <v>669</v>
      </c>
      <c r="F899" s="190"/>
      <c r="G899" s="191">
        <f t="shared" si="65"/>
        <v>14536.3</v>
      </c>
      <c r="H899" s="191">
        <f t="shared" si="65"/>
        <v>14536.3</v>
      </c>
      <c r="I899" s="192">
        <f t="shared" si="63"/>
        <v>0</v>
      </c>
    </row>
    <row r="900" spans="1:9" x14ac:dyDescent="0.2">
      <c r="A900" s="189" t="s">
        <v>553</v>
      </c>
      <c r="B900" s="190"/>
      <c r="C900" s="189" t="s">
        <v>609</v>
      </c>
      <c r="D900" s="189" t="s">
        <v>670</v>
      </c>
      <c r="E900" s="189" t="s">
        <v>669</v>
      </c>
      <c r="F900" s="190" t="s">
        <v>552</v>
      </c>
      <c r="G900" s="191">
        <f t="shared" si="65"/>
        <v>14536.3</v>
      </c>
      <c r="H900" s="191">
        <f t="shared" si="65"/>
        <v>14536.3</v>
      </c>
      <c r="I900" s="192">
        <f t="shared" si="63"/>
        <v>0</v>
      </c>
    </row>
    <row r="901" spans="1:9" x14ac:dyDescent="0.2">
      <c r="A901" s="189" t="s">
        <v>832</v>
      </c>
      <c r="B901" s="190"/>
      <c r="C901" s="189" t="s">
        <v>609</v>
      </c>
      <c r="D901" s="189" t="s">
        <v>670</v>
      </c>
      <c r="E901" s="189" t="s">
        <v>669</v>
      </c>
      <c r="F901" s="190" t="s">
        <v>830</v>
      </c>
      <c r="G901" s="191">
        <f>16216.8+650-2330.5</f>
        <v>14536.3</v>
      </c>
      <c r="H901" s="191">
        <f>16216.8+650-2330.5</f>
        <v>14536.3</v>
      </c>
      <c r="I901" s="192">
        <f t="shared" si="63"/>
        <v>0</v>
      </c>
    </row>
    <row r="902" spans="1:9" x14ac:dyDescent="0.2">
      <c r="A902" s="189" t="s">
        <v>604</v>
      </c>
      <c r="B902" s="190"/>
      <c r="C902" s="189" t="s">
        <v>609</v>
      </c>
      <c r="D902" s="189" t="s">
        <v>670</v>
      </c>
      <c r="E902" s="189" t="s">
        <v>603</v>
      </c>
      <c r="F902" s="190"/>
      <c r="G902" s="191">
        <f>G903</f>
        <v>25527.699999999997</v>
      </c>
      <c r="H902" s="191">
        <f>H903</f>
        <v>25527.699999999997</v>
      </c>
      <c r="I902" s="192">
        <f t="shared" si="63"/>
        <v>0</v>
      </c>
    </row>
    <row r="903" spans="1:9" x14ac:dyDescent="0.2">
      <c r="A903" s="189" t="s">
        <v>602</v>
      </c>
      <c r="B903" s="190"/>
      <c r="C903" s="189" t="s">
        <v>609</v>
      </c>
      <c r="D903" s="189" t="s">
        <v>670</v>
      </c>
      <c r="E903" s="189" t="s">
        <v>601</v>
      </c>
      <c r="F903" s="190"/>
      <c r="G903" s="191">
        <f>G904</f>
        <v>25527.699999999997</v>
      </c>
      <c r="H903" s="191">
        <f>H904</f>
        <v>25527.699999999997</v>
      </c>
      <c r="I903" s="192">
        <f t="shared" si="63"/>
        <v>0</v>
      </c>
    </row>
    <row r="904" spans="1:9" ht="24" x14ac:dyDescent="0.2">
      <c r="A904" s="189" t="s">
        <v>600</v>
      </c>
      <c r="B904" s="190"/>
      <c r="C904" s="189" t="s">
        <v>609</v>
      </c>
      <c r="D904" s="189" t="s">
        <v>670</v>
      </c>
      <c r="E904" s="189" t="s">
        <v>599</v>
      </c>
      <c r="F904" s="190"/>
      <c r="G904" s="191">
        <f>G905+G908</f>
        <v>25527.699999999997</v>
      </c>
      <c r="H904" s="191">
        <f>H905+H908</f>
        <v>25527.699999999997</v>
      </c>
      <c r="I904" s="192">
        <f t="shared" si="63"/>
        <v>0</v>
      </c>
    </row>
    <row r="905" spans="1:9" ht="24" x14ac:dyDescent="0.2">
      <c r="A905" s="189" t="s">
        <v>885</v>
      </c>
      <c r="B905" s="190"/>
      <c r="C905" s="189" t="s">
        <v>609</v>
      </c>
      <c r="D905" s="189" t="s">
        <v>670</v>
      </c>
      <c r="E905" s="189" t="s">
        <v>884</v>
      </c>
      <c r="F905" s="190"/>
      <c r="G905" s="191">
        <f>G906</f>
        <v>14448.599999999999</v>
      </c>
      <c r="H905" s="191">
        <f>H906</f>
        <v>14448.599999999999</v>
      </c>
      <c r="I905" s="192">
        <f t="shared" si="63"/>
        <v>0</v>
      </c>
    </row>
    <row r="906" spans="1:9" ht="24" x14ac:dyDescent="0.2">
      <c r="A906" s="189" t="s">
        <v>547</v>
      </c>
      <c r="B906" s="190"/>
      <c r="C906" s="189" t="s">
        <v>609</v>
      </c>
      <c r="D906" s="189" t="s">
        <v>670</v>
      </c>
      <c r="E906" s="189" t="s">
        <v>884</v>
      </c>
      <c r="F906" s="190" t="s">
        <v>519</v>
      </c>
      <c r="G906" s="191">
        <f>G907</f>
        <v>14448.599999999999</v>
      </c>
      <c r="H906" s="191">
        <f>H907</f>
        <v>14448.599999999999</v>
      </c>
      <c r="I906" s="192">
        <f t="shared" si="63"/>
        <v>0</v>
      </c>
    </row>
    <row r="907" spans="1:9" x14ac:dyDescent="0.2">
      <c r="A907" s="189" t="s">
        <v>571</v>
      </c>
      <c r="B907" s="190"/>
      <c r="C907" s="189" t="s">
        <v>609</v>
      </c>
      <c r="D907" s="189" t="s">
        <v>670</v>
      </c>
      <c r="E907" s="189" t="s">
        <v>884</v>
      </c>
      <c r="F907" s="190" t="s">
        <v>522</v>
      </c>
      <c r="G907" s="191">
        <f>16835.1-2386.5</f>
        <v>14448.599999999999</v>
      </c>
      <c r="H907" s="191">
        <f>16835.1-2386.5</f>
        <v>14448.599999999999</v>
      </c>
      <c r="I907" s="192">
        <f t="shared" si="63"/>
        <v>0</v>
      </c>
    </row>
    <row r="908" spans="1:9" ht="24" x14ac:dyDescent="0.2">
      <c r="A908" s="189" t="s">
        <v>883</v>
      </c>
      <c r="B908" s="190"/>
      <c r="C908" s="189" t="s">
        <v>609</v>
      </c>
      <c r="D908" s="189" t="s">
        <v>670</v>
      </c>
      <c r="E908" s="189" t="s">
        <v>882</v>
      </c>
      <c r="F908" s="190"/>
      <c r="G908" s="191">
        <f>G909</f>
        <v>11079.1</v>
      </c>
      <c r="H908" s="191">
        <f>H909</f>
        <v>11079.1</v>
      </c>
      <c r="I908" s="192">
        <f t="shared" si="63"/>
        <v>0</v>
      </c>
    </row>
    <row r="909" spans="1:9" ht="24" x14ac:dyDescent="0.2">
      <c r="A909" s="189" t="s">
        <v>547</v>
      </c>
      <c r="B909" s="190"/>
      <c r="C909" s="189" t="s">
        <v>609</v>
      </c>
      <c r="D909" s="189" t="s">
        <v>670</v>
      </c>
      <c r="E909" s="189" t="s">
        <v>882</v>
      </c>
      <c r="F909" s="190" t="s">
        <v>519</v>
      </c>
      <c r="G909" s="191">
        <f>G910</f>
        <v>11079.1</v>
      </c>
      <c r="H909" s="191">
        <f>H910</f>
        <v>11079.1</v>
      </c>
      <c r="I909" s="192">
        <f t="shared" si="63"/>
        <v>0</v>
      </c>
    </row>
    <row r="910" spans="1:9" x14ac:dyDescent="0.2">
      <c r="A910" s="189" t="s">
        <v>571</v>
      </c>
      <c r="B910" s="190"/>
      <c r="C910" s="189" t="s">
        <v>609</v>
      </c>
      <c r="D910" s="189" t="s">
        <v>670</v>
      </c>
      <c r="E910" s="189" t="s">
        <v>882</v>
      </c>
      <c r="F910" s="190" t="s">
        <v>522</v>
      </c>
      <c r="G910" s="191">
        <v>11079.1</v>
      </c>
      <c r="H910" s="191">
        <v>11079.1</v>
      </c>
      <c r="I910" s="192">
        <f t="shared" si="63"/>
        <v>0</v>
      </c>
    </row>
    <row r="911" spans="1:9" s="78" customFormat="1" x14ac:dyDescent="0.2">
      <c r="A911" s="185" t="s">
        <v>1345</v>
      </c>
      <c r="B911" s="186"/>
      <c r="C911" s="185" t="s">
        <v>617</v>
      </c>
      <c r="D911" s="185"/>
      <c r="E911" s="185"/>
      <c r="F911" s="186"/>
      <c r="G911" s="187">
        <f>G912</f>
        <v>10809.3</v>
      </c>
      <c r="H911" s="187">
        <f>H912</f>
        <v>10659.3</v>
      </c>
      <c r="I911" s="188">
        <f t="shared" si="63"/>
        <v>-150</v>
      </c>
    </row>
    <row r="912" spans="1:9" x14ac:dyDescent="0.2">
      <c r="A912" s="189" t="s">
        <v>654</v>
      </c>
      <c r="B912" s="190"/>
      <c r="C912" s="189" t="s">
        <v>617</v>
      </c>
      <c r="D912" s="189" t="s">
        <v>498</v>
      </c>
      <c r="E912" s="189"/>
      <c r="F912" s="190"/>
      <c r="G912" s="191">
        <f>G913+G924+G930</f>
        <v>10809.3</v>
      </c>
      <c r="H912" s="191">
        <f>H913+H924+H930</f>
        <v>10659.3</v>
      </c>
      <c r="I912" s="192">
        <f t="shared" si="63"/>
        <v>-150</v>
      </c>
    </row>
    <row r="913" spans="1:9" x14ac:dyDescent="0.2">
      <c r="A913" s="189" t="s">
        <v>653</v>
      </c>
      <c r="B913" s="190"/>
      <c r="C913" s="189" t="s">
        <v>617</v>
      </c>
      <c r="D913" s="189" t="s">
        <v>498</v>
      </c>
      <c r="E913" s="189" t="s">
        <v>652</v>
      </c>
      <c r="F913" s="190"/>
      <c r="G913" s="191">
        <f>G914+G919</f>
        <v>4815.5</v>
      </c>
      <c r="H913" s="191">
        <f>H914+H919</f>
        <v>4815.5</v>
      </c>
      <c r="I913" s="192">
        <f t="shared" si="63"/>
        <v>0</v>
      </c>
    </row>
    <row r="914" spans="1:9" x14ac:dyDescent="0.2">
      <c r="A914" s="189" t="s">
        <v>645</v>
      </c>
      <c r="B914" s="190"/>
      <c r="C914" s="189" t="s">
        <v>617</v>
      </c>
      <c r="D914" s="189" t="s">
        <v>498</v>
      </c>
      <c r="E914" s="189" t="s">
        <v>644</v>
      </c>
      <c r="F914" s="190"/>
      <c r="G914" s="191">
        <f t="shared" ref="G914:H917" si="66">G915</f>
        <v>3107.4</v>
      </c>
      <c r="H914" s="191">
        <f t="shared" si="66"/>
        <v>3107.4</v>
      </c>
      <c r="I914" s="192">
        <f t="shared" si="63"/>
        <v>0</v>
      </c>
    </row>
    <row r="915" spans="1:9" ht="24" x14ac:dyDescent="0.2">
      <c r="A915" s="189" t="s">
        <v>643</v>
      </c>
      <c r="B915" s="190"/>
      <c r="C915" s="189" t="s">
        <v>617</v>
      </c>
      <c r="D915" s="189" t="s">
        <v>498</v>
      </c>
      <c r="E915" s="189" t="s">
        <v>642</v>
      </c>
      <c r="F915" s="190"/>
      <c r="G915" s="191">
        <f t="shared" si="66"/>
        <v>3107.4</v>
      </c>
      <c r="H915" s="191">
        <f t="shared" si="66"/>
        <v>3107.4</v>
      </c>
      <c r="I915" s="192">
        <f t="shared" si="63"/>
        <v>0</v>
      </c>
    </row>
    <row r="916" spans="1:9" ht="24" x14ac:dyDescent="0.2">
      <c r="A916" s="189" t="s">
        <v>881</v>
      </c>
      <c r="B916" s="190"/>
      <c r="C916" s="189" t="s">
        <v>617</v>
      </c>
      <c r="D916" s="189" t="s">
        <v>498</v>
      </c>
      <c r="E916" s="189" t="s">
        <v>880</v>
      </c>
      <c r="F916" s="190"/>
      <c r="G916" s="191">
        <f t="shared" si="66"/>
        <v>3107.4</v>
      </c>
      <c r="H916" s="191">
        <f t="shared" si="66"/>
        <v>3107.4</v>
      </c>
      <c r="I916" s="192">
        <f t="shared" si="63"/>
        <v>0</v>
      </c>
    </row>
    <row r="917" spans="1:9" x14ac:dyDescent="0.2">
      <c r="A917" s="189" t="s">
        <v>1347</v>
      </c>
      <c r="B917" s="190"/>
      <c r="C917" s="189" t="s">
        <v>617</v>
      </c>
      <c r="D917" s="189" t="s">
        <v>498</v>
      </c>
      <c r="E917" s="189" t="s">
        <v>880</v>
      </c>
      <c r="F917" s="190" t="s">
        <v>535</v>
      </c>
      <c r="G917" s="191">
        <f t="shared" si="66"/>
        <v>3107.4</v>
      </c>
      <c r="H917" s="191">
        <f t="shared" si="66"/>
        <v>3107.4</v>
      </c>
      <c r="I917" s="192">
        <f t="shared" si="63"/>
        <v>0</v>
      </c>
    </row>
    <row r="918" spans="1:9" ht="24" x14ac:dyDescent="0.2">
      <c r="A918" s="189" t="s">
        <v>534</v>
      </c>
      <c r="B918" s="190"/>
      <c r="C918" s="189" t="s">
        <v>617</v>
      </c>
      <c r="D918" s="189" t="s">
        <v>498</v>
      </c>
      <c r="E918" s="189" t="s">
        <v>880</v>
      </c>
      <c r="F918" s="190" t="s">
        <v>529</v>
      </c>
      <c r="G918" s="191">
        <v>3107.4</v>
      </c>
      <c r="H918" s="191">
        <v>3107.4</v>
      </c>
      <c r="I918" s="192">
        <f t="shared" si="63"/>
        <v>0</v>
      </c>
    </row>
    <row r="919" spans="1:9" ht="24" x14ac:dyDescent="0.2">
      <c r="A919" s="189" t="s">
        <v>639</v>
      </c>
      <c r="B919" s="190"/>
      <c r="C919" s="189" t="s">
        <v>617</v>
      </c>
      <c r="D919" s="189" t="s">
        <v>498</v>
      </c>
      <c r="E919" s="189" t="s">
        <v>638</v>
      </c>
      <c r="F919" s="190"/>
      <c r="G919" s="191">
        <f t="shared" ref="G919:H922" si="67">G920</f>
        <v>1708.1</v>
      </c>
      <c r="H919" s="191">
        <f t="shared" si="67"/>
        <v>1708.1</v>
      </c>
      <c r="I919" s="192">
        <f t="shared" si="63"/>
        <v>0</v>
      </c>
    </row>
    <row r="920" spans="1:9" x14ac:dyDescent="0.2">
      <c r="A920" s="189" t="s">
        <v>1357</v>
      </c>
      <c r="B920" s="190"/>
      <c r="C920" s="189" t="s">
        <v>617</v>
      </c>
      <c r="D920" s="189" t="s">
        <v>498</v>
      </c>
      <c r="E920" s="189" t="s">
        <v>1358</v>
      </c>
      <c r="F920" s="190"/>
      <c r="G920" s="191">
        <f t="shared" si="67"/>
        <v>1708.1</v>
      </c>
      <c r="H920" s="191">
        <f t="shared" si="67"/>
        <v>1708.1</v>
      </c>
      <c r="I920" s="192">
        <f t="shared" si="63"/>
        <v>0</v>
      </c>
    </row>
    <row r="921" spans="1:9" ht="24" x14ac:dyDescent="0.2">
      <c r="A921" s="189" t="s">
        <v>625</v>
      </c>
      <c r="B921" s="190"/>
      <c r="C921" s="189" t="s">
        <v>617</v>
      </c>
      <c r="D921" s="189" t="s">
        <v>498</v>
      </c>
      <c r="E921" s="189" t="s">
        <v>1359</v>
      </c>
      <c r="F921" s="190"/>
      <c r="G921" s="191">
        <f t="shared" si="67"/>
        <v>1708.1</v>
      </c>
      <c r="H921" s="191">
        <f t="shared" si="67"/>
        <v>1708.1</v>
      </c>
      <c r="I921" s="192">
        <f t="shared" si="63"/>
        <v>0</v>
      </c>
    </row>
    <row r="922" spans="1:9" x14ac:dyDescent="0.2">
      <c r="A922" s="189" t="s">
        <v>1347</v>
      </c>
      <c r="B922" s="190"/>
      <c r="C922" s="189" t="s">
        <v>617</v>
      </c>
      <c r="D922" s="189" t="s">
        <v>498</v>
      </c>
      <c r="E922" s="189" t="s">
        <v>1359</v>
      </c>
      <c r="F922" s="190" t="s">
        <v>535</v>
      </c>
      <c r="G922" s="191">
        <f t="shared" si="67"/>
        <v>1708.1</v>
      </c>
      <c r="H922" s="191">
        <f t="shared" si="67"/>
        <v>1708.1</v>
      </c>
      <c r="I922" s="192">
        <f t="shared" si="63"/>
        <v>0</v>
      </c>
    </row>
    <row r="923" spans="1:9" ht="24" x14ac:dyDescent="0.2">
      <c r="A923" s="189" t="s">
        <v>534</v>
      </c>
      <c r="B923" s="190"/>
      <c r="C923" s="189" t="s">
        <v>617</v>
      </c>
      <c r="D923" s="189" t="s">
        <v>498</v>
      </c>
      <c r="E923" s="189" t="s">
        <v>1359</v>
      </c>
      <c r="F923" s="190" t="s">
        <v>529</v>
      </c>
      <c r="G923" s="191">
        <f>3542.6-1834.5</f>
        <v>1708.1</v>
      </c>
      <c r="H923" s="191">
        <f>3542.6-1834.5</f>
        <v>1708.1</v>
      </c>
      <c r="I923" s="192">
        <f t="shared" si="63"/>
        <v>0</v>
      </c>
    </row>
    <row r="924" spans="1:9" x14ac:dyDescent="0.2">
      <c r="A924" s="189" t="s">
        <v>879</v>
      </c>
      <c r="B924" s="190"/>
      <c r="C924" s="189" t="s">
        <v>617</v>
      </c>
      <c r="D924" s="189" t="s">
        <v>498</v>
      </c>
      <c r="E924" s="189" t="s">
        <v>878</v>
      </c>
      <c r="F924" s="190"/>
      <c r="G924" s="191">
        <f t="shared" ref="G924:H928" si="68">G925</f>
        <v>3178.6000000000004</v>
      </c>
      <c r="H924" s="191">
        <f t="shared" si="68"/>
        <v>3178.6000000000004</v>
      </c>
      <c r="I924" s="192">
        <f t="shared" si="63"/>
        <v>0</v>
      </c>
    </row>
    <row r="925" spans="1:9" x14ac:dyDescent="0.2">
      <c r="A925" s="189" t="s">
        <v>877</v>
      </c>
      <c r="B925" s="190"/>
      <c r="C925" s="189" t="s">
        <v>617</v>
      </c>
      <c r="D925" s="189" t="s">
        <v>498</v>
      </c>
      <c r="E925" s="189" t="s">
        <v>876</v>
      </c>
      <c r="F925" s="190"/>
      <c r="G925" s="191">
        <f t="shared" si="68"/>
        <v>3178.6000000000004</v>
      </c>
      <c r="H925" s="191">
        <f t="shared" si="68"/>
        <v>3178.6000000000004</v>
      </c>
      <c r="I925" s="192">
        <f t="shared" si="63"/>
        <v>0</v>
      </c>
    </row>
    <row r="926" spans="1:9" x14ac:dyDescent="0.2">
      <c r="A926" s="189" t="s">
        <v>875</v>
      </c>
      <c r="B926" s="190"/>
      <c r="C926" s="189" t="s">
        <v>617</v>
      </c>
      <c r="D926" s="189" t="s">
        <v>498</v>
      </c>
      <c r="E926" s="189" t="s">
        <v>874</v>
      </c>
      <c r="F926" s="190"/>
      <c r="G926" s="191">
        <f t="shared" si="68"/>
        <v>3178.6000000000004</v>
      </c>
      <c r="H926" s="191">
        <f t="shared" si="68"/>
        <v>3178.6000000000004</v>
      </c>
      <c r="I926" s="192">
        <f t="shared" si="63"/>
        <v>0</v>
      </c>
    </row>
    <row r="927" spans="1:9" ht="24" x14ac:dyDescent="0.2">
      <c r="A927" s="189" t="s">
        <v>873</v>
      </c>
      <c r="B927" s="190"/>
      <c r="C927" s="189" t="s">
        <v>617</v>
      </c>
      <c r="D927" s="189" t="s">
        <v>498</v>
      </c>
      <c r="E927" s="189" t="s">
        <v>872</v>
      </c>
      <c r="F927" s="190"/>
      <c r="G927" s="191">
        <f t="shared" si="68"/>
        <v>3178.6000000000004</v>
      </c>
      <c r="H927" s="191">
        <f t="shared" si="68"/>
        <v>3178.6000000000004</v>
      </c>
      <c r="I927" s="192">
        <f t="shared" si="63"/>
        <v>0</v>
      </c>
    </row>
    <row r="928" spans="1:9" x14ac:dyDescent="0.2">
      <c r="A928" s="189" t="s">
        <v>1347</v>
      </c>
      <c r="B928" s="190"/>
      <c r="C928" s="189" t="s">
        <v>617</v>
      </c>
      <c r="D928" s="189" t="s">
        <v>498</v>
      </c>
      <c r="E928" s="189" t="s">
        <v>872</v>
      </c>
      <c r="F928" s="190" t="s">
        <v>535</v>
      </c>
      <c r="G928" s="191">
        <f t="shared" si="68"/>
        <v>3178.6000000000004</v>
      </c>
      <c r="H928" s="191">
        <f t="shared" si="68"/>
        <v>3178.6000000000004</v>
      </c>
      <c r="I928" s="192">
        <f t="shared" si="63"/>
        <v>0</v>
      </c>
    </row>
    <row r="929" spans="1:9" ht="24" x14ac:dyDescent="0.2">
      <c r="A929" s="189" t="s">
        <v>534</v>
      </c>
      <c r="B929" s="190"/>
      <c r="C929" s="189" t="s">
        <v>617</v>
      </c>
      <c r="D929" s="189" t="s">
        <v>498</v>
      </c>
      <c r="E929" s="189" t="s">
        <v>872</v>
      </c>
      <c r="F929" s="190" t="s">
        <v>529</v>
      </c>
      <c r="G929" s="191">
        <f>3303.3-124.7</f>
        <v>3178.6000000000004</v>
      </c>
      <c r="H929" s="191">
        <f>3303.3-124.7</f>
        <v>3178.6000000000004</v>
      </c>
      <c r="I929" s="192">
        <f t="shared" si="63"/>
        <v>0</v>
      </c>
    </row>
    <row r="930" spans="1:9" x14ac:dyDescent="0.2">
      <c r="A930" s="189" t="s">
        <v>595</v>
      </c>
      <c r="B930" s="190"/>
      <c r="C930" s="189" t="s">
        <v>617</v>
      </c>
      <c r="D930" s="189" t="s">
        <v>498</v>
      </c>
      <c r="E930" s="189" t="s">
        <v>594</v>
      </c>
      <c r="F930" s="190"/>
      <c r="G930" s="191">
        <f t="shared" ref="G930:H932" si="69">G931</f>
        <v>2815.2</v>
      </c>
      <c r="H930" s="191">
        <f t="shared" si="69"/>
        <v>2665.2</v>
      </c>
      <c r="I930" s="192">
        <f t="shared" si="63"/>
        <v>-150</v>
      </c>
    </row>
    <row r="931" spans="1:9" x14ac:dyDescent="0.2">
      <c r="A931" s="189" t="s">
        <v>871</v>
      </c>
      <c r="B931" s="190"/>
      <c r="C931" s="189" t="s">
        <v>617</v>
      </c>
      <c r="D931" s="189" t="s">
        <v>498</v>
      </c>
      <c r="E931" s="189" t="s">
        <v>870</v>
      </c>
      <c r="F931" s="190"/>
      <c r="G931" s="191">
        <f t="shared" si="69"/>
        <v>2815.2</v>
      </c>
      <c r="H931" s="191">
        <f t="shared" si="69"/>
        <v>2665.2</v>
      </c>
      <c r="I931" s="192">
        <f t="shared" si="63"/>
        <v>-150</v>
      </c>
    </row>
    <row r="932" spans="1:9" x14ac:dyDescent="0.2">
      <c r="A932" s="189" t="s">
        <v>1347</v>
      </c>
      <c r="B932" s="190"/>
      <c r="C932" s="189" t="s">
        <v>617</v>
      </c>
      <c r="D932" s="189" t="s">
        <v>498</v>
      </c>
      <c r="E932" s="189" t="s">
        <v>870</v>
      </c>
      <c r="F932" s="190" t="s">
        <v>535</v>
      </c>
      <c r="G932" s="191">
        <f t="shared" si="69"/>
        <v>2815.2</v>
      </c>
      <c r="H932" s="191">
        <f t="shared" si="69"/>
        <v>2665.2</v>
      </c>
      <c r="I932" s="192">
        <f t="shared" si="63"/>
        <v>-150</v>
      </c>
    </row>
    <row r="933" spans="1:9" ht="24" x14ac:dyDescent="0.2">
      <c r="A933" s="189" t="s">
        <v>534</v>
      </c>
      <c r="B933" s="190"/>
      <c r="C933" s="189" t="s">
        <v>617</v>
      </c>
      <c r="D933" s="189" t="s">
        <v>498</v>
      </c>
      <c r="E933" s="189" t="s">
        <v>870</v>
      </c>
      <c r="F933" s="190" t="s">
        <v>529</v>
      </c>
      <c r="G933" s="191">
        <v>2815.2</v>
      </c>
      <c r="H933" s="191">
        <f>2815.2-150</f>
        <v>2665.2</v>
      </c>
      <c r="I933" s="192">
        <f t="shared" si="63"/>
        <v>-150</v>
      </c>
    </row>
    <row r="934" spans="1:9" s="78" customFormat="1" x14ac:dyDescent="0.2">
      <c r="A934" s="185" t="s">
        <v>668</v>
      </c>
      <c r="B934" s="186"/>
      <c r="C934" s="185" t="s">
        <v>657</v>
      </c>
      <c r="D934" s="185"/>
      <c r="E934" s="185"/>
      <c r="F934" s="186"/>
      <c r="G934" s="187">
        <f>G935+G942+G970+G982</f>
        <v>214593.1</v>
      </c>
      <c r="H934" s="187">
        <f>H935+H942+H970+H982</f>
        <v>199965.5</v>
      </c>
      <c r="I934" s="188">
        <f t="shared" si="63"/>
        <v>-14627.600000000006</v>
      </c>
    </row>
    <row r="935" spans="1:9" x14ac:dyDescent="0.2">
      <c r="A935" s="189" t="s">
        <v>869</v>
      </c>
      <c r="B935" s="190"/>
      <c r="C935" s="189" t="s">
        <v>657</v>
      </c>
      <c r="D935" s="189" t="s">
        <v>498</v>
      </c>
      <c r="E935" s="189"/>
      <c r="F935" s="190"/>
      <c r="G935" s="191">
        <f t="shared" ref="G935:H940" si="70">G936</f>
        <v>27100</v>
      </c>
      <c r="H935" s="191">
        <f t="shared" si="70"/>
        <v>27100</v>
      </c>
      <c r="I935" s="192">
        <f t="shared" si="63"/>
        <v>0</v>
      </c>
    </row>
    <row r="936" spans="1:9" x14ac:dyDescent="0.2">
      <c r="A936" s="189" t="s">
        <v>568</v>
      </c>
      <c r="B936" s="190"/>
      <c r="C936" s="189" t="s">
        <v>657</v>
      </c>
      <c r="D936" s="189" t="s">
        <v>498</v>
      </c>
      <c r="E936" s="189" t="s">
        <v>567</v>
      </c>
      <c r="F936" s="190"/>
      <c r="G936" s="191">
        <f t="shared" si="70"/>
        <v>27100</v>
      </c>
      <c r="H936" s="191">
        <f t="shared" si="70"/>
        <v>27100</v>
      </c>
      <c r="I936" s="192">
        <f t="shared" si="63"/>
        <v>0</v>
      </c>
    </row>
    <row r="937" spans="1:9" x14ac:dyDescent="0.2">
      <c r="A937" s="189" t="s">
        <v>855</v>
      </c>
      <c r="B937" s="190"/>
      <c r="C937" s="189" t="s">
        <v>657</v>
      </c>
      <c r="D937" s="189" t="s">
        <v>498</v>
      </c>
      <c r="E937" s="189" t="s">
        <v>854</v>
      </c>
      <c r="F937" s="190"/>
      <c r="G937" s="191">
        <f t="shared" si="70"/>
        <v>27100</v>
      </c>
      <c r="H937" s="191">
        <f t="shared" si="70"/>
        <v>27100</v>
      </c>
      <c r="I937" s="192">
        <f t="shared" si="63"/>
        <v>0</v>
      </c>
    </row>
    <row r="938" spans="1:9" ht="24" x14ac:dyDescent="0.2">
      <c r="A938" s="189" t="s">
        <v>868</v>
      </c>
      <c r="B938" s="190"/>
      <c r="C938" s="189" t="s">
        <v>657</v>
      </c>
      <c r="D938" s="189" t="s">
        <v>498</v>
      </c>
      <c r="E938" s="189" t="s">
        <v>867</v>
      </c>
      <c r="F938" s="190"/>
      <c r="G938" s="191">
        <f t="shared" si="70"/>
        <v>27100</v>
      </c>
      <c r="H938" s="191">
        <f t="shared" si="70"/>
        <v>27100</v>
      </c>
      <c r="I938" s="192">
        <f t="shared" si="63"/>
        <v>0</v>
      </c>
    </row>
    <row r="939" spans="1:9" ht="24" x14ac:dyDescent="0.2">
      <c r="A939" s="189" t="s">
        <v>866</v>
      </c>
      <c r="B939" s="190"/>
      <c r="C939" s="189" t="s">
        <v>657</v>
      </c>
      <c r="D939" s="189" t="s">
        <v>498</v>
      </c>
      <c r="E939" s="189" t="s">
        <v>865</v>
      </c>
      <c r="F939" s="190"/>
      <c r="G939" s="191">
        <f t="shared" si="70"/>
        <v>27100</v>
      </c>
      <c r="H939" s="191">
        <f t="shared" si="70"/>
        <v>27100</v>
      </c>
      <c r="I939" s="192">
        <f t="shared" si="63"/>
        <v>0</v>
      </c>
    </row>
    <row r="940" spans="1:9" x14ac:dyDescent="0.2">
      <c r="A940" s="189" t="s">
        <v>553</v>
      </c>
      <c r="B940" s="190"/>
      <c r="C940" s="189" t="s">
        <v>657</v>
      </c>
      <c r="D940" s="189" t="s">
        <v>498</v>
      </c>
      <c r="E940" s="189" t="s">
        <v>865</v>
      </c>
      <c r="F940" s="190" t="s">
        <v>552</v>
      </c>
      <c r="G940" s="191">
        <f t="shared" si="70"/>
        <v>27100</v>
      </c>
      <c r="H940" s="191">
        <f t="shared" si="70"/>
        <v>27100</v>
      </c>
      <c r="I940" s="192">
        <f t="shared" si="63"/>
        <v>0</v>
      </c>
    </row>
    <row r="941" spans="1:9" x14ac:dyDescent="0.2">
      <c r="A941" s="189" t="s">
        <v>832</v>
      </c>
      <c r="B941" s="190"/>
      <c r="C941" s="189" t="s">
        <v>657</v>
      </c>
      <c r="D941" s="189" t="s">
        <v>498</v>
      </c>
      <c r="E941" s="189" t="s">
        <v>865</v>
      </c>
      <c r="F941" s="190" t="s">
        <v>830</v>
      </c>
      <c r="G941" s="191">
        <v>27100</v>
      </c>
      <c r="H941" s="191">
        <v>27100</v>
      </c>
      <c r="I941" s="192">
        <f t="shared" si="63"/>
        <v>0</v>
      </c>
    </row>
    <row r="942" spans="1:9" x14ac:dyDescent="0.2">
      <c r="A942" s="189" t="s">
        <v>864</v>
      </c>
      <c r="B942" s="190"/>
      <c r="C942" s="189" t="s">
        <v>657</v>
      </c>
      <c r="D942" s="189" t="s">
        <v>531</v>
      </c>
      <c r="E942" s="189"/>
      <c r="F942" s="190"/>
      <c r="G942" s="191">
        <f>G943+G949+G957+G963</f>
        <v>137894</v>
      </c>
      <c r="H942" s="191">
        <f>H943+H949+H957+H963</f>
        <v>136394</v>
      </c>
      <c r="I942" s="192">
        <f t="shared" si="63"/>
        <v>-1500</v>
      </c>
    </row>
    <row r="943" spans="1:9" x14ac:dyDescent="0.2">
      <c r="A943" s="189" t="s">
        <v>863</v>
      </c>
      <c r="B943" s="190"/>
      <c r="C943" s="189" t="s">
        <v>657</v>
      </c>
      <c r="D943" s="189" t="s">
        <v>531</v>
      </c>
      <c r="E943" s="189" t="s">
        <v>862</v>
      </c>
      <c r="F943" s="190"/>
      <c r="G943" s="191">
        <f t="shared" ref="G943:H947" si="71">G944</f>
        <v>4860</v>
      </c>
      <c r="H943" s="191">
        <f t="shared" si="71"/>
        <v>4860</v>
      </c>
      <c r="I943" s="192">
        <f t="shared" si="63"/>
        <v>0</v>
      </c>
    </row>
    <row r="944" spans="1:9" x14ac:dyDescent="0.2">
      <c r="A944" s="189" t="s">
        <v>861</v>
      </c>
      <c r="B944" s="190"/>
      <c r="C944" s="189" t="s">
        <v>657</v>
      </c>
      <c r="D944" s="189" t="s">
        <v>531</v>
      </c>
      <c r="E944" s="189" t="s">
        <v>860</v>
      </c>
      <c r="F944" s="190"/>
      <c r="G944" s="191">
        <f t="shared" si="71"/>
        <v>4860</v>
      </c>
      <c r="H944" s="191">
        <f t="shared" si="71"/>
        <v>4860</v>
      </c>
      <c r="I944" s="192">
        <f t="shared" si="63"/>
        <v>0</v>
      </c>
    </row>
    <row r="945" spans="1:9" x14ac:dyDescent="0.2">
      <c r="A945" s="189" t="s">
        <v>859</v>
      </c>
      <c r="B945" s="190"/>
      <c r="C945" s="189" t="s">
        <v>657</v>
      </c>
      <c r="D945" s="189" t="s">
        <v>531</v>
      </c>
      <c r="E945" s="189" t="s">
        <v>858</v>
      </c>
      <c r="F945" s="190"/>
      <c r="G945" s="191">
        <f t="shared" si="71"/>
        <v>4860</v>
      </c>
      <c r="H945" s="191">
        <f t="shared" si="71"/>
        <v>4860</v>
      </c>
      <c r="I945" s="192">
        <f t="shared" si="63"/>
        <v>0</v>
      </c>
    </row>
    <row r="946" spans="1:9" ht="36" x14ac:dyDescent="0.2">
      <c r="A946" s="189" t="s">
        <v>857</v>
      </c>
      <c r="B946" s="190"/>
      <c r="C946" s="189" t="s">
        <v>657</v>
      </c>
      <c r="D946" s="189" t="s">
        <v>531</v>
      </c>
      <c r="E946" s="189" t="s">
        <v>856</v>
      </c>
      <c r="F946" s="190"/>
      <c r="G946" s="191">
        <f t="shared" si="71"/>
        <v>4860</v>
      </c>
      <c r="H946" s="191">
        <f t="shared" si="71"/>
        <v>4860</v>
      </c>
      <c r="I946" s="192">
        <f t="shared" si="63"/>
        <v>0</v>
      </c>
    </row>
    <row r="947" spans="1:9" x14ac:dyDescent="0.2">
      <c r="A947" s="189" t="s">
        <v>553</v>
      </c>
      <c r="B947" s="190"/>
      <c r="C947" s="189" t="s">
        <v>657</v>
      </c>
      <c r="D947" s="189" t="s">
        <v>531</v>
      </c>
      <c r="E947" s="189" t="s">
        <v>856</v>
      </c>
      <c r="F947" s="190" t="s">
        <v>552</v>
      </c>
      <c r="G947" s="191">
        <f t="shared" si="71"/>
        <v>4860</v>
      </c>
      <c r="H947" s="191">
        <f t="shared" si="71"/>
        <v>4860</v>
      </c>
      <c r="I947" s="192">
        <f t="shared" si="63"/>
        <v>0</v>
      </c>
    </row>
    <row r="948" spans="1:9" x14ac:dyDescent="0.2">
      <c r="A948" s="189" t="s">
        <v>659</v>
      </c>
      <c r="B948" s="190"/>
      <c r="C948" s="189" t="s">
        <v>657</v>
      </c>
      <c r="D948" s="189" t="s">
        <v>531</v>
      </c>
      <c r="E948" s="189" t="s">
        <v>856</v>
      </c>
      <c r="F948" s="190" t="s">
        <v>655</v>
      </c>
      <c r="G948" s="191">
        <v>4860</v>
      </c>
      <c r="H948" s="191">
        <v>4860</v>
      </c>
      <c r="I948" s="192">
        <f t="shared" si="63"/>
        <v>0</v>
      </c>
    </row>
    <row r="949" spans="1:9" x14ac:dyDescent="0.2">
      <c r="A949" s="189" t="s">
        <v>568</v>
      </c>
      <c r="B949" s="190"/>
      <c r="C949" s="189" t="s">
        <v>657</v>
      </c>
      <c r="D949" s="189" t="s">
        <v>531</v>
      </c>
      <c r="E949" s="189" t="s">
        <v>567</v>
      </c>
      <c r="F949" s="190"/>
      <c r="G949" s="191">
        <f t="shared" ref="G949:H951" si="72">G950</f>
        <v>121331</v>
      </c>
      <c r="H949" s="191">
        <f t="shared" si="72"/>
        <v>121331</v>
      </c>
      <c r="I949" s="192">
        <f t="shared" si="63"/>
        <v>0</v>
      </c>
    </row>
    <row r="950" spans="1:9" x14ac:dyDescent="0.2">
      <c r="A950" s="189" t="s">
        <v>855</v>
      </c>
      <c r="B950" s="190"/>
      <c r="C950" s="189" t="s">
        <v>657</v>
      </c>
      <c r="D950" s="189" t="s">
        <v>531</v>
      </c>
      <c r="E950" s="189" t="s">
        <v>854</v>
      </c>
      <c r="F950" s="190"/>
      <c r="G950" s="191">
        <f t="shared" si="72"/>
        <v>121331</v>
      </c>
      <c r="H950" s="191">
        <f t="shared" si="72"/>
        <v>121331</v>
      </c>
      <c r="I950" s="192">
        <f t="shared" si="63"/>
        <v>0</v>
      </c>
    </row>
    <row r="951" spans="1:9" ht="36" x14ac:dyDescent="0.2">
      <c r="A951" s="189" t="s">
        <v>853</v>
      </c>
      <c r="B951" s="190"/>
      <c r="C951" s="189" t="s">
        <v>657</v>
      </c>
      <c r="D951" s="189" t="s">
        <v>531</v>
      </c>
      <c r="E951" s="189" t="s">
        <v>852</v>
      </c>
      <c r="F951" s="190"/>
      <c r="G951" s="191">
        <f t="shared" si="72"/>
        <v>121331</v>
      </c>
      <c r="H951" s="191">
        <f t="shared" si="72"/>
        <v>121331</v>
      </c>
      <c r="I951" s="192">
        <f t="shared" ref="I951:I1031" si="73">H951-G951</f>
        <v>0</v>
      </c>
    </row>
    <row r="952" spans="1:9" x14ac:dyDescent="0.2">
      <c r="A952" s="189" t="s">
        <v>851</v>
      </c>
      <c r="B952" s="190"/>
      <c r="C952" s="189" t="s">
        <v>657</v>
      </c>
      <c r="D952" s="189" t="s">
        <v>531</v>
      </c>
      <c r="E952" s="189" t="s">
        <v>850</v>
      </c>
      <c r="F952" s="190"/>
      <c r="G952" s="191">
        <f>G953+G955</f>
        <v>121331</v>
      </c>
      <c r="H952" s="191">
        <f>H953+H955</f>
        <v>121331</v>
      </c>
      <c r="I952" s="192">
        <f t="shared" si="73"/>
        <v>0</v>
      </c>
    </row>
    <row r="953" spans="1:9" x14ac:dyDescent="0.2">
      <c r="A953" s="189" t="s">
        <v>1347</v>
      </c>
      <c r="B953" s="190"/>
      <c r="C953" s="189" t="s">
        <v>657</v>
      </c>
      <c r="D953" s="189" t="s">
        <v>531</v>
      </c>
      <c r="E953" s="189" t="s">
        <v>850</v>
      </c>
      <c r="F953" s="190" t="s">
        <v>535</v>
      </c>
      <c r="G953" s="191">
        <f>G954</f>
        <v>906.9</v>
      </c>
      <c r="H953" s="191">
        <f>H954</f>
        <v>906.9</v>
      </c>
      <c r="I953" s="192">
        <f t="shared" si="73"/>
        <v>0</v>
      </c>
    </row>
    <row r="954" spans="1:9" ht="24" x14ac:dyDescent="0.2">
      <c r="A954" s="189" t="s">
        <v>534</v>
      </c>
      <c r="B954" s="190"/>
      <c r="C954" s="189" t="s">
        <v>657</v>
      </c>
      <c r="D954" s="189" t="s">
        <v>531</v>
      </c>
      <c r="E954" s="189" t="s">
        <v>850</v>
      </c>
      <c r="F954" s="190" t="s">
        <v>529</v>
      </c>
      <c r="G954" s="191">
        <v>906.9</v>
      </c>
      <c r="H954" s="191">
        <v>906.9</v>
      </c>
      <c r="I954" s="192">
        <f t="shared" si="73"/>
        <v>0</v>
      </c>
    </row>
    <row r="955" spans="1:9" x14ac:dyDescent="0.2">
      <c r="A955" s="189" t="s">
        <v>553</v>
      </c>
      <c r="B955" s="190"/>
      <c r="C955" s="189" t="s">
        <v>657</v>
      </c>
      <c r="D955" s="189" t="s">
        <v>531</v>
      </c>
      <c r="E955" s="189" t="s">
        <v>850</v>
      </c>
      <c r="F955" s="190" t="s">
        <v>552</v>
      </c>
      <c r="G955" s="191">
        <f>G956</f>
        <v>120424.1</v>
      </c>
      <c r="H955" s="191">
        <f>H956</f>
        <v>120424.1</v>
      </c>
      <c r="I955" s="192">
        <f t="shared" si="73"/>
        <v>0</v>
      </c>
    </row>
    <row r="956" spans="1:9" x14ac:dyDescent="0.2">
      <c r="A956" s="189" t="s">
        <v>832</v>
      </c>
      <c r="B956" s="190"/>
      <c r="C956" s="189" t="s">
        <v>657</v>
      </c>
      <c r="D956" s="189" t="s">
        <v>531</v>
      </c>
      <c r="E956" s="189" t="s">
        <v>850</v>
      </c>
      <c r="F956" s="190" t="s">
        <v>830</v>
      </c>
      <c r="G956" s="191">
        <v>120424.1</v>
      </c>
      <c r="H956" s="191">
        <v>120424.1</v>
      </c>
      <c r="I956" s="192">
        <f t="shared" si="73"/>
        <v>0</v>
      </c>
    </row>
    <row r="957" spans="1:9" x14ac:dyDescent="0.2">
      <c r="A957" s="189" t="s">
        <v>839</v>
      </c>
      <c r="B957" s="190"/>
      <c r="C957" s="189" t="s">
        <v>657</v>
      </c>
      <c r="D957" s="189" t="s">
        <v>531</v>
      </c>
      <c r="E957" s="189" t="s">
        <v>838</v>
      </c>
      <c r="F957" s="190"/>
      <c r="G957" s="191">
        <f t="shared" ref="G957:H961" si="74">G958</f>
        <v>294</v>
      </c>
      <c r="H957" s="191">
        <f t="shared" si="74"/>
        <v>294</v>
      </c>
      <c r="I957" s="192">
        <f t="shared" si="73"/>
        <v>0</v>
      </c>
    </row>
    <row r="958" spans="1:9" x14ac:dyDescent="0.2">
      <c r="A958" s="189" t="s">
        <v>849</v>
      </c>
      <c r="B958" s="190"/>
      <c r="C958" s="189" t="s">
        <v>657</v>
      </c>
      <c r="D958" s="189" t="s">
        <v>531</v>
      </c>
      <c r="E958" s="189" t="s">
        <v>848</v>
      </c>
      <c r="F958" s="190"/>
      <c r="G958" s="191">
        <f t="shared" si="74"/>
        <v>294</v>
      </c>
      <c r="H958" s="191">
        <f t="shared" si="74"/>
        <v>294</v>
      </c>
      <c r="I958" s="192">
        <f t="shared" si="73"/>
        <v>0</v>
      </c>
    </row>
    <row r="959" spans="1:9" ht="24" x14ac:dyDescent="0.2">
      <c r="A959" s="189" t="s">
        <v>847</v>
      </c>
      <c r="B959" s="190"/>
      <c r="C959" s="189" t="s">
        <v>657</v>
      </c>
      <c r="D959" s="189" t="s">
        <v>531</v>
      </c>
      <c r="E959" s="189" t="s">
        <v>846</v>
      </c>
      <c r="F959" s="190"/>
      <c r="G959" s="191">
        <f t="shared" si="74"/>
        <v>294</v>
      </c>
      <c r="H959" s="191">
        <f t="shared" si="74"/>
        <v>294</v>
      </c>
      <c r="I959" s="192">
        <f t="shared" si="73"/>
        <v>0</v>
      </c>
    </row>
    <row r="960" spans="1:9" x14ac:dyDescent="0.2">
      <c r="A960" s="189" t="s">
        <v>845</v>
      </c>
      <c r="B960" s="190"/>
      <c r="C960" s="189" t="s">
        <v>657</v>
      </c>
      <c r="D960" s="189" t="s">
        <v>531</v>
      </c>
      <c r="E960" s="189" t="s">
        <v>844</v>
      </c>
      <c r="F960" s="190"/>
      <c r="G960" s="191">
        <f t="shared" si="74"/>
        <v>294</v>
      </c>
      <c r="H960" s="191">
        <f t="shared" si="74"/>
        <v>294</v>
      </c>
      <c r="I960" s="192">
        <f t="shared" si="73"/>
        <v>0</v>
      </c>
    </row>
    <row r="961" spans="1:9" x14ac:dyDescent="0.2">
      <c r="A961" s="189" t="s">
        <v>553</v>
      </c>
      <c r="B961" s="190"/>
      <c r="C961" s="189" t="s">
        <v>657</v>
      </c>
      <c r="D961" s="189" t="s">
        <v>531</v>
      </c>
      <c r="E961" s="189" t="s">
        <v>844</v>
      </c>
      <c r="F961" s="190" t="s">
        <v>552</v>
      </c>
      <c r="G961" s="191">
        <f t="shared" si="74"/>
        <v>294</v>
      </c>
      <c r="H961" s="191">
        <f t="shared" si="74"/>
        <v>294</v>
      </c>
      <c r="I961" s="192">
        <f t="shared" si="73"/>
        <v>0</v>
      </c>
    </row>
    <row r="962" spans="1:9" x14ac:dyDescent="0.2">
      <c r="A962" s="189" t="s">
        <v>832</v>
      </c>
      <c r="B962" s="190"/>
      <c r="C962" s="189" t="s">
        <v>657</v>
      </c>
      <c r="D962" s="189" t="s">
        <v>531</v>
      </c>
      <c r="E962" s="189" t="s">
        <v>844</v>
      </c>
      <c r="F962" s="190" t="s">
        <v>830</v>
      </c>
      <c r="G962" s="191">
        <v>294</v>
      </c>
      <c r="H962" s="191">
        <v>294</v>
      </c>
      <c r="I962" s="192">
        <f t="shared" si="73"/>
        <v>0</v>
      </c>
    </row>
    <row r="963" spans="1:9" x14ac:dyDescent="0.2">
      <c r="A963" s="189" t="s">
        <v>595</v>
      </c>
      <c r="B963" s="190"/>
      <c r="C963" s="189" t="s">
        <v>657</v>
      </c>
      <c r="D963" s="189" t="s">
        <v>531</v>
      </c>
      <c r="E963" s="189" t="s">
        <v>594</v>
      </c>
      <c r="F963" s="190"/>
      <c r="G963" s="191">
        <f>G964+G967</f>
        <v>11409</v>
      </c>
      <c r="H963" s="191">
        <f>H964+H967</f>
        <v>9909</v>
      </c>
      <c r="I963" s="192">
        <f t="shared" si="73"/>
        <v>-1500</v>
      </c>
    </row>
    <row r="964" spans="1:9" x14ac:dyDescent="0.2">
      <c r="A964" s="189" t="s">
        <v>843</v>
      </c>
      <c r="B964" s="190"/>
      <c r="C964" s="189" t="s">
        <v>657</v>
      </c>
      <c r="D964" s="189" t="s">
        <v>531</v>
      </c>
      <c r="E964" s="189" t="s">
        <v>842</v>
      </c>
      <c r="F964" s="190"/>
      <c r="G964" s="191">
        <f>G965</f>
        <v>9909</v>
      </c>
      <c r="H964" s="191">
        <f>H965</f>
        <v>9909</v>
      </c>
      <c r="I964" s="192">
        <f t="shared" si="73"/>
        <v>0</v>
      </c>
    </row>
    <row r="965" spans="1:9" x14ac:dyDescent="0.2">
      <c r="A965" s="189" t="s">
        <v>553</v>
      </c>
      <c r="B965" s="190"/>
      <c r="C965" s="189" t="s">
        <v>657</v>
      </c>
      <c r="D965" s="189" t="s">
        <v>531</v>
      </c>
      <c r="E965" s="189" t="s">
        <v>842</v>
      </c>
      <c r="F965" s="190" t="s">
        <v>552</v>
      </c>
      <c r="G965" s="191">
        <f>G966</f>
        <v>9909</v>
      </c>
      <c r="H965" s="191">
        <f>H966</f>
        <v>9909</v>
      </c>
      <c r="I965" s="192">
        <f t="shared" si="73"/>
        <v>0</v>
      </c>
    </row>
    <row r="966" spans="1:9" x14ac:dyDescent="0.2">
      <c r="A966" s="189" t="s">
        <v>659</v>
      </c>
      <c r="B966" s="190"/>
      <c r="C966" s="189" t="s">
        <v>657</v>
      </c>
      <c r="D966" s="189" t="s">
        <v>531</v>
      </c>
      <c r="E966" s="189" t="s">
        <v>842</v>
      </c>
      <c r="F966" s="190" t="s">
        <v>655</v>
      </c>
      <c r="G966" s="191">
        <v>9909</v>
      </c>
      <c r="H966" s="191">
        <v>9909</v>
      </c>
      <c r="I966" s="192">
        <f t="shared" si="73"/>
        <v>0</v>
      </c>
    </row>
    <row r="967" spans="1:9" ht="24" x14ac:dyDescent="0.2">
      <c r="A967" s="189" t="s">
        <v>593</v>
      </c>
      <c r="B967" s="190"/>
      <c r="C967" s="189" t="s">
        <v>657</v>
      </c>
      <c r="D967" s="189" t="s">
        <v>531</v>
      </c>
      <c r="E967" s="189" t="s">
        <v>591</v>
      </c>
      <c r="F967" s="190"/>
      <c r="G967" s="191">
        <f>G968</f>
        <v>1500</v>
      </c>
      <c r="H967" s="191">
        <f>H968</f>
        <v>0</v>
      </c>
      <c r="I967" s="192">
        <f t="shared" si="73"/>
        <v>-1500</v>
      </c>
    </row>
    <row r="968" spans="1:9" x14ac:dyDescent="0.2">
      <c r="A968" s="189" t="s">
        <v>553</v>
      </c>
      <c r="B968" s="190"/>
      <c r="C968" s="189" t="s">
        <v>657</v>
      </c>
      <c r="D968" s="189" t="s">
        <v>531</v>
      </c>
      <c r="E968" s="189" t="s">
        <v>591</v>
      </c>
      <c r="F968" s="190" t="s">
        <v>552</v>
      </c>
      <c r="G968" s="191">
        <f>G969</f>
        <v>1500</v>
      </c>
      <c r="H968" s="191">
        <f>H969</f>
        <v>0</v>
      </c>
      <c r="I968" s="192">
        <f t="shared" si="73"/>
        <v>-1500</v>
      </c>
    </row>
    <row r="969" spans="1:9" x14ac:dyDescent="0.2">
      <c r="A969" s="189" t="s">
        <v>841</v>
      </c>
      <c r="B969" s="190"/>
      <c r="C969" s="189" t="s">
        <v>657</v>
      </c>
      <c r="D969" s="189" t="s">
        <v>531</v>
      </c>
      <c r="E969" s="189" t="s">
        <v>591</v>
      </c>
      <c r="F969" s="190" t="s">
        <v>840</v>
      </c>
      <c r="G969" s="191">
        <v>1500</v>
      </c>
      <c r="H969" s="191">
        <f>1500-500-1000</f>
        <v>0</v>
      </c>
      <c r="I969" s="192">
        <f t="shared" si="73"/>
        <v>-1500</v>
      </c>
    </row>
    <row r="970" spans="1:9" x14ac:dyDescent="0.2">
      <c r="A970" s="189" t="s">
        <v>667</v>
      </c>
      <c r="B970" s="190"/>
      <c r="C970" s="189" t="s">
        <v>657</v>
      </c>
      <c r="D970" s="189" t="s">
        <v>507</v>
      </c>
      <c r="E970" s="189"/>
      <c r="F970" s="190"/>
      <c r="G970" s="191">
        <f>G971</f>
        <v>49399.1</v>
      </c>
      <c r="H970" s="191">
        <f>H971</f>
        <v>36271.5</v>
      </c>
      <c r="I970" s="192">
        <f t="shared" si="73"/>
        <v>-13127.599999999999</v>
      </c>
    </row>
    <row r="971" spans="1:9" x14ac:dyDescent="0.2">
      <c r="A971" s="189" t="s">
        <v>839</v>
      </c>
      <c r="B971" s="190"/>
      <c r="C971" s="189" t="s">
        <v>657</v>
      </c>
      <c r="D971" s="189" t="s">
        <v>507</v>
      </c>
      <c r="E971" s="189" t="s">
        <v>838</v>
      </c>
      <c r="F971" s="190"/>
      <c r="G971" s="191">
        <f>G972+G977</f>
        <v>49399.1</v>
      </c>
      <c r="H971" s="191">
        <f>H972+H977</f>
        <v>36271.5</v>
      </c>
      <c r="I971" s="192">
        <f t="shared" si="73"/>
        <v>-13127.599999999999</v>
      </c>
    </row>
    <row r="972" spans="1:9" x14ac:dyDescent="0.2">
      <c r="A972" s="189" t="s">
        <v>837</v>
      </c>
      <c r="B972" s="190"/>
      <c r="C972" s="189" t="s">
        <v>657</v>
      </c>
      <c r="D972" s="189" t="s">
        <v>507</v>
      </c>
      <c r="E972" s="189" t="s">
        <v>836</v>
      </c>
      <c r="F972" s="190"/>
      <c r="G972" s="191">
        <f t="shared" ref="G972:H975" si="75">G973</f>
        <v>9670.0999999999985</v>
      </c>
      <c r="H972" s="191">
        <f t="shared" si="75"/>
        <v>8461.4999999999982</v>
      </c>
      <c r="I972" s="192">
        <f t="shared" si="73"/>
        <v>-1208.6000000000004</v>
      </c>
    </row>
    <row r="973" spans="1:9" ht="36" x14ac:dyDescent="0.2">
      <c r="A973" s="189" t="s">
        <v>835</v>
      </c>
      <c r="B973" s="190"/>
      <c r="C973" s="189" t="s">
        <v>657</v>
      </c>
      <c r="D973" s="189" t="s">
        <v>507</v>
      </c>
      <c r="E973" s="189" t="s">
        <v>834</v>
      </c>
      <c r="F973" s="190"/>
      <c r="G973" s="191">
        <f t="shared" si="75"/>
        <v>9670.0999999999985</v>
      </c>
      <c r="H973" s="191">
        <f t="shared" si="75"/>
        <v>8461.4999999999982</v>
      </c>
      <c r="I973" s="192">
        <f t="shared" si="73"/>
        <v>-1208.6000000000004</v>
      </c>
    </row>
    <row r="974" spans="1:9" x14ac:dyDescent="0.2">
      <c r="A974" s="189" t="s">
        <v>833</v>
      </c>
      <c r="B974" s="190"/>
      <c r="C974" s="189" t="s">
        <v>657</v>
      </c>
      <c r="D974" s="189" t="s">
        <v>507</v>
      </c>
      <c r="E974" s="189" t="s">
        <v>831</v>
      </c>
      <c r="F974" s="190"/>
      <c r="G974" s="191">
        <f t="shared" si="75"/>
        <v>9670.0999999999985</v>
      </c>
      <c r="H974" s="191">
        <f t="shared" si="75"/>
        <v>8461.4999999999982</v>
      </c>
      <c r="I974" s="192">
        <f t="shared" si="73"/>
        <v>-1208.6000000000004</v>
      </c>
    </row>
    <row r="975" spans="1:9" x14ac:dyDescent="0.2">
      <c r="A975" s="189" t="s">
        <v>553</v>
      </c>
      <c r="B975" s="190"/>
      <c r="C975" s="189" t="s">
        <v>657</v>
      </c>
      <c r="D975" s="189" t="s">
        <v>507</v>
      </c>
      <c r="E975" s="189" t="s">
        <v>831</v>
      </c>
      <c r="F975" s="190" t="s">
        <v>552</v>
      </c>
      <c r="G975" s="191">
        <f t="shared" si="75"/>
        <v>9670.0999999999985</v>
      </c>
      <c r="H975" s="191">
        <f t="shared" si="75"/>
        <v>8461.4999999999982</v>
      </c>
      <c r="I975" s="192">
        <f t="shared" si="73"/>
        <v>-1208.6000000000004</v>
      </c>
    </row>
    <row r="976" spans="1:9" x14ac:dyDescent="0.2">
      <c r="A976" s="189" t="s">
        <v>832</v>
      </c>
      <c r="B976" s="190"/>
      <c r="C976" s="189" t="s">
        <v>657</v>
      </c>
      <c r="D976" s="189" t="s">
        <v>507</v>
      </c>
      <c r="E976" s="189" t="s">
        <v>831</v>
      </c>
      <c r="F976" s="190" t="s">
        <v>830</v>
      </c>
      <c r="G976" s="191">
        <f>8000+3481.8+1498.8-3310.5</f>
        <v>9670.0999999999985</v>
      </c>
      <c r="H976" s="191">
        <f>8000+3481.8+1498.8-3310.5-807.1-401.5</f>
        <v>8461.4999999999982</v>
      </c>
      <c r="I976" s="192">
        <f t="shared" si="73"/>
        <v>-1208.6000000000004</v>
      </c>
    </row>
    <row r="977" spans="1:9" ht="24" x14ac:dyDescent="0.2">
      <c r="A977" s="189" t="s">
        <v>829</v>
      </c>
      <c r="B977" s="190"/>
      <c r="C977" s="189" t="s">
        <v>657</v>
      </c>
      <c r="D977" s="189" t="s">
        <v>507</v>
      </c>
      <c r="E977" s="189" t="s">
        <v>828</v>
      </c>
      <c r="F977" s="190"/>
      <c r="G977" s="191">
        <f t="shared" ref="G977:H980" si="76">G978</f>
        <v>39729</v>
      </c>
      <c r="H977" s="191">
        <f t="shared" si="76"/>
        <v>27810</v>
      </c>
      <c r="I977" s="192">
        <f t="shared" si="73"/>
        <v>-11919</v>
      </c>
    </row>
    <row r="978" spans="1:9" ht="36" x14ac:dyDescent="0.2">
      <c r="A978" s="189" t="s">
        <v>827</v>
      </c>
      <c r="B978" s="190"/>
      <c r="C978" s="189" t="s">
        <v>657</v>
      </c>
      <c r="D978" s="189" t="s">
        <v>507</v>
      </c>
      <c r="E978" s="189" t="s">
        <v>826</v>
      </c>
      <c r="F978" s="190"/>
      <c r="G978" s="191">
        <f t="shared" si="76"/>
        <v>39729</v>
      </c>
      <c r="H978" s="191">
        <f t="shared" si="76"/>
        <v>27810</v>
      </c>
      <c r="I978" s="192">
        <f t="shared" si="73"/>
        <v>-11919</v>
      </c>
    </row>
    <row r="979" spans="1:9" ht="36" x14ac:dyDescent="0.2">
      <c r="A979" s="189" t="s">
        <v>825</v>
      </c>
      <c r="B979" s="190"/>
      <c r="C979" s="189" t="s">
        <v>657</v>
      </c>
      <c r="D979" s="189" t="s">
        <v>507</v>
      </c>
      <c r="E979" s="189" t="s">
        <v>822</v>
      </c>
      <c r="F979" s="190"/>
      <c r="G979" s="191">
        <f t="shared" si="76"/>
        <v>39729</v>
      </c>
      <c r="H979" s="191">
        <f t="shared" si="76"/>
        <v>27810</v>
      </c>
      <c r="I979" s="192">
        <f t="shared" si="73"/>
        <v>-11919</v>
      </c>
    </row>
    <row r="980" spans="1:9" x14ac:dyDescent="0.2">
      <c r="A980" s="189" t="s">
        <v>1355</v>
      </c>
      <c r="B980" s="190"/>
      <c r="C980" s="189" t="s">
        <v>657</v>
      </c>
      <c r="D980" s="189" t="s">
        <v>507</v>
      </c>
      <c r="E980" s="189" t="s">
        <v>822</v>
      </c>
      <c r="F980" s="190" t="s">
        <v>824</v>
      </c>
      <c r="G980" s="191">
        <f t="shared" si="76"/>
        <v>39729</v>
      </c>
      <c r="H980" s="191">
        <f t="shared" si="76"/>
        <v>27810</v>
      </c>
      <c r="I980" s="192">
        <f t="shared" si="73"/>
        <v>-11919</v>
      </c>
    </row>
    <row r="981" spans="1:9" x14ac:dyDescent="0.2">
      <c r="A981" s="189" t="s">
        <v>823</v>
      </c>
      <c r="B981" s="190"/>
      <c r="C981" s="189" t="s">
        <v>657</v>
      </c>
      <c r="D981" s="189" t="s">
        <v>507</v>
      </c>
      <c r="E981" s="189" t="s">
        <v>822</v>
      </c>
      <c r="F981" s="190" t="s">
        <v>821</v>
      </c>
      <c r="G981" s="191">
        <v>39729</v>
      </c>
      <c r="H981" s="191">
        <f>39729-11919</f>
        <v>27810</v>
      </c>
      <c r="I981" s="192">
        <f t="shared" si="73"/>
        <v>-11919</v>
      </c>
    </row>
    <row r="982" spans="1:9" x14ac:dyDescent="0.2">
      <c r="A982" s="189" t="s">
        <v>820</v>
      </c>
      <c r="B982" s="190"/>
      <c r="C982" s="189" t="s">
        <v>657</v>
      </c>
      <c r="D982" s="189" t="s">
        <v>747</v>
      </c>
      <c r="E982" s="189"/>
      <c r="F982" s="190"/>
      <c r="G982" s="191">
        <f t="shared" ref="G982:H987" si="77">G983</f>
        <v>200</v>
      </c>
      <c r="H982" s="191">
        <f t="shared" si="77"/>
        <v>200</v>
      </c>
      <c r="I982" s="192">
        <f t="shared" si="73"/>
        <v>0</v>
      </c>
    </row>
    <row r="983" spans="1:9" x14ac:dyDescent="0.2">
      <c r="A983" s="189" t="s">
        <v>568</v>
      </c>
      <c r="B983" s="190"/>
      <c r="C983" s="189" t="s">
        <v>657</v>
      </c>
      <c r="D983" s="189" t="s">
        <v>747</v>
      </c>
      <c r="E983" s="189" t="s">
        <v>567</v>
      </c>
      <c r="F983" s="190"/>
      <c r="G983" s="191">
        <f t="shared" si="77"/>
        <v>200</v>
      </c>
      <c r="H983" s="191">
        <f t="shared" si="77"/>
        <v>200</v>
      </c>
      <c r="I983" s="192">
        <f t="shared" si="73"/>
        <v>0</v>
      </c>
    </row>
    <row r="984" spans="1:9" ht="24" x14ac:dyDescent="0.2">
      <c r="A984" s="189" t="s">
        <v>819</v>
      </c>
      <c r="B984" s="190"/>
      <c r="C984" s="189" t="s">
        <v>657</v>
      </c>
      <c r="D984" s="189" t="s">
        <v>747</v>
      </c>
      <c r="E984" s="189" t="s">
        <v>818</v>
      </c>
      <c r="F984" s="190"/>
      <c r="G984" s="191">
        <f t="shared" si="77"/>
        <v>200</v>
      </c>
      <c r="H984" s="191">
        <f t="shared" si="77"/>
        <v>200</v>
      </c>
      <c r="I984" s="192">
        <f t="shared" si="73"/>
        <v>0</v>
      </c>
    </row>
    <row r="985" spans="1:9" x14ac:dyDescent="0.2">
      <c r="A985" s="189" t="s">
        <v>817</v>
      </c>
      <c r="B985" s="190"/>
      <c r="C985" s="189" t="s">
        <v>657</v>
      </c>
      <c r="D985" s="189" t="s">
        <v>747</v>
      </c>
      <c r="E985" s="189" t="s">
        <v>816</v>
      </c>
      <c r="F985" s="190"/>
      <c r="G985" s="191">
        <f t="shared" si="77"/>
        <v>200</v>
      </c>
      <c r="H985" s="191">
        <f t="shared" si="77"/>
        <v>200</v>
      </c>
      <c r="I985" s="192">
        <f t="shared" si="73"/>
        <v>0</v>
      </c>
    </row>
    <row r="986" spans="1:9" ht="24" x14ac:dyDescent="0.2">
      <c r="A986" s="189" t="s">
        <v>815</v>
      </c>
      <c r="B986" s="190"/>
      <c r="C986" s="189" t="s">
        <v>657</v>
      </c>
      <c r="D986" s="189" t="s">
        <v>747</v>
      </c>
      <c r="E986" s="189" t="s">
        <v>814</v>
      </c>
      <c r="F986" s="190"/>
      <c r="G986" s="191">
        <f t="shared" si="77"/>
        <v>200</v>
      </c>
      <c r="H986" s="191">
        <f t="shared" si="77"/>
        <v>200</v>
      </c>
      <c r="I986" s="192">
        <f t="shared" si="73"/>
        <v>0</v>
      </c>
    </row>
    <row r="987" spans="1:9" x14ac:dyDescent="0.2">
      <c r="A987" s="189" t="s">
        <v>615</v>
      </c>
      <c r="B987" s="190"/>
      <c r="C987" s="189" t="s">
        <v>657</v>
      </c>
      <c r="D987" s="189" t="s">
        <v>747</v>
      </c>
      <c r="E987" s="189" t="s">
        <v>814</v>
      </c>
      <c r="F987" s="190" t="s">
        <v>509</v>
      </c>
      <c r="G987" s="191">
        <f t="shared" si="77"/>
        <v>200</v>
      </c>
      <c r="H987" s="191">
        <f t="shared" si="77"/>
        <v>200</v>
      </c>
      <c r="I987" s="192">
        <f t="shared" si="73"/>
        <v>0</v>
      </c>
    </row>
    <row r="988" spans="1:9" ht="24" x14ac:dyDescent="0.2">
      <c r="A988" s="189" t="s">
        <v>1346</v>
      </c>
      <c r="B988" s="190"/>
      <c r="C988" s="189" t="s">
        <v>657</v>
      </c>
      <c r="D988" s="189" t="s">
        <v>747</v>
      </c>
      <c r="E988" s="189" t="s">
        <v>814</v>
      </c>
      <c r="F988" s="190" t="s">
        <v>511</v>
      </c>
      <c r="G988" s="191">
        <v>200</v>
      </c>
      <c r="H988" s="191">
        <v>200</v>
      </c>
      <c r="I988" s="192">
        <f t="shared" si="73"/>
        <v>0</v>
      </c>
    </row>
    <row r="989" spans="1:9" s="399" customFormat="1" x14ac:dyDescent="0.2">
      <c r="A989" s="185" t="s">
        <v>580</v>
      </c>
      <c r="B989" s="190"/>
      <c r="C989" s="185" t="s">
        <v>532</v>
      </c>
      <c r="D989" s="189"/>
      <c r="E989" s="189"/>
      <c r="F989" s="190"/>
      <c r="G989" s="187">
        <f t="shared" ref="G989:H995" si="78">G990</f>
        <v>5000</v>
      </c>
      <c r="H989" s="187">
        <f t="shared" si="78"/>
        <v>5848</v>
      </c>
      <c r="I989" s="188">
        <f t="shared" si="73"/>
        <v>848</v>
      </c>
    </row>
    <row r="990" spans="1:9" s="399" customFormat="1" x14ac:dyDescent="0.2">
      <c r="A990" s="189" t="s">
        <v>579</v>
      </c>
      <c r="B990" s="190"/>
      <c r="C990" s="189" t="s">
        <v>532</v>
      </c>
      <c r="D990" s="189" t="s">
        <v>498</v>
      </c>
      <c r="E990" s="189"/>
      <c r="F990" s="190"/>
      <c r="G990" s="191">
        <f t="shared" si="78"/>
        <v>5000</v>
      </c>
      <c r="H990" s="191">
        <f t="shared" si="78"/>
        <v>5848</v>
      </c>
      <c r="I990" s="192">
        <f t="shared" si="73"/>
        <v>848</v>
      </c>
    </row>
    <row r="991" spans="1:9" s="399" customFormat="1" x14ac:dyDescent="0.2">
      <c r="A991" s="189" t="s">
        <v>908</v>
      </c>
      <c r="B991" s="190"/>
      <c r="C991" s="189" t="s">
        <v>532</v>
      </c>
      <c r="D991" s="189" t="s">
        <v>498</v>
      </c>
      <c r="E991" s="189" t="s">
        <v>907</v>
      </c>
      <c r="F991" s="190"/>
      <c r="G991" s="191">
        <f t="shared" si="78"/>
        <v>5000</v>
      </c>
      <c r="H991" s="191">
        <f t="shared" si="78"/>
        <v>5848</v>
      </c>
      <c r="I991" s="192">
        <f t="shared" si="73"/>
        <v>848</v>
      </c>
    </row>
    <row r="992" spans="1:9" s="399" customFormat="1" x14ac:dyDescent="0.2">
      <c r="A992" s="189" t="s">
        <v>1316</v>
      </c>
      <c r="B992" s="190"/>
      <c r="C992" s="189" t="s">
        <v>532</v>
      </c>
      <c r="D992" s="189" t="s">
        <v>498</v>
      </c>
      <c r="E992" s="189" t="s">
        <v>1317</v>
      </c>
      <c r="F992" s="190"/>
      <c r="G992" s="191">
        <f t="shared" si="78"/>
        <v>5000</v>
      </c>
      <c r="H992" s="191">
        <f t="shared" si="78"/>
        <v>5848</v>
      </c>
      <c r="I992" s="192">
        <f t="shared" si="73"/>
        <v>848</v>
      </c>
    </row>
    <row r="993" spans="1:9" s="399" customFormat="1" ht="24" x14ac:dyDescent="0.2">
      <c r="A993" s="189" t="s">
        <v>1318</v>
      </c>
      <c r="B993" s="190"/>
      <c r="C993" s="189" t="s">
        <v>532</v>
      </c>
      <c r="D993" s="189" t="s">
        <v>498</v>
      </c>
      <c r="E993" s="189" t="s">
        <v>1319</v>
      </c>
      <c r="F993" s="190"/>
      <c r="G993" s="191">
        <f t="shared" si="78"/>
        <v>5000</v>
      </c>
      <c r="H993" s="191">
        <f>H994+H997</f>
        <v>5848</v>
      </c>
      <c r="I993" s="192">
        <f t="shared" si="73"/>
        <v>848</v>
      </c>
    </row>
    <row r="994" spans="1:9" s="399" customFormat="1" ht="24" x14ac:dyDescent="0.2">
      <c r="A994" s="189" t="s">
        <v>1320</v>
      </c>
      <c r="B994" s="190"/>
      <c r="C994" s="189" t="s">
        <v>532</v>
      </c>
      <c r="D994" s="189" t="s">
        <v>498</v>
      </c>
      <c r="E994" s="189" t="s">
        <v>1321</v>
      </c>
      <c r="F994" s="190"/>
      <c r="G994" s="191">
        <f t="shared" si="78"/>
        <v>5000</v>
      </c>
      <c r="H994" s="191">
        <f t="shared" si="78"/>
        <v>5000</v>
      </c>
      <c r="I994" s="192">
        <f t="shared" si="73"/>
        <v>0</v>
      </c>
    </row>
    <row r="995" spans="1:9" s="399" customFormat="1" x14ac:dyDescent="0.2">
      <c r="A995" s="189" t="s">
        <v>1355</v>
      </c>
      <c r="B995" s="190"/>
      <c r="C995" s="189" t="s">
        <v>532</v>
      </c>
      <c r="D995" s="189" t="s">
        <v>498</v>
      </c>
      <c r="E995" s="189" t="s">
        <v>1321</v>
      </c>
      <c r="F995" s="190" t="s">
        <v>824</v>
      </c>
      <c r="G995" s="191">
        <f t="shared" si="78"/>
        <v>5000</v>
      </c>
      <c r="H995" s="191">
        <f t="shared" si="78"/>
        <v>5000</v>
      </c>
      <c r="I995" s="192">
        <f t="shared" si="73"/>
        <v>0</v>
      </c>
    </row>
    <row r="996" spans="1:9" s="399" customFormat="1" x14ac:dyDescent="0.2">
      <c r="A996" s="189" t="s">
        <v>823</v>
      </c>
      <c r="B996" s="190"/>
      <c r="C996" s="189" t="s">
        <v>532</v>
      </c>
      <c r="D996" s="189" t="s">
        <v>498</v>
      </c>
      <c r="E996" s="189" t="s">
        <v>1321</v>
      </c>
      <c r="F996" s="190" t="s">
        <v>821</v>
      </c>
      <c r="G996" s="191">
        <v>5000</v>
      </c>
      <c r="H996" s="191">
        <v>5000</v>
      </c>
      <c r="I996" s="192">
        <f t="shared" si="73"/>
        <v>0</v>
      </c>
    </row>
    <row r="997" spans="1:9" s="439" customFormat="1" ht="24" x14ac:dyDescent="0.2">
      <c r="A997" s="189" t="s">
        <v>1647</v>
      </c>
      <c r="B997" s="189"/>
      <c r="C997" s="189" t="s">
        <v>532</v>
      </c>
      <c r="D997" s="189" t="s">
        <v>498</v>
      </c>
      <c r="E997" s="189" t="s">
        <v>1648</v>
      </c>
      <c r="F997" s="189"/>
      <c r="G997" s="191">
        <f>G998</f>
        <v>0</v>
      </c>
      <c r="H997" s="191">
        <f>H998</f>
        <v>848</v>
      </c>
      <c r="I997" s="192">
        <f t="shared" si="73"/>
        <v>848</v>
      </c>
    </row>
    <row r="998" spans="1:9" s="439" customFormat="1" x14ac:dyDescent="0.2">
      <c r="A998" s="189" t="s">
        <v>1355</v>
      </c>
      <c r="B998" s="189"/>
      <c r="C998" s="189" t="s">
        <v>532</v>
      </c>
      <c r="D998" s="189" t="s">
        <v>498</v>
      </c>
      <c r="E998" s="189" t="s">
        <v>1648</v>
      </c>
      <c r="F998" s="190" t="s">
        <v>824</v>
      </c>
      <c r="G998" s="191">
        <f>G999</f>
        <v>0</v>
      </c>
      <c r="H998" s="191">
        <f>H999</f>
        <v>848</v>
      </c>
      <c r="I998" s="192">
        <f t="shared" si="73"/>
        <v>848</v>
      </c>
    </row>
    <row r="999" spans="1:9" s="439" customFormat="1" x14ac:dyDescent="0.2">
      <c r="A999" s="189" t="s">
        <v>823</v>
      </c>
      <c r="B999" s="189"/>
      <c r="C999" s="189" t="s">
        <v>532</v>
      </c>
      <c r="D999" s="189" t="s">
        <v>498</v>
      </c>
      <c r="E999" s="189" t="s">
        <v>1648</v>
      </c>
      <c r="F999" s="190" t="s">
        <v>821</v>
      </c>
      <c r="G999" s="191">
        <v>0</v>
      </c>
      <c r="H999" s="191">
        <v>848</v>
      </c>
      <c r="I999" s="192">
        <f t="shared" si="73"/>
        <v>848</v>
      </c>
    </row>
    <row r="1000" spans="1:9" s="78" customFormat="1" x14ac:dyDescent="0.2">
      <c r="A1000" s="185" t="s">
        <v>813</v>
      </c>
      <c r="B1000" s="186"/>
      <c r="C1000" s="185" t="s">
        <v>783</v>
      </c>
      <c r="D1000" s="185"/>
      <c r="E1000" s="185"/>
      <c r="F1000" s="186"/>
      <c r="G1000" s="187">
        <f>G1001+G1011+G1027</f>
        <v>99728.6</v>
      </c>
      <c r="H1000" s="187">
        <f>H1001+H1011+H1027</f>
        <v>112430.5</v>
      </c>
      <c r="I1000" s="188">
        <f t="shared" si="73"/>
        <v>12701.899999999994</v>
      </c>
    </row>
    <row r="1001" spans="1:9" x14ac:dyDescent="0.2">
      <c r="A1001" s="189" t="s">
        <v>812</v>
      </c>
      <c r="B1001" s="190"/>
      <c r="C1001" s="189" t="s">
        <v>783</v>
      </c>
      <c r="D1001" s="189" t="s">
        <v>498</v>
      </c>
      <c r="E1001" s="189"/>
      <c r="F1001" s="190"/>
      <c r="G1001" s="191">
        <f t="shared" ref="G1001:H1003" si="79">G1002</f>
        <v>34882.200000000004</v>
      </c>
      <c r="H1001" s="191">
        <f t="shared" si="79"/>
        <v>37985</v>
      </c>
      <c r="I1001" s="192">
        <f t="shared" si="73"/>
        <v>3102.7999999999956</v>
      </c>
    </row>
    <row r="1002" spans="1:9" ht="24" x14ac:dyDescent="0.2">
      <c r="A1002" s="189" t="s">
        <v>588</v>
      </c>
      <c r="B1002" s="190"/>
      <c r="C1002" s="189" t="s">
        <v>783</v>
      </c>
      <c r="D1002" s="189" t="s">
        <v>498</v>
      </c>
      <c r="E1002" s="189" t="s">
        <v>587</v>
      </c>
      <c r="F1002" s="190"/>
      <c r="G1002" s="191">
        <f t="shared" si="79"/>
        <v>34882.200000000004</v>
      </c>
      <c r="H1002" s="191">
        <f t="shared" si="79"/>
        <v>37985</v>
      </c>
      <c r="I1002" s="192">
        <f t="shared" si="73"/>
        <v>3102.7999999999956</v>
      </c>
    </row>
    <row r="1003" spans="1:9" ht="36" x14ac:dyDescent="0.2">
      <c r="A1003" s="189" t="s">
        <v>807</v>
      </c>
      <c r="B1003" s="190"/>
      <c r="C1003" s="189" t="s">
        <v>783</v>
      </c>
      <c r="D1003" s="189" t="s">
        <v>498</v>
      </c>
      <c r="E1003" s="189" t="s">
        <v>806</v>
      </c>
      <c r="F1003" s="190"/>
      <c r="G1003" s="191">
        <f t="shared" si="79"/>
        <v>34882.200000000004</v>
      </c>
      <c r="H1003" s="191">
        <f t="shared" si="79"/>
        <v>37985</v>
      </c>
      <c r="I1003" s="192">
        <f t="shared" si="73"/>
        <v>3102.7999999999956</v>
      </c>
    </row>
    <row r="1004" spans="1:9" ht="24" x14ac:dyDescent="0.2">
      <c r="A1004" s="189" t="s">
        <v>805</v>
      </c>
      <c r="B1004" s="190"/>
      <c r="C1004" s="189" t="s">
        <v>783</v>
      </c>
      <c r="D1004" s="189" t="s">
        <v>498</v>
      </c>
      <c r="E1004" s="189" t="s">
        <v>804</v>
      </c>
      <c r="F1004" s="190"/>
      <c r="G1004" s="191">
        <f>G1005+G1008</f>
        <v>34882.200000000004</v>
      </c>
      <c r="H1004" s="191">
        <f>H1005+H1008</f>
        <v>37985</v>
      </c>
      <c r="I1004" s="192">
        <f t="shared" si="73"/>
        <v>3102.7999999999956</v>
      </c>
    </row>
    <row r="1005" spans="1:9" ht="72" x14ac:dyDescent="0.2">
      <c r="A1005" s="189" t="s">
        <v>803</v>
      </c>
      <c r="B1005" s="190"/>
      <c r="C1005" s="189" t="s">
        <v>783</v>
      </c>
      <c r="D1005" s="189" t="s">
        <v>498</v>
      </c>
      <c r="E1005" s="189" t="s">
        <v>802</v>
      </c>
      <c r="F1005" s="190"/>
      <c r="G1005" s="191">
        <f>G1006</f>
        <v>884.1</v>
      </c>
      <c r="H1005" s="191">
        <f>H1006</f>
        <v>884.1</v>
      </c>
      <c r="I1005" s="192">
        <f t="shared" si="73"/>
        <v>0</v>
      </c>
    </row>
    <row r="1006" spans="1:9" x14ac:dyDescent="0.2">
      <c r="A1006" s="189" t="s">
        <v>1347</v>
      </c>
      <c r="B1006" s="190"/>
      <c r="C1006" s="189" t="s">
        <v>783</v>
      </c>
      <c r="D1006" s="189" t="s">
        <v>498</v>
      </c>
      <c r="E1006" s="189" t="s">
        <v>802</v>
      </c>
      <c r="F1006" s="190" t="s">
        <v>535</v>
      </c>
      <c r="G1006" s="191">
        <f>G1007</f>
        <v>884.1</v>
      </c>
      <c r="H1006" s="191">
        <f>H1007</f>
        <v>884.1</v>
      </c>
      <c r="I1006" s="192">
        <f t="shared" si="73"/>
        <v>0</v>
      </c>
    </row>
    <row r="1007" spans="1:9" ht="24" x14ac:dyDescent="0.2">
      <c r="A1007" s="189" t="s">
        <v>534</v>
      </c>
      <c r="B1007" s="190"/>
      <c r="C1007" s="189" t="s">
        <v>783</v>
      </c>
      <c r="D1007" s="189" t="s">
        <v>498</v>
      </c>
      <c r="E1007" s="189" t="s">
        <v>802</v>
      </c>
      <c r="F1007" s="190" t="s">
        <v>529</v>
      </c>
      <c r="G1007" s="191">
        <v>884.1</v>
      </c>
      <c r="H1007" s="191">
        <v>884.1</v>
      </c>
      <c r="I1007" s="192">
        <f t="shared" si="73"/>
        <v>0</v>
      </c>
    </row>
    <row r="1008" spans="1:9" ht="79.5" customHeight="1" x14ac:dyDescent="0.2">
      <c r="A1008" s="189" t="s">
        <v>801</v>
      </c>
      <c r="B1008" s="190"/>
      <c r="C1008" s="189" t="s">
        <v>783</v>
      </c>
      <c r="D1008" s="189" t="s">
        <v>498</v>
      </c>
      <c r="E1008" s="189" t="s">
        <v>800</v>
      </c>
      <c r="F1008" s="190"/>
      <c r="G1008" s="191">
        <f>G1009</f>
        <v>33998.100000000006</v>
      </c>
      <c r="H1008" s="191">
        <f>H1009</f>
        <v>37100.9</v>
      </c>
      <c r="I1008" s="192">
        <f t="shared" si="73"/>
        <v>3102.7999999999956</v>
      </c>
    </row>
    <row r="1009" spans="1:9" ht="24" x14ac:dyDescent="0.2">
      <c r="A1009" s="189" t="s">
        <v>547</v>
      </c>
      <c r="B1009" s="190"/>
      <c r="C1009" s="189" t="s">
        <v>783</v>
      </c>
      <c r="D1009" s="189" t="s">
        <v>498</v>
      </c>
      <c r="E1009" s="189" t="s">
        <v>800</v>
      </c>
      <c r="F1009" s="190" t="s">
        <v>519</v>
      </c>
      <c r="G1009" s="191">
        <f>G1010</f>
        <v>33998.100000000006</v>
      </c>
      <c r="H1009" s="191">
        <f>H1010</f>
        <v>37100.9</v>
      </c>
      <c r="I1009" s="192">
        <f t="shared" si="73"/>
        <v>3102.7999999999956</v>
      </c>
    </row>
    <row r="1010" spans="1:9" x14ac:dyDescent="0.2">
      <c r="A1010" s="189" t="s">
        <v>546</v>
      </c>
      <c r="B1010" s="190"/>
      <c r="C1010" s="189" t="s">
        <v>783</v>
      </c>
      <c r="D1010" s="189" t="s">
        <v>498</v>
      </c>
      <c r="E1010" s="189" t="s">
        <v>800</v>
      </c>
      <c r="F1010" s="190" t="s">
        <v>544</v>
      </c>
      <c r="G1010" s="191">
        <f>41586.3-634-6954.2</f>
        <v>33998.100000000006</v>
      </c>
      <c r="H1010" s="191">
        <f>41586.3-634-6954.2-754.4+3857.2</f>
        <v>37100.9</v>
      </c>
      <c r="I1010" s="192">
        <f t="shared" si="73"/>
        <v>3102.7999999999956</v>
      </c>
    </row>
    <row r="1011" spans="1:9" x14ac:dyDescent="0.2">
      <c r="A1011" s="189" t="s">
        <v>811</v>
      </c>
      <c r="B1011" s="190"/>
      <c r="C1011" s="189" t="s">
        <v>783</v>
      </c>
      <c r="D1011" s="189" t="s">
        <v>502</v>
      </c>
      <c r="E1011" s="189"/>
      <c r="F1011" s="190"/>
      <c r="G1011" s="191">
        <f>G1018+G1012</f>
        <v>32055.800000000003</v>
      </c>
      <c r="H1011" s="191">
        <f>H1018+H1012</f>
        <v>44168.4</v>
      </c>
      <c r="I1011" s="192">
        <f t="shared" si="73"/>
        <v>12112.599999999999</v>
      </c>
    </row>
    <row r="1012" spans="1:9" s="284" customFormat="1" x14ac:dyDescent="0.2">
      <c r="A1012" s="189" t="s">
        <v>604</v>
      </c>
      <c r="B1012" s="190"/>
      <c r="C1012" s="189" t="s">
        <v>783</v>
      </c>
      <c r="D1012" s="189" t="s">
        <v>502</v>
      </c>
      <c r="E1012" s="189" t="s">
        <v>603</v>
      </c>
      <c r="F1012" s="190"/>
      <c r="G1012" s="191">
        <f t="shared" ref="G1012:H1016" si="80">G1013</f>
        <v>2300</v>
      </c>
      <c r="H1012" s="191">
        <f t="shared" si="80"/>
        <v>2300</v>
      </c>
      <c r="I1012" s="192">
        <f t="shared" si="73"/>
        <v>0</v>
      </c>
    </row>
    <row r="1013" spans="1:9" s="284" customFormat="1" x14ac:dyDescent="0.2">
      <c r="A1013" s="189" t="s">
        <v>602</v>
      </c>
      <c r="B1013" s="190"/>
      <c r="C1013" s="189" t="s">
        <v>783</v>
      </c>
      <c r="D1013" s="189" t="s">
        <v>502</v>
      </c>
      <c r="E1013" s="189" t="s">
        <v>601</v>
      </c>
      <c r="F1013" s="190"/>
      <c r="G1013" s="191">
        <f t="shared" si="80"/>
        <v>2300</v>
      </c>
      <c r="H1013" s="191">
        <f t="shared" si="80"/>
        <v>2300</v>
      </c>
      <c r="I1013" s="192">
        <f t="shared" si="73"/>
        <v>0</v>
      </c>
    </row>
    <row r="1014" spans="1:9" s="284" customFormat="1" ht="24" x14ac:dyDescent="0.2">
      <c r="A1014" s="189" t="s">
        <v>600</v>
      </c>
      <c r="B1014" s="190"/>
      <c r="C1014" s="189" t="s">
        <v>783</v>
      </c>
      <c r="D1014" s="189" t="s">
        <v>502</v>
      </c>
      <c r="E1014" s="189" t="s">
        <v>599</v>
      </c>
      <c r="F1014" s="190"/>
      <c r="G1014" s="191">
        <f t="shared" si="80"/>
        <v>2300</v>
      </c>
      <c r="H1014" s="191">
        <f t="shared" si="80"/>
        <v>2300</v>
      </c>
      <c r="I1014" s="192">
        <f t="shared" si="73"/>
        <v>0</v>
      </c>
    </row>
    <row r="1015" spans="1:9" s="284" customFormat="1" ht="36" x14ac:dyDescent="0.2">
      <c r="A1015" s="189" t="s">
        <v>1391</v>
      </c>
      <c r="B1015" s="190"/>
      <c r="C1015" s="189" t="s">
        <v>783</v>
      </c>
      <c r="D1015" s="189" t="s">
        <v>502</v>
      </c>
      <c r="E1015" s="189" t="s">
        <v>1392</v>
      </c>
      <c r="F1015" s="190"/>
      <c r="G1015" s="191">
        <f t="shared" si="80"/>
        <v>2300</v>
      </c>
      <c r="H1015" s="191">
        <f t="shared" si="80"/>
        <v>2300</v>
      </c>
      <c r="I1015" s="192">
        <f t="shared" si="73"/>
        <v>0</v>
      </c>
    </row>
    <row r="1016" spans="1:9" s="284" customFormat="1" ht="27" customHeight="1" x14ac:dyDescent="0.2">
      <c r="A1016" s="189" t="s">
        <v>547</v>
      </c>
      <c r="B1016" s="190"/>
      <c r="C1016" s="189" t="s">
        <v>783</v>
      </c>
      <c r="D1016" s="189" t="s">
        <v>502</v>
      </c>
      <c r="E1016" s="189" t="s">
        <v>1392</v>
      </c>
      <c r="F1016" s="190" t="s">
        <v>519</v>
      </c>
      <c r="G1016" s="191">
        <f t="shared" si="80"/>
        <v>2300</v>
      </c>
      <c r="H1016" s="191">
        <f t="shared" si="80"/>
        <v>2300</v>
      </c>
      <c r="I1016" s="192">
        <f t="shared" si="73"/>
        <v>0</v>
      </c>
    </row>
    <row r="1017" spans="1:9" s="284" customFormat="1" x14ac:dyDescent="0.2">
      <c r="A1017" s="189" t="s">
        <v>546</v>
      </c>
      <c r="B1017" s="190"/>
      <c r="C1017" s="189" t="s">
        <v>783</v>
      </c>
      <c r="D1017" s="189" t="s">
        <v>502</v>
      </c>
      <c r="E1017" s="189" t="s">
        <v>1392</v>
      </c>
      <c r="F1017" s="190" t="s">
        <v>544</v>
      </c>
      <c r="G1017" s="191">
        <v>2300</v>
      </c>
      <c r="H1017" s="191">
        <v>2300</v>
      </c>
      <c r="I1017" s="192">
        <f t="shared" si="73"/>
        <v>0</v>
      </c>
    </row>
    <row r="1018" spans="1:9" ht="24" x14ac:dyDescent="0.2">
      <c r="A1018" s="189" t="s">
        <v>588</v>
      </c>
      <c r="B1018" s="190"/>
      <c r="C1018" s="189" t="s">
        <v>783</v>
      </c>
      <c r="D1018" s="189" t="s">
        <v>502</v>
      </c>
      <c r="E1018" s="189" t="s">
        <v>587</v>
      </c>
      <c r="F1018" s="190"/>
      <c r="G1018" s="191">
        <f>G1019</f>
        <v>29755.800000000003</v>
      </c>
      <c r="H1018" s="191">
        <f>H1019</f>
        <v>41868.400000000001</v>
      </c>
      <c r="I1018" s="192">
        <f t="shared" si="73"/>
        <v>12112.599999999999</v>
      </c>
    </row>
    <row r="1019" spans="1:9" ht="36" x14ac:dyDescent="0.2">
      <c r="A1019" s="189" t="s">
        <v>807</v>
      </c>
      <c r="B1019" s="190"/>
      <c r="C1019" s="189" t="s">
        <v>783</v>
      </c>
      <c r="D1019" s="189" t="s">
        <v>502</v>
      </c>
      <c r="E1019" s="189" t="s">
        <v>806</v>
      </c>
      <c r="F1019" s="190"/>
      <c r="G1019" s="191">
        <f>G1020</f>
        <v>29755.800000000003</v>
      </c>
      <c r="H1019" s="191">
        <f>H1020</f>
        <v>41868.400000000001</v>
      </c>
      <c r="I1019" s="192">
        <f t="shared" si="73"/>
        <v>12112.599999999999</v>
      </c>
    </row>
    <row r="1020" spans="1:9" ht="24" x14ac:dyDescent="0.2">
      <c r="A1020" s="189" t="s">
        <v>805</v>
      </c>
      <c r="B1020" s="190"/>
      <c r="C1020" s="189" t="s">
        <v>783</v>
      </c>
      <c r="D1020" s="189" t="s">
        <v>502</v>
      </c>
      <c r="E1020" s="189" t="s">
        <v>804</v>
      </c>
      <c r="F1020" s="190"/>
      <c r="G1020" s="191">
        <f>G1021+G1024</f>
        <v>29755.800000000003</v>
      </c>
      <c r="H1020" s="191">
        <f>H1021+H1024</f>
        <v>41868.400000000001</v>
      </c>
      <c r="I1020" s="192">
        <f t="shared" si="73"/>
        <v>12112.599999999999</v>
      </c>
    </row>
    <row r="1021" spans="1:9" ht="72" x14ac:dyDescent="0.2">
      <c r="A1021" s="189" t="s">
        <v>803</v>
      </c>
      <c r="B1021" s="190"/>
      <c r="C1021" s="189" t="s">
        <v>783</v>
      </c>
      <c r="D1021" s="189" t="s">
        <v>502</v>
      </c>
      <c r="E1021" s="189" t="s">
        <v>802</v>
      </c>
      <c r="F1021" s="190"/>
      <c r="G1021" s="191">
        <f>G1022</f>
        <v>7959.8000000000011</v>
      </c>
      <c r="H1021" s="191">
        <f>H1022</f>
        <v>14639.400000000001</v>
      </c>
      <c r="I1021" s="192">
        <f t="shared" si="73"/>
        <v>6679.6</v>
      </c>
    </row>
    <row r="1022" spans="1:9" x14ac:dyDescent="0.2">
      <c r="A1022" s="189" t="s">
        <v>1347</v>
      </c>
      <c r="B1022" s="190"/>
      <c r="C1022" s="189" t="s">
        <v>783</v>
      </c>
      <c r="D1022" s="189" t="s">
        <v>502</v>
      </c>
      <c r="E1022" s="189" t="s">
        <v>802</v>
      </c>
      <c r="F1022" s="190" t="s">
        <v>535</v>
      </c>
      <c r="G1022" s="191">
        <f>G1023</f>
        <v>7959.8000000000011</v>
      </c>
      <c r="H1022" s="191">
        <f>H1023</f>
        <v>14639.400000000001</v>
      </c>
      <c r="I1022" s="192">
        <f t="shared" si="73"/>
        <v>6679.6</v>
      </c>
    </row>
    <row r="1023" spans="1:9" ht="24" x14ac:dyDescent="0.2">
      <c r="A1023" s="189" t="s">
        <v>534</v>
      </c>
      <c r="B1023" s="190"/>
      <c r="C1023" s="189" t="s">
        <v>783</v>
      </c>
      <c r="D1023" s="189" t="s">
        <v>502</v>
      </c>
      <c r="E1023" s="189" t="s">
        <v>802</v>
      </c>
      <c r="F1023" s="190" t="s">
        <v>529</v>
      </c>
      <c r="G1023" s="191">
        <f>8597.7-637.9</f>
        <v>7959.8000000000011</v>
      </c>
      <c r="H1023" s="191">
        <f>8597.7-637.9+6679.6</f>
        <v>14639.400000000001</v>
      </c>
      <c r="I1023" s="192">
        <f t="shared" si="73"/>
        <v>6679.6</v>
      </c>
    </row>
    <row r="1024" spans="1:9" ht="72" x14ac:dyDescent="0.2">
      <c r="A1024" s="189" t="s">
        <v>810</v>
      </c>
      <c r="B1024" s="190"/>
      <c r="C1024" s="189" t="s">
        <v>783</v>
      </c>
      <c r="D1024" s="189" t="s">
        <v>502</v>
      </c>
      <c r="E1024" s="189" t="s">
        <v>809</v>
      </c>
      <c r="F1024" s="190"/>
      <c r="G1024" s="191">
        <f>G1025</f>
        <v>21796</v>
      </c>
      <c r="H1024" s="191">
        <f>H1025</f>
        <v>27229</v>
      </c>
      <c r="I1024" s="192">
        <f t="shared" si="73"/>
        <v>5433</v>
      </c>
    </row>
    <row r="1025" spans="1:9" ht="24" x14ac:dyDescent="0.2">
      <c r="A1025" s="189" t="s">
        <v>547</v>
      </c>
      <c r="B1025" s="190"/>
      <c r="C1025" s="189" t="s">
        <v>783</v>
      </c>
      <c r="D1025" s="189" t="s">
        <v>502</v>
      </c>
      <c r="E1025" s="189" t="s">
        <v>809</v>
      </c>
      <c r="F1025" s="190" t="s">
        <v>519</v>
      </c>
      <c r="G1025" s="191">
        <f>G1026</f>
        <v>21796</v>
      </c>
      <c r="H1025" s="191">
        <f>H1026</f>
        <v>27229</v>
      </c>
      <c r="I1025" s="192">
        <f t="shared" si="73"/>
        <v>5433</v>
      </c>
    </row>
    <row r="1026" spans="1:9" x14ac:dyDescent="0.2">
      <c r="A1026" s="189" t="s">
        <v>546</v>
      </c>
      <c r="B1026" s="190"/>
      <c r="C1026" s="189" t="s">
        <v>783</v>
      </c>
      <c r="D1026" s="189" t="s">
        <v>502</v>
      </c>
      <c r="E1026" s="189" t="s">
        <v>809</v>
      </c>
      <c r="F1026" s="190" t="s">
        <v>544</v>
      </c>
      <c r="G1026" s="191">
        <f>22632.1-836.1</f>
        <v>21796</v>
      </c>
      <c r="H1026" s="191">
        <f>22632.1-836.1+10000-4567</f>
        <v>27229</v>
      </c>
      <c r="I1026" s="192">
        <f t="shared" si="73"/>
        <v>5433</v>
      </c>
    </row>
    <row r="1027" spans="1:9" x14ac:dyDescent="0.2">
      <c r="A1027" s="189" t="s">
        <v>808</v>
      </c>
      <c r="B1027" s="190"/>
      <c r="C1027" s="189" t="s">
        <v>783</v>
      </c>
      <c r="D1027" s="189" t="s">
        <v>507</v>
      </c>
      <c r="E1027" s="189"/>
      <c r="F1027" s="190"/>
      <c r="G1027" s="191">
        <f>G1028+G1058</f>
        <v>32790.600000000006</v>
      </c>
      <c r="H1027" s="191">
        <f>H1028+H1058</f>
        <v>30277.100000000002</v>
      </c>
      <c r="I1027" s="192">
        <f t="shared" si="73"/>
        <v>-2513.5000000000036</v>
      </c>
    </row>
    <row r="1028" spans="1:9" ht="24" x14ac:dyDescent="0.2">
      <c r="A1028" s="189" t="s">
        <v>588</v>
      </c>
      <c r="B1028" s="190"/>
      <c r="C1028" s="189" t="s">
        <v>783</v>
      </c>
      <c r="D1028" s="189" t="s">
        <v>507</v>
      </c>
      <c r="E1028" s="189" t="s">
        <v>587</v>
      </c>
      <c r="F1028" s="190"/>
      <c r="G1028" s="191">
        <f>G1029</f>
        <v>11524.900000000001</v>
      </c>
      <c r="H1028" s="191">
        <f>H1029+H1053</f>
        <v>12012.400000000001</v>
      </c>
      <c r="I1028" s="192">
        <f t="shared" si="73"/>
        <v>487.5</v>
      </c>
    </row>
    <row r="1029" spans="1:9" ht="36" x14ac:dyDescent="0.2">
      <c r="A1029" s="189" t="s">
        <v>807</v>
      </c>
      <c r="B1029" s="190"/>
      <c r="C1029" s="189" t="s">
        <v>783</v>
      </c>
      <c r="D1029" s="189" t="s">
        <v>507</v>
      </c>
      <c r="E1029" s="189" t="s">
        <v>806</v>
      </c>
      <c r="F1029" s="190"/>
      <c r="G1029" s="191">
        <f>G1030+G1037</f>
        <v>11524.900000000001</v>
      </c>
      <c r="H1029" s="191">
        <f>H1030+H1037</f>
        <v>11524.900000000001</v>
      </c>
      <c r="I1029" s="192">
        <f t="shared" si="73"/>
        <v>0</v>
      </c>
    </row>
    <row r="1030" spans="1:9" ht="24" x14ac:dyDescent="0.2">
      <c r="A1030" s="189" t="s">
        <v>805</v>
      </c>
      <c r="B1030" s="190"/>
      <c r="C1030" s="189" t="s">
        <v>783</v>
      </c>
      <c r="D1030" s="189" t="s">
        <v>507</v>
      </c>
      <c r="E1030" s="189" t="s">
        <v>804</v>
      </c>
      <c r="F1030" s="190"/>
      <c r="G1030" s="191">
        <f>G1031+G1034</f>
        <v>4526.2000000000007</v>
      </c>
      <c r="H1030" s="191">
        <f>H1031+H1034</f>
        <v>4526.2000000000007</v>
      </c>
      <c r="I1030" s="192">
        <f t="shared" si="73"/>
        <v>0</v>
      </c>
    </row>
    <row r="1031" spans="1:9" ht="72" x14ac:dyDescent="0.2">
      <c r="A1031" s="189" t="s">
        <v>803</v>
      </c>
      <c r="B1031" s="190"/>
      <c r="C1031" s="189" t="s">
        <v>783</v>
      </c>
      <c r="D1031" s="189" t="s">
        <v>507</v>
      </c>
      <c r="E1031" s="189" t="s">
        <v>802</v>
      </c>
      <c r="F1031" s="190"/>
      <c r="G1031" s="191">
        <f>G1032</f>
        <v>2403.3000000000002</v>
      </c>
      <c r="H1031" s="191">
        <f>H1032</f>
        <v>2403.3000000000002</v>
      </c>
      <c r="I1031" s="192">
        <f t="shared" si="73"/>
        <v>0</v>
      </c>
    </row>
    <row r="1032" spans="1:9" x14ac:dyDescent="0.2">
      <c r="A1032" s="189" t="s">
        <v>1347</v>
      </c>
      <c r="B1032" s="190"/>
      <c r="C1032" s="189" t="s">
        <v>783</v>
      </c>
      <c r="D1032" s="189" t="s">
        <v>507</v>
      </c>
      <c r="E1032" s="189" t="s">
        <v>802</v>
      </c>
      <c r="F1032" s="190" t="s">
        <v>535</v>
      </c>
      <c r="G1032" s="191">
        <f>G1033</f>
        <v>2403.3000000000002</v>
      </c>
      <c r="H1032" s="191">
        <f>H1033</f>
        <v>2403.3000000000002</v>
      </c>
      <c r="I1032" s="192">
        <f t="shared" ref="I1032:I1097" si="81">H1032-G1032</f>
        <v>0</v>
      </c>
    </row>
    <row r="1033" spans="1:9" ht="24" x14ac:dyDescent="0.2">
      <c r="A1033" s="189" t="s">
        <v>534</v>
      </c>
      <c r="B1033" s="190"/>
      <c r="C1033" s="189" t="s">
        <v>783</v>
      </c>
      <c r="D1033" s="189" t="s">
        <v>507</v>
      </c>
      <c r="E1033" s="189" t="s">
        <v>802</v>
      </c>
      <c r="F1033" s="190" t="s">
        <v>529</v>
      </c>
      <c r="G1033" s="191">
        <f>2500+265.8-362.5</f>
        <v>2403.3000000000002</v>
      </c>
      <c r="H1033" s="191">
        <f>2500+265.8-362.5</f>
        <v>2403.3000000000002</v>
      </c>
      <c r="I1033" s="192">
        <f t="shared" si="81"/>
        <v>0</v>
      </c>
    </row>
    <row r="1034" spans="1:9" ht="84" x14ac:dyDescent="0.2">
      <c r="A1034" s="189" t="s">
        <v>801</v>
      </c>
      <c r="B1034" s="190"/>
      <c r="C1034" s="189" t="s">
        <v>783</v>
      </c>
      <c r="D1034" s="189" t="s">
        <v>507</v>
      </c>
      <c r="E1034" s="189" t="s">
        <v>800</v>
      </c>
      <c r="F1034" s="190"/>
      <c r="G1034" s="191">
        <f>G1035</f>
        <v>2122.9</v>
      </c>
      <c r="H1034" s="191">
        <f>H1035</f>
        <v>2122.9</v>
      </c>
      <c r="I1034" s="192">
        <f t="shared" si="81"/>
        <v>0</v>
      </c>
    </row>
    <row r="1035" spans="1:9" ht="24" x14ac:dyDescent="0.2">
      <c r="A1035" s="189" t="s">
        <v>547</v>
      </c>
      <c r="B1035" s="190"/>
      <c r="C1035" s="189" t="s">
        <v>783</v>
      </c>
      <c r="D1035" s="189" t="s">
        <v>507</v>
      </c>
      <c r="E1035" s="189" t="s">
        <v>800</v>
      </c>
      <c r="F1035" s="190" t="s">
        <v>519</v>
      </c>
      <c r="G1035" s="191">
        <f>G1036</f>
        <v>2122.9</v>
      </c>
      <c r="H1035" s="191">
        <f>H1036</f>
        <v>2122.9</v>
      </c>
      <c r="I1035" s="192">
        <f t="shared" si="81"/>
        <v>0</v>
      </c>
    </row>
    <row r="1036" spans="1:9" x14ac:dyDescent="0.2">
      <c r="A1036" s="189" t="s">
        <v>546</v>
      </c>
      <c r="B1036" s="190"/>
      <c r="C1036" s="189" t="s">
        <v>783</v>
      </c>
      <c r="D1036" s="189" t="s">
        <v>507</v>
      </c>
      <c r="E1036" s="189" t="s">
        <v>800</v>
      </c>
      <c r="F1036" s="190" t="s">
        <v>544</v>
      </c>
      <c r="G1036" s="191">
        <f>2000+122.9</f>
        <v>2122.9</v>
      </c>
      <c r="H1036" s="191">
        <f>2000+122.9</f>
        <v>2122.9</v>
      </c>
      <c r="I1036" s="192">
        <f t="shared" si="81"/>
        <v>0</v>
      </c>
    </row>
    <row r="1037" spans="1:9" ht="24" x14ac:dyDescent="0.2">
      <c r="A1037" s="189" t="s">
        <v>799</v>
      </c>
      <c r="B1037" s="190"/>
      <c r="C1037" s="189" t="s">
        <v>783</v>
      </c>
      <c r="D1037" s="189" t="s">
        <v>507</v>
      </c>
      <c r="E1037" s="189" t="s">
        <v>798</v>
      </c>
      <c r="F1037" s="190"/>
      <c r="G1037" s="191">
        <f>G1038+G1041+G1044+G1047+G1050</f>
        <v>6998.7000000000007</v>
      </c>
      <c r="H1037" s="191">
        <f>H1038+H1041+H1044+H1047+H1050</f>
        <v>6998.7000000000007</v>
      </c>
      <c r="I1037" s="192">
        <f t="shared" si="81"/>
        <v>0</v>
      </c>
    </row>
    <row r="1038" spans="1:9" ht="36" x14ac:dyDescent="0.2">
      <c r="A1038" s="189" t="s">
        <v>797</v>
      </c>
      <c r="B1038" s="190"/>
      <c r="C1038" s="189" t="s">
        <v>783</v>
      </c>
      <c r="D1038" s="189" t="s">
        <v>507</v>
      </c>
      <c r="E1038" s="189" t="s">
        <v>796</v>
      </c>
      <c r="F1038" s="190"/>
      <c r="G1038" s="191">
        <f>G1039</f>
        <v>569.6</v>
      </c>
      <c r="H1038" s="191">
        <f>H1039</f>
        <v>569.6</v>
      </c>
      <c r="I1038" s="192">
        <f t="shared" si="81"/>
        <v>0</v>
      </c>
    </row>
    <row r="1039" spans="1:9" x14ac:dyDescent="0.2">
      <c r="A1039" s="189" t="s">
        <v>1347</v>
      </c>
      <c r="B1039" s="190"/>
      <c r="C1039" s="189" t="s">
        <v>783</v>
      </c>
      <c r="D1039" s="189" t="s">
        <v>507</v>
      </c>
      <c r="E1039" s="189" t="s">
        <v>796</v>
      </c>
      <c r="F1039" s="190" t="s">
        <v>535</v>
      </c>
      <c r="G1039" s="191">
        <f>G1040</f>
        <v>569.6</v>
      </c>
      <c r="H1039" s="191">
        <f>H1040</f>
        <v>569.6</v>
      </c>
      <c r="I1039" s="192">
        <f t="shared" si="81"/>
        <v>0</v>
      </c>
    </row>
    <row r="1040" spans="1:9" ht="24" x14ac:dyDescent="0.2">
      <c r="A1040" s="189" t="s">
        <v>534</v>
      </c>
      <c r="B1040" s="190"/>
      <c r="C1040" s="189" t="s">
        <v>783</v>
      </c>
      <c r="D1040" s="189" t="s">
        <v>507</v>
      </c>
      <c r="E1040" s="189" t="s">
        <v>796</v>
      </c>
      <c r="F1040" s="190" t="s">
        <v>529</v>
      </c>
      <c r="G1040" s="191">
        <f>284+372.1-86.5</f>
        <v>569.6</v>
      </c>
      <c r="H1040" s="191">
        <f>284+372.1-86.5</f>
        <v>569.6</v>
      </c>
      <c r="I1040" s="192">
        <f t="shared" si="81"/>
        <v>0</v>
      </c>
    </row>
    <row r="1041" spans="1:9" ht="36" x14ac:dyDescent="0.2">
      <c r="A1041" s="189" t="s">
        <v>1533</v>
      </c>
      <c r="B1041" s="190"/>
      <c r="C1041" s="189" t="s">
        <v>783</v>
      </c>
      <c r="D1041" s="189" t="s">
        <v>507</v>
      </c>
      <c r="E1041" s="189" t="s">
        <v>795</v>
      </c>
      <c r="F1041" s="190"/>
      <c r="G1041" s="191">
        <f>G1042</f>
        <v>4750</v>
      </c>
      <c r="H1041" s="191">
        <f>H1042</f>
        <v>4750</v>
      </c>
      <c r="I1041" s="192">
        <f t="shared" si="81"/>
        <v>0</v>
      </c>
    </row>
    <row r="1042" spans="1:9" s="388" customFormat="1" ht="24" x14ac:dyDescent="0.2">
      <c r="A1042" s="189" t="s">
        <v>547</v>
      </c>
      <c r="B1042" s="190"/>
      <c r="C1042" s="189" t="s">
        <v>783</v>
      </c>
      <c r="D1042" s="189" t="s">
        <v>507</v>
      </c>
      <c r="E1042" s="189" t="s">
        <v>795</v>
      </c>
      <c r="F1042" s="190">
        <v>600</v>
      </c>
      <c r="G1042" s="191">
        <f>G1043</f>
        <v>4750</v>
      </c>
      <c r="H1042" s="191">
        <f>H1043</f>
        <v>4750</v>
      </c>
      <c r="I1042" s="192">
        <f>H1042-G1042</f>
        <v>0</v>
      </c>
    </row>
    <row r="1043" spans="1:9" s="388" customFormat="1" x14ac:dyDescent="0.2">
      <c r="A1043" s="189" t="s">
        <v>571</v>
      </c>
      <c r="B1043" s="190"/>
      <c r="C1043" s="189" t="s">
        <v>783</v>
      </c>
      <c r="D1043" s="189" t="s">
        <v>507</v>
      </c>
      <c r="E1043" s="189" t="s">
        <v>795</v>
      </c>
      <c r="F1043" s="190">
        <v>610</v>
      </c>
      <c r="G1043" s="191">
        <v>4750</v>
      </c>
      <c r="H1043" s="191">
        <v>4750</v>
      </c>
      <c r="I1043" s="192">
        <f>H1043-G1043</f>
        <v>0</v>
      </c>
    </row>
    <row r="1044" spans="1:9" ht="36" x14ac:dyDescent="0.2">
      <c r="A1044" s="189" t="s">
        <v>794</v>
      </c>
      <c r="B1044" s="190"/>
      <c r="C1044" s="189" t="s">
        <v>783</v>
      </c>
      <c r="D1044" s="189" t="s">
        <v>507</v>
      </c>
      <c r="E1044" s="189" t="s">
        <v>793</v>
      </c>
      <c r="F1044" s="190"/>
      <c r="G1044" s="191">
        <f>G1045</f>
        <v>500</v>
      </c>
      <c r="H1044" s="191">
        <f>H1045</f>
        <v>500</v>
      </c>
      <c r="I1044" s="192">
        <f t="shared" si="81"/>
        <v>0</v>
      </c>
    </row>
    <row r="1045" spans="1:9" x14ac:dyDescent="0.2">
      <c r="A1045" s="189" t="s">
        <v>1347</v>
      </c>
      <c r="B1045" s="190"/>
      <c r="C1045" s="189" t="s">
        <v>783</v>
      </c>
      <c r="D1045" s="189" t="s">
        <v>507</v>
      </c>
      <c r="E1045" s="189" t="s">
        <v>793</v>
      </c>
      <c r="F1045" s="190" t="s">
        <v>535</v>
      </c>
      <c r="G1045" s="191">
        <f>G1046</f>
        <v>500</v>
      </c>
      <c r="H1045" s="191">
        <f>H1046</f>
        <v>500</v>
      </c>
      <c r="I1045" s="192">
        <f t="shared" si="81"/>
        <v>0</v>
      </c>
    </row>
    <row r="1046" spans="1:9" ht="24" x14ac:dyDescent="0.2">
      <c r="A1046" s="189" t="s">
        <v>534</v>
      </c>
      <c r="B1046" s="190"/>
      <c r="C1046" s="189" t="s">
        <v>783</v>
      </c>
      <c r="D1046" s="189" t="s">
        <v>507</v>
      </c>
      <c r="E1046" s="189" t="s">
        <v>793</v>
      </c>
      <c r="F1046" s="190" t="s">
        <v>529</v>
      </c>
      <c r="G1046" s="191">
        <v>500</v>
      </c>
      <c r="H1046" s="191">
        <v>500</v>
      </c>
      <c r="I1046" s="192">
        <f t="shared" si="81"/>
        <v>0</v>
      </c>
    </row>
    <row r="1047" spans="1:9" ht="36" x14ac:dyDescent="0.2">
      <c r="A1047" s="189" t="s">
        <v>790</v>
      </c>
      <c r="B1047" s="190"/>
      <c r="C1047" s="189" t="s">
        <v>783</v>
      </c>
      <c r="D1047" s="189" t="s">
        <v>507</v>
      </c>
      <c r="E1047" s="189" t="s">
        <v>789</v>
      </c>
      <c r="F1047" s="190"/>
      <c r="G1047" s="191">
        <f>G1048</f>
        <v>929.1</v>
      </c>
      <c r="H1047" s="191">
        <f>H1048</f>
        <v>929.1</v>
      </c>
      <c r="I1047" s="192">
        <f t="shared" si="81"/>
        <v>0</v>
      </c>
    </row>
    <row r="1048" spans="1:9" ht="24" x14ac:dyDescent="0.2">
      <c r="A1048" s="189" t="s">
        <v>547</v>
      </c>
      <c r="B1048" s="190"/>
      <c r="C1048" s="189" t="s">
        <v>783</v>
      </c>
      <c r="D1048" s="189" t="s">
        <v>507</v>
      </c>
      <c r="E1048" s="189" t="s">
        <v>789</v>
      </c>
      <c r="F1048" s="190" t="s">
        <v>519</v>
      </c>
      <c r="G1048" s="191">
        <f>G1049</f>
        <v>929.1</v>
      </c>
      <c r="H1048" s="191">
        <f>H1049</f>
        <v>929.1</v>
      </c>
      <c r="I1048" s="192">
        <f t="shared" si="81"/>
        <v>0</v>
      </c>
    </row>
    <row r="1049" spans="1:9" x14ac:dyDescent="0.2">
      <c r="A1049" s="189" t="s">
        <v>546</v>
      </c>
      <c r="B1049" s="190"/>
      <c r="C1049" s="189" t="s">
        <v>783</v>
      </c>
      <c r="D1049" s="189" t="s">
        <v>507</v>
      </c>
      <c r="E1049" s="189" t="s">
        <v>789</v>
      </c>
      <c r="F1049" s="190" t="s">
        <v>544</v>
      </c>
      <c r="G1049" s="191">
        <f>603+326.1</f>
        <v>929.1</v>
      </c>
      <c r="H1049" s="191">
        <f>603+326.1</f>
        <v>929.1</v>
      </c>
      <c r="I1049" s="192">
        <f t="shared" si="81"/>
        <v>0</v>
      </c>
    </row>
    <row r="1050" spans="1:9" ht="36" x14ac:dyDescent="0.2">
      <c r="A1050" s="189" t="s">
        <v>788</v>
      </c>
      <c r="B1050" s="190"/>
      <c r="C1050" s="189" t="s">
        <v>783</v>
      </c>
      <c r="D1050" s="189" t="s">
        <v>507</v>
      </c>
      <c r="E1050" s="189" t="s">
        <v>787</v>
      </c>
      <c r="F1050" s="190"/>
      <c r="G1050" s="191">
        <f>G1051</f>
        <v>250</v>
      </c>
      <c r="H1050" s="191">
        <f>H1051</f>
        <v>250</v>
      </c>
      <c r="I1050" s="192">
        <f t="shared" si="81"/>
        <v>0</v>
      </c>
    </row>
    <row r="1051" spans="1:9" x14ac:dyDescent="0.2">
      <c r="A1051" s="189" t="s">
        <v>1347</v>
      </c>
      <c r="B1051" s="190"/>
      <c r="C1051" s="189" t="s">
        <v>783</v>
      </c>
      <c r="D1051" s="189" t="s">
        <v>507</v>
      </c>
      <c r="E1051" s="189" t="s">
        <v>787</v>
      </c>
      <c r="F1051" s="190" t="s">
        <v>535</v>
      </c>
      <c r="G1051" s="191">
        <f>G1052</f>
        <v>250</v>
      </c>
      <c r="H1051" s="191">
        <f>H1052</f>
        <v>250</v>
      </c>
      <c r="I1051" s="192">
        <f t="shared" si="81"/>
        <v>0</v>
      </c>
    </row>
    <row r="1052" spans="1:9" ht="24" x14ac:dyDescent="0.2">
      <c r="A1052" s="189" t="s">
        <v>534</v>
      </c>
      <c r="B1052" s="190"/>
      <c r="C1052" s="189" t="s">
        <v>783</v>
      </c>
      <c r="D1052" s="189" t="s">
        <v>507</v>
      </c>
      <c r="E1052" s="189" t="s">
        <v>787</v>
      </c>
      <c r="F1052" s="190" t="s">
        <v>529</v>
      </c>
      <c r="G1052" s="191">
        <v>250</v>
      </c>
      <c r="H1052" s="191">
        <v>250</v>
      </c>
      <c r="I1052" s="192">
        <f t="shared" si="81"/>
        <v>0</v>
      </c>
    </row>
    <row r="1053" spans="1:9" s="433" customFormat="1" x14ac:dyDescent="0.2">
      <c r="A1053" s="189" t="s">
        <v>1630</v>
      </c>
      <c r="B1053" s="189"/>
      <c r="C1053" s="189" t="s">
        <v>783</v>
      </c>
      <c r="D1053" s="189" t="s">
        <v>507</v>
      </c>
      <c r="E1053" s="189" t="s">
        <v>1631</v>
      </c>
      <c r="F1053" s="189"/>
      <c r="G1053" s="191">
        <f t="shared" ref="G1053:H1056" si="82">G1054</f>
        <v>0</v>
      </c>
      <c r="H1053" s="191">
        <f t="shared" si="82"/>
        <v>487.5</v>
      </c>
      <c r="I1053" s="192">
        <f t="shared" si="81"/>
        <v>487.5</v>
      </c>
    </row>
    <row r="1054" spans="1:9" s="433" customFormat="1" ht="24" x14ac:dyDescent="0.2">
      <c r="A1054" s="189" t="s">
        <v>1632</v>
      </c>
      <c r="B1054" s="189"/>
      <c r="C1054" s="189" t="s">
        <v>783</v>
      </c>
      <c r="D1054" s="189" t="s">
        <v>507</v>
      </c>
      <c r="E1054" s="189" t="s">
        <v>1633</v>
      </c>
      <c r="F1054" s="189"/>
      <c r="G1054" s="191">
        <f t="shared" si="82"/>
        <v>0</v>
      </c>
      <c r="H1054" s="191">
        <f t="shared" si="82"/>
        <v>487.5</v>
      </c>
      <c r="I1054" s="192">
        <f t="shared" si="81"/>
        <v>487.5</v>
      </c>
    </row>
    <row r="1055" spans="1:9" s="433" customFormat="1" ht="24" x14ac:dyDescent="0.2">
      <c r="A1055" s="189" t="s">
        <v>1638</v>
      </c>
      <c r="B1055" s="189"/>
      <c r="C1055" s="189" t="s">
        <v>783</v>
      </c>
      <c r="D1055" s="189" t="s">
        <v>507</v>
      </c>
      <c r="E1055" s="189" t="s">
        <v>1639</v>
      </c>
      <c r="F1055" s="189"/>
      <c r="G1055" s="191">
        <f t="shared" si="82"/>
        <v>0</v>
      </c>
      <c r="H1055" s="191">
        <f t="shared" si="82"/>
        <v>487.5</v>
      </c>
      <c r="I1055" s="192">
        <f t="shared" si="81"/>
        <v>487.5</v>
      </c>
    </row>
    <row r="1056" spans="1:9" s="433" customFormat="1" x14ac:dyDescent="0.2">
      <c r="A1056" s="189" t="s">
        <v>1347</v>
      </c>
      <c r="B1056" s="189"/>
      <c r="C1056" s="189" t="s">
        <v>783</v>
      </c>
      <c r="D1056" s="189" t="s">
        <v>507</v>
      </c>
      <c r="E1056" s="189" t="s">
        <v>1639</v>
      </c>
      <c r="F1056" s="190" t="s">
        <v>535</v>
      </c>
      <c r="G1056" s="191">
        <f t="shared" si="82"/>
        <v>0</v>
      </c>
      <c r="H1056" s="191">
        <f t="shared" si="82"/>
        <v>487.5</v>
      </c>
      <c r="I1056" s="192">
        <f t="shared" si="81"/>
        <v>487.5</v>
      </c>
    </row>
    <row r="1057" spans="1:9" s="433" customFormat="1" ht="24" x14ac:dyDescent="0.2">
      <c r="A1057" s="189" t="s">
        <v>534</v>
      </c>
      <c r="B1057" s="189"/>
      <c r="C1057" s="189" t="s">
        <v>783</v>
      </c>
      <c r="D1057" s="189" t="s">
        <v>507</v>
      </c>
      <c r="E1057" s="189" t="s">
        <v>1639</v>
      </c>
      <c r="F1057" s="190" t="s">
        <v>529</v>
      </c>
      <c r="G1057" s="191">
        <v>0</v>
      </c>
      <c r="H1057" s="191">
        <v>487.5</v>
      </c>
      <c r="I1057" s="192">
        <f t="shared" si="81"/>
        <v>487.5</v>
      </c>
    </row>
    <row r="1058" spans="1:9" x14ac:dyDescent="0.2">
      <c r="A1058" s="189" t="s">
        <v>742</v>
      </c>
      <c r="B1058" s="190"/>
      <c r="C1058" s="189" t="s">
        <v>783</v>
      </c>
      <c r="D1058" s="189" t="s">
        <v>507</v>
      </c>
      <c r="E1058" s="189" t="s">
        <v>741</v>
      </c>
      <c r="F1058" s="190"/>
      <c r="G1058" s="191">
        <f t="shared" ref="G1058:H1062" si="83">G1059</f>
        <v>21265.7</v>
      </c>
      <c r="H1058" s="191">
        <f t="shared" si="83"/>
        <v>18264.7</v>
      </c>
      <c r="I1058" s="192">
        <f t="shared" si="81"/>
        <v>-3001</v>
      </c>
    </row>
    <row r="1059" spans="1:9" ht="24" x14ac:dyDescent="0.2">
      <c r="A1059" s="189" t="s">
        <v>740</v>
      </c>
      <c r="B1059" s="190"/>
      <c r="C1059" s="189" t="s">
        <v>783</v>
      </c>
      <c r="D1059" s="189" t="s">
        <v>507</v>
      </c>
      <c r="E1059" s="189" t="s">
        <v>739</v>
      </c>
      <c r="F1059" s="190"/>
      <c r="G1059" s="191">
        <f t="shared" si="83"/>
        <v>21265.7</v>
      </c>
      <c r="H1059" s="191">
        <f t="shared" si="83"/>
        <v>18264.7</v>
      </c>
      <c r="I1059" s="192">
        <f t="shared" si="81"/>
        <v>-3001</v>
      </c>
    </row>
    <row r="1060" spans="1:9" x14ac:dyDescent="0.2">
      <c r="A1060" s="189" t="s">
        <v>786</v>
      </c>
      <c r="B1060" s="190"/>
      <c r="C1060" s="189" t="s">
        <v>783</v>
      </c>
      <c r="D1060" s="189" t="s">
        <v>507</v>
      </c>
      <c r="E1060" s="189" t="s">
        <v>785</v>
      </c>
      <c r="F1060" s="190"/>
      <c r="G1060" s="191">
        <f t="shared" si="83"/>
        <v>21265.7</v>
      </c>
      <c r="H1060" s="191">
        <f t="shared" si="83"/>
        <v>18264.7</v>
      </c>
      <c r="I1060" s="192">
        <f t="shared" si="81"/>
        <v>-3001</v>
      </c>
    </row>
    <row r="1061" spans="1:9" x14ac:dyDescent="0.2">
      <c r="A1061" s="189" t="s">
        <v>784</v>
      </c>
      <c r="B1061" s="190"/>
      <c r="C1061" s="189" t="s">
        <v>783</v>
      </c>
      <c r="D1061" s="189" t="s">
        <v>507</v>
      </c>
      <c r="E1061" s="189" t="s">
        <v>782</v>
      </c>
      <c r="F1061" s="190"/>
      <c r="G1061" s="191">
        <f t="shared" si="83"/>
        <v>21265.7</v>
      </c>
      <c r="H1061" s="191">
        <f t="shared" si="83"/>
        <v>18264.7</v>
      </c>
      <c r="I1061" s="192">
        <f t="shared" si="81"/>
        <v>-3001</v>
      </c>
    </row>
    <row r="1062" spans="1:9" ht="24" x14ac:dyDescent="0.2">
      <c r="A1062" s="189" t="s">
        <v>547</v>
      </c>
      <c r="B1062" s="190"/>
      <c r="C1062" s="189" t="s">
        <v>783</v>
      </c>
      <c r="D1062" s="189" t="s">
        <v>507</v>
      </c>
      <c r="E1062" s="189" t="s">
        <v>782</v>
      </c>
      <c r="F1062" s="190" t="s">
        <v>519</v>
      </c>
      <c r="G1062" s="191">
        <f t="shared" si="83"/>
        <v>21265.7</v>
      </c>
      <c r="H1062" s="191">
        <f t="shared" si="83"/>
        <v>18264.7</v>
      </c>
      <c r="I1062" s="192">
        <f t="shared" si="81"/>
        <v>-3001</v>
      </c>
    </row>
    <row r="1063" spans="1:9" x14ac:dyDescent="0.2">
      <c r="A1063" s="189" t="s">
        <v>546</v>
      </c>
      <c r="B1063" s="190"/>
      <c r="C1063" s="189" t="s">
        <v>783</v>
      </c>
      <c r="D1063" s="189" t="s">
        <v>507</v>
      </c>
      <c r="E1063" s="189" t="s">
        <v>782</v>
      </c>
      <c r="F1063" s="190" t="s">
        <v>544</v>
      </c>
      <c r="G1063" s="191">
        <f>21714.2-448.5</f>
        <v>21265.7</v>
      </c>
      <c r="H1063" s="191">
        <f>21714.2-448.5-918.9-2082.1</f>
        <v>18264.7</v>
      </c>
      <c r="I1063" s="192">
        <f t="shared" si="81"/>
        <v>-3001</v>
      </c>
    </row>
    <row r="1064" spans="1:9" s="78" customFormat="1" x14ac:dyDescent="0.2">
      <c r="A1064" s="185" t="s">
        <v>781</v>
      </c>
      <c r="B1064" s="186"/>
      <c r="C1064" s="185" t="s">
        <v>592</v>
      </c>
      <c r="D1064" s="185"/>
      <c r="E1064" s="185"/>
      <c r="F1064" s="186"/>
      <c r="G1064" s="187">
        <f t="shared" ref="G1064:H1070" si="84">G1065</f>
        <v>104568.8</v>
      </c>
      <c r="H1064" s="187">
        <f t="shared" si="84"/>
        <v>56879</v>
      </c>
      <c r="I1064" s="188">
        <f t="shared" si="81"/>
        <v>-47689.8</v>
      </c>
    </row>
    <row r="1065" spans="1:9" x14ac:dyDescent="0.2">
      <c r="A1065" s="189" t="s">
        <v>780</v>
      </c>
      <c r="B1065" s="190"/>
      <c r="C1065" s="189" t="s">
        <v>592</v>
      </c>
      <c r="D1065" s="189" t="s">
        <v>498</v>
      </c>
      <c r="E1065" s="189"/>
      <c r="F1065" s="190"/>
      <c r="G1065" s="191">
        <f t="shared" si="84"/>
        <v>104568.8</v>
      </c>
      <c r="H1065" s="191">
        <f t="shared" si="84"/>
        <v>56879</v>
      </c>
      <c r="I1065" s="192">
        <f t="shared" si="81"/>
        <v>-47689.8</v>
      </c>
    </row>
    <row r="1066" spans="1:9" x14ac:dyDescent="0.2">
      <c r="A1066" s="189" t="s">
        <v>604</v>
      </c>
      <c r="B1066" s="190"/>
      <c r="C1066" s="189" t="s">
        <v>592</v>
      </c>
      <c r="D1066" s="189" t="s">
        <v>498</v>
      </c>
      <c r="E1066" s="189" t="s">
        <v>603</v>
      </c>
      <c r="F1066" s="190"/>
      <c r="G1066" s="191">
        <f t="shared" si="84"/>
        <v>104568.8</v>
      </c>
      <c r="H1066" s="191">
        <f t="shared" si="84"/>
        <v>56879</v>
      </c>
      <c r="I1066" s="192">
        <f t="shared" si="81"/>
        <v>-47689.8</v>
      </c>
    </row>
    <row r="1067" spans="1:9" x14ac:dyDescent="0.2">
      <c r="A1067" s="189" t="s">
        <v>779</v>
      </c>
      <c r="B1067" s="190"/>
      <c r="C1067" s="189" t="s">
        <v>592</v>
      </c>
      <c r="D1067" s="189" t="s">
        <v>498</v>
      </c>
      <c r="E1067" s="189" t="s">
        <v>778</v>
      </c>
      <c r="F1067" s="190"/>
      <c r="G1067" s="191">
        <f t="shared" si="84"/>
        <v>104568.8</v>
      </c>
      <c r="H1067" s="191">
        <f t="shared" si="84"/>
        <v>56879</v>
      </c>
      <c r="I1067" s="192">
        <f t="shared" si="81"/>
        <v>-47689.8</v>
      </c>
    </row>
    <row r="1068" spans="1:9" x14ac:dyDescent="0.2">
      <c r="A1068" s="189" t="s">
        <v>777</v>
      </c>
      <c r="B1068" s="190"/>
      <c r="C1068" s="189" t="s">
        <v>592</v>
      </c>
      <c r="D1068" s="189" t="s">
        <v>498</v>
      </c>
      <c r="E1068" s="189" t="s">
        <v>776</v>
      </c>
      <c r="F1068" s="190"/>
      <c r="G1068" s="191">
        <f t="shared" si="84"/>
        <v>104568.8</v>
      </c>
      <c r="H1068" s="191">
        <f t="shared" si="84"/>
        <v>56879</v>
      </c>
      <c r="I1068" s="192">
        <f t="shared" si="81"/>
        <v>-47689.8</v>
      </c>
    </row>
    <row r="1069" spans="1:9" x14ac:dyDescent="0.2">
      <c r="A1069" s="189" t="s">
        <v>774</v>
      </c>
      <c r="B1069" s="190"/>
      <c r="C1069" s="189" t="s">
        <v>592</v>
      </c>
      <c r="D1069" s="189" t="s">
        <v>498</v>
      </c>
      <c r="E1069" s="189" t="s">
        <v>773</v>
      </c>
      <c r="F1069" s="190"/>
      <c r="G1069" s="191">
        <f t="shared" si="84"/>
        <v>104568.8</v>
      </c>
      <c r="H1069" s="191">
        <f t="shared" si="84"/>
        <v>56879</v>
      </c>
      <c r="I1069" s="192">
        <f t="shared" si="81"/>
        <v>-47689.8</v>
      </c>
    </row>
    <row r="1070" spans="1:9" x14ac:dyDescent="0.2">
      <c r="A1070" s="189" t="s">
        <v>775</v>
      </c>
      <c r="B1070" s="190"/>
      <c r="C1070" s="189" t="s">
        <v>592</v>
      </c>
      <c r="D1070" s="189" t="s">
        <v>498</v>
      </c>
      <c r="E1070" s="189" t="s">
        <v>773</v>
      </c>
      <c r="F1070" s="190" t="s">
        <v>504</v>
      </c>
      <c r="G1070" s="191">
        <f t="shared" si="84"/>
        <v>104568.8</v>
      </c>
      <c r="H1070" s="191">
        <f t="shared" si="84"/>
        <v>56879</v>
      </c>
      <c r="I1070" s="192">
        <f t="shared" si="81"/>
        <v>-47689.8</v>
      </c>
    </row>
    <row r="1071" spans="1:9" x14ac:dyDescent="0.2">
      <c r="A1071" s="189" t="s">
        <v>774</v>
      </c>
      <c r="B1071" s="190"/>
      <c r="C1071" s="189" t="s">
        <v>592</v>
      </c>
      <c r="D1071" s="189" t="s">
        <v>498</v>
      </c>
      <c r="E1071" s="189" t="s">
        <v>773</v>
      </c>
      <c r="F1071" s="190" t="s">
        <v>772</v>
      </c>
      <c r="G1071" s="191">
        <v>104568.8</v>
      </c>
      <c r="H1071" s="191">
        <f>104568.8-47689.8</f>
        <v>56879</v>
      </c>
      <c r="I1071" s="192">
        <f t="shared" si="81"/>
        <v>-47689.8</v>
      </c>
    </row>
    <row r="1072" spans="1:9" x14ac:dyDescent="0.2">
      <c r="A1072" s="181" t="s">
        <v>1362</v>
      </c>
      <c r="B1072" s="182" t="s">
        <v>766</v>
      </c>
      <c r="C1072" s="181"/>
      <c r="D1072" s="181"/>
      <c r="E1072" s="181"/>
      <c r="F1072" s="182"/>
      <c r="G1072" s="183">
        <f t="shared" ref="G1072:H1074" si="85">G1073</f>
        <v>16835.800000000003</v>
      </c>
      <c r="H1072" s="183">
        <f t="shared" si="85"/>
        <v>16835.800000000003</v>
      </c>
      <c r="I1072" s="184">
        <f t="shared" si="81"/>
        <v>0</v>
      </c>
    </row>
    <row r="1073" spans="1:9" s="78" customFormat="1" x14ac:dyDescent="0.2">
      <c r="A1073" s="185" t="s">
        <v>606</v>
      </c>
      <c r="B1073" s="186"/>
      <c r="C1073" s="185" t="s">
        <v>498</v>
      </c>
      <c r="D1073" s="185"/>
      <c r="E1073" s="185"/>
      <c r="F1073" s="186"/>
      <c r="G1073" s="187">
        <f t="shared" si="85"/>
        <v>16835.800000000003</v>
      </c>
      <c r="H1073" s="187">
        <f t="shared" si="85"/>
        <v>16835.800000000003</v>
      </c>
      <c r="I1073" s="188">
        <f t="shared" si="81"/>
        <v>0</v>
      </c>
    </row>
    <row r="1074" spans="1:9" ht="24" x14ac:dyDescent="0.2">
      <c r="A1074" s="189" t="s">
        <v>771</v>
      </c>
      <c r="B1074" s="190"/>
      <c r="C1074" s="189" t="s">
        <v>498</v>
      </c>
      <c r="D1074" s="189" t="s">
        <v>531</v>
      </c>
      <c r="E1074" s="189"/>
      <c r="F1074" s="190"/>
      <c r="G1074" s="191">
        <f t="shared" si="85"/>
        <v>16835.800000000003</v>
      </c>
      <c r="H1074" s="191">
        <f t="shared" si="85"/>
        <v>16835.800000000003</v>
      </c>
      <c r="I1074" s="192">
        <f t="shared" si="81"/>
        <v>0</v>
      </c>
    </row>
    <row r="1075" spans="1:9" ht="24" x14ac:dyDescent="0.2">
      <c r="A1075" s="189" t="s">
        <v>757</v>
      </c>
      <c r="B1075" s="190"/>
      <c r="C1075" s="189" t="s">
        <v>498</v>
      </c>
      <c r="D1075" s="189" t="s">
        <v>531</v>
      </c>
      <c r="E1075" s="189" t="s">
        <v>756</v>
      </c>
      <c r="F1075" s="190"/>
      <c r="G1075" s="191">
        <f>G1076+G1079</f>
        <v>16835.800000000003</v>
      </c>
      <c r="H1075" s="191">
        <f>H1076+H1079</f>
        <v>16835.800000000003</v>
      </c>
      <c r="I1075" s="192">
        <f t="shared" si="81"/>
        <v>0</v>
      </c>
    </row>
    <row r="1076" spans="1:9" x14ac:dyDescent="0.2">
      <c r="A1076" s="189" t="s">
        <v>770</v>
      </c>
      <c r="B1076" s="190"/>
      <c r="C1076" s="189" t="s">
        <v>498</v>
      </c>
      <c r="D1076" s="189" t="s">
        <v>531</v>
      </c>
      <c r="E1076" s="189" t="s">
        <v>769</v>
      </c>
      <c r="F1076" s="190"/>
      <c r="G1076" s="191">
        <f>G1077</f>
        <v>3051.6000000000004</v>
      </c>
      <c r="H1076" s="191">
        <f>H1077</f>
        <v>3051.6000000000004</v>
      </c>
      <c r="I1076" s="192">
        <f t="shared" si="81"/>
        <v>0</v>
      </c>
    </row>
    <row r="1077" spans="1:9" ht="36" x14ac:dyDescent="0.2">
      <c r="A1077" s="189" t="s">
        <v>1348</v>
      </c>
      <c r="B1077" s="190"/>
      <c r="C1077" s="189" t="s">
        <v>498</v>
      </c>
      <c r="D1077" s="189" t="s">
        <v>531</v>
      </c>
      <c r="E1077" s="189" t="s">
        <v>769</v>
      </c>
      <c r="F1077" s="190" t="s">
        <v>556</v>
      </c>
      <c r="G1077" s="191">
        <f>G1078</f>
        <v>3051.6000000000004</v>
      </c>
      <c r="H1077" s="191">
        <f>H1078</f>
        <v>3051.6000000000004</v>
      </c>
      <c r="I1077" s="192">
        <f t="shared" si="81"/>
        <v>0</v>
      </c>
    </row>
    <row r="1078" spans="1:9" x14ac:dyDescent="0.2">
      <c r="A1078" s="189" t="s">
        <v>749</v>
      </c>
      <c r="B1078" s="190"/>
      <c r="C1078" s="189" t="s">
        <v>498</v>
      </c>
      <c r="D1078" s="189" t="s">
        <v>531</v>
      </c>
      <c r="E1078" s="189" t="s">
        <v>769</v>
      </c>
      <c r="F1078" s="190" t="s">
        <v>745</v>
      </c>
      <c r="G1078" s="191">
        <f>3513.8-462.2</f>
        <v>3051.6000000000004</v>
      </c>
      <c r="H1078" s="191">
        <f>3513.8-462.2</f>
        <v>3051.6000000000004</v>
      </c>
      <c r="I1078" s="192">
        <f t="shared" si="81"/>
        <v>0</v>
      </c>
    </row>
    <row r="1079" spans="1:9" x14ac:dyDescent="0.2">
      <c r="A1079" s="189" t="s">
        <v>767</v>
      </c>
      <c r="B1079" s="190"/>
      <c r="C1079" s="189" t="s">
        <v>498</v>
      </c>
      <c r="D1079" s="189" t="s">
        <v>531</v>
      </c>
      <c r="E1079" s="189" t="s">
        <v>765</v>
      </c>
      <c r="F1079" s="190"/>
      <c r="G1079" s="191">
        <f>G1080+G1082+G1084</f>
        <v>13784.2</v>
      </c>
      <c r="H1079" s="191">
        <f>H1080+H1082+H1084</f>
        <v>13784.2</v>
      </c>
      <c r="I1079" s="192">
        <f t="shared" si="81"/>
        <v>0</v>
      </c>
    </row>
    <row r="1080" spans="1:9" ht="36" x14ac:dyDescent="0.2">
      <c r="A1080" s="189" t="s">
        <v>1348</v>
      </c>
      <c r="B1080" s="190"/>
      <c r="C1080" s="189" t="s">
        <v>498</v>
      </c>
      <c r="D1080" s="189" t="s">
        <v>531</v>
      </c>
      <c r="E1080" s="189" t="s">
        <v>765</v>
      </c>
      <c r="F1080" s="190" t="s">
        <v>556</v>
      </c>
      <c r="G1080" s="191">
        <f>G1081</f>
        <v>9455.8000000000011</v>
      </c>
      <c r="H1080" s="191">
        <f>H1081</f>
        <v>9455.8000000000011</v>
      </c>
      <c r="I1080" s="192">
        <f t="shared" si="81"/>
        <v>0</v>
      </c>
    </row>
    <row r="1081" spans="1:9" x14ac:dyDescent="0.2">
      <c r="A1081" s="189" t="s">
        <v>749</v>
      </c>
      <c r="B1081" s="190"/>
      <c r="C1081" s="189" t="s">
        <v>498</v>
      </c>
      <c r="D1081" s="189" t="s">
        <v>531</v>
      </c>
      <c r="E1081" s="189" t="s">
        <v>765</v>
      </c>
      <c r="F1081" s="190" t="s">
        <v>745</v>
      </c>
      <c r="G1081" s="191">
        <f>11440.1-1874.9-109.4</f>
        <v>9455.8000000000011</v>
      </c>
      <c r="H1081" s="191">
        <f>11440.1-1874.9-109.4</f>
        <v>9455.8000000000011</v>
      </c>
      <c r="I1081" s="192">
        <f t="shared" si="81"/>
        <v>0</v>
      </c>
    </row>
    <row r="1082" spans="1:9" x14ac:dyDescent="0.2">
      <c r="A1082" s="189" t="s">
        <v>1347</v>
      </c>
      <c r="B1082" s="190"/>
      <c r="C1082" s="189" t="s">
        <v>498</v>
      </c>
      <c r="D1082" s="189" t="s">
        <v>531</v>
      </c>
      <c r="E1082" s="189" t="s">
        <v>765</v>
      </c>
      <c r="F1082" s="190" t="s">
        <v>535</v>
      </c>
      <c r="G1082" s="191">
        <f>G1083</f>
        <v>4278.3999999999996</v>
      </c>
      <c r="H1082" s="191">
        <f>H1083</f>
        <v>4278.3999999999996</v>
      </c>
      <c r="I1082" s="192">
        <f t="shared" si="81"/>
        <v>0</v>
      </c>
    </row>
    <row r="1083" spans="1:9" ht="24" x14ac:dyDescent="0.2">
      <c r="A1083" s="189" t="s">
        <v>534</v>
      </c>
      <c r="B1083" s="190"/>
      <c r="C1083" s="189" t="s">
        <v>498</v>
      </c>
      <c r="D1083" s="189" t="s">
        <v>531</v>
      </c>
      <c r="E1083" s="189" t="s">
        <v>765</v>
      </c>
      <c r="F1083" s="190" t="s">
        <v>529</v>
      </c>
      <c r="G1083" s="191">
        <f>4637.4-359</f>
        <v>4278.3999999999996</v>
      </c>
      <c r="H1083" s="191">
        <f>4637.4-359</f>
        <v>4278.3999999999996</v>
      </c>
      <c r="I1083" s="192">
        <f t="shared" si="81"/>
        <v>0</v>
      </c>
    </row>
    <row r="1084" spans="1:9" x14ac:dyDescent="0.2">
      <c r="A1084" s="189" t="s">
        <v>615</v>
      </c>
      <c r="B1084" s="190"/>
      <c r="C1084" s="189" t="s">
        <v>498</v>
      </c>
      <c r="D1084" s="189" t="s">
        <v>531</v>
      </c>
      <c r="E1084" s="189" t="s">
        <v>765</v>
      </c>
      <c r="F1084" s="190" t="s">
        <v>509</v>
      </c>
      <c r="G1084" s="191">
        <f>G1085</f>
        <v>50</v>
      </c>
      <c r="H1084" s="191">
        <f>H1085</f>
        <v>50</v>
      </c>
      <c r="I1084" s="192">
        <f t="shared" si="81"/>
        <v>0</v>
      </c>
    </row>
    <row r="1085" spans="1:9" x14ac:dyDescent="0.2">
      <c r="A1085" s="189" t="s">
        <v>614</v>
      </c>
      <c r="B1085" s="190"/>
      <c r="C1085" s="189" t="s">
        <v>498</v>
      </c>
      <c r="D1085" s="189" t="s">
        <v>531</v>
      </c>
      <c r="E1085" s="189" t="s">
        <v>765</v>
      </c>
      <c r="F1085" s="190" t="s">
        <v>613</v>
      </c>
      <c r="G1085" s="191">
        <v>50</v>
      </c>
      <c r="H1085" s="191">
        <v>50</v>
      </c>
      <c r="I1085" s="192">
        <f t="shared" si="81"/>
        <v>0</v>
      </c>
    </row>
    <row r="1086" spans="1:9" x14ac:dyDescent="0.2">
      <c r="A1086" s="181" t="s">
        <v>764</v>
      </c>
      <c r="B1086" s="182" t="s">
        <v>760</v>
      </c>
      <c r="C1086" s="181"/>
      <c r="D1086" s="181"/>
      <c r="E1086" s="181"/>
      <c r="F1086" s="182"/>
      <c r="G1086" s="183">
        <f>G1087</f>
        <v>35005.899999999994</v>
      </c>
      <c r="H1086" s="183">
        <f>H1087</f>
        <v>35005.899999999994</v>
      </c>
      <c r="I1086" s="184">
        <f t="shared" si="81"/>
        <v>0</v>
      </c>
    </row>
    <row r="1087" spans="1:9" s="78" customFormat="1" x14ac:dyDescent="0.2">
      <c r="A1087" s="185" t="s">
        <v>606</v>
      </c>
      <c r="B1087" s="186"/>
      <c r="C1087" s="185" t="s">
        <v>498</v>
      </c>
      <c r="D1087" s="185"/>
      <c r="E1087" s="185"/>
      <c r="F1087" s="186"/>
      <c r="G1087" s="187">
        <f>G1088</f>
        <v>35005.899999999994</v>
      </c>
      <c r="H1087" s="187">
        <f>H1088</f>
        <v>35005.899999999994</v>
      </c>
      <c r="I1087" s="188">
        <f t="shared" si="81"/>
        <v>0</v>
      </c>
    </row>
    <row r="1088" spans="1:9" ht="24" x14ac:dyDescent="0.2">
      <c r="A1088" s="189" t="s">
        <v>758</v>
      </c>
      <c r="B1088" s="190"/>
      <c r="C1088" s="189" t="s">
        <v>498</v>
      </c>
      <c r="D1088" s="189" t="s">
        <v>747</v>
      </c>
      <c r="E1088" s="189"/>
      <c r="F1088" s="190"/>
      <c r="G1088" s="191">
        <f t="shared" ref="G1088:H1091" si="86">G1089</f>
        <v>35005.899999999994</v>
      </c>
      <c r="H1088" s="191">
        <f t="shared" si="86"/>
        <v>35005.899999999994</v>
      </c>
      <c r="I1088" s="192">
        <f t="shared" si="81"/>
        <v>0</v>
      </c>
    </row>
    <row r="1089" spans="1:9" x14ac:dyDescent="0.2">
      <c r="A1089" s="189" t="s">
        <v>604</v>
      </c>
      <c r="B1089" s="190"/>
      <c r="C1089" s="189" t="s">
        <v>498</v>
      </c>
      <c r="D1089" s="189" t="s">
        <v>747</v>
      </c>
      <c r="E1089" s="189" t="s">
        <v>603</v>
      </c>
      <c r="F1089" s="190"/>
      <c r="G1089" s="191">
        <f t="shared" si="86"/>
        <v>35005.899999999994</v>
      </c>
      <c r="H1089" s="191">
        <f t="shared" si="86"/>
        <v>35005.899999999994</v>
      </c>
      <c r="I1089" s="192">
        <f t="shared" si="81"/>
        <v>0</v>
      </c>
    </row>
    <row r="1090" spans="1:9" x14ac:dyDescent="0.2">
      <c r="A1090" s="189" t="s">
        <v>602</v>
      </c>
      <c r="B1090" s="190"/>
      <c r="C1090" s="189" t="s">
        <v>498</v>
      </c>
      <c r="D1090" s="189" t="s">
        <v>747</v>
      </c>
      <c r="E1090" s="189" t="s">
        <v>601</v>
      </c>
      <c r="F1090" s="190"/>
      <c r="G1090" s="191">
        <f t="shared" si="86"/>
        <v>35005.899999999994</v>
      </c>
      <c r="H1090" s="191">
        <f t="shared" si="86"/>
        <v>35005.899999999994</v>
      </c>
      <c r="I1090" s="192">
        <f t="shared" si="81"/>
        <v>0</v>
      </c>
    </row>
    <row r="1091" spans="1:9" ht="24" x14ac:dyDescent="0.2">
      <c r="A1091" s="189" t="s">
        <v>600</v>
      </c>
      <c r="B1091" s="190"/>
      <c r="C1091" s="189" t="s">
        <v>498</v>
      </c>
      <c r="D1091" s="189" t="s">
        <v>747</v>
      </c>
      <c r="E1091" s="189" t="s">
        <v>599</v>
      </c>
      <c r="F1091" s="190"/>
      <c r="G1091" s="191">
        <f t="shared" si="86"/>
        <v>35005.899999999994</v>
      </c>
      <c r="H1091" s="191">
        <f t="shared" si="86"/>
        <v>35005.899999999994</v>
      </c>
      <c r="I1091" s="192">
        <f t="shared" si="81"/>
        <v>0</v>
      </c>
    </row>
    <row r="1092" spans="1:9" x14ac:dyDescent="0.2">
      <c r="A1092" s="189" t="s">
        <v>763</v>
      </c>
      <c r="B1092" s="190"/>
      <c r="C1092" s="189" t="s">
        <v>498</v>
      </c>
      <c r="D1092" s="189" t="s">
        <v>747</v>
      </c>
      <c r="E1092" s="189" t="s">
        <v>762</v>
      </c>
      <c r="F1092" s="190"/>
      <c r="G1092" s="191">
        <f>G1093+G1095+G1097</f>
        <v>35005.899999999994</v>
      </c>
      <c r="H1092" s="191">
        <f>H1093+H1095+H1097</f>
        <v>35005.899999999994</v>
      </c>
      <c r="I1092" s="192">
        <f t="shared" si="81"/>
        <v>0</v>
      </c>
    </row>
    <row r="1093" spans="1:9" ht="36" x14ac:dyDescent="0.2">
      <c r="A1093" s="189" t="s">
        <v>1348</v>
      </c>
      <c r="B1093" s="190"/>
      <c r="C1093" s="189" t="s">
        <v>498</v>
      </c>
      <c r="D1093" s="189" t="s">
        <v>747</v>
      </c>
      <c r="E1093" s="189" t="s">
        <v>762</v>
      </c>
      <c r="F1093" s="190" t="s">
        <v>556</v>
      </c>
      <c r="G1093" s="191">
        <f>G1094</f>
        <v>28605.499999999996</v>
      </c>
      <c r="H1093" s="191">
        <f>H1094</f>
        <v>28605.499999999996</v>
      </c>
      <c r="I1093" s="192">
        <f t="shared" si="81"/>
        <v>0</v>
      </c>
    </row>
    <row r="1094" spans="1:9" x14ac:dyDescent="0.2">
      <c r="A1094" s="189" t="s">
        <v>749</v>
      </c>
      <c r="B1094" s="190"/>
      <c r="C1094" s="189" t="s">
        <v>498</v>
      </c>
      <c r="D1094" s="189" t="s">
        <v>747</v>
      </c>
      <c r="E1094" s="189" t="s">
        <v>762</v>
      </c>
      <c r="F1094" s="190" t="s">
        <v>745</v>
      </c>
      <c r="G1094" s="191">
        <f>34919.6-5892.9-421.2</f>
        <v>28605.499999999996</v>
      </c>
      <c r="H1094" s="191">
        <f>34919.6-5892.9-421.2</f>
        <v>28605.499999999996</v>
      </c>
      <c r="I1094" s="192">
        <f t="shared" si="81"/>
        <v>0</v>
      </c>
    </row>
    <row r="1095" spans="1:9" x14ac:dyDescent="0.2">
      <c r="A1095" s="189" t="s">
        <v>1347</v>
      </c>
      <c r="B1095" s="190"/>
      <c r="C1095" s="189" t="s">
        <v>498</v>
      </c>
      <c r="D1095" s="189" t="s">
        <v>747</v>
      </c>
      <c r="E1095" s="189" t="s">
        <v>762</v>
      </c>
      <c r="F1095" s="190" t="s">
        <v>535</v>
      </c>
      <c r="G1095" s="191">
        <f>G1096</f>
        <v>6370.4</v>
      </c>
      <c r="H1095" s="191">
        <f>H1096</f>
        <v>6370.4</v>
      </c>
      <c r="I1095" s="192">
        <f t="shared" si="81"/>
        <v>0</v>
      </c>
    </row>
    <row r="1096" spans="1:9" ht="24" x14ac:dyDescent="0.2">
      <c r="A1096" s="189" t="s">
        <v>534</v>
      </c>
      <c r="B1096" s="190"/>
      <c r="C1096" s="189" t="s">
        <v>498</v>
      </c>
      <c r="D1096" s="189" t="s">
        <v>747</v>
      </c>
      <c r="E1096" s="189" t="s">
        <v>762</v>
      </c>
      <c r="F1096" s="190" t="s">
        <v>529</v>
      </c>
      <c r="G1096" s="191">
        <v>6370.4</v>
      </c>
      <c r="H1096" s="191">
        <v>6370.4</v>
      </c>
      <c r="I1096" s="192">
        <f t="shared" si="81"/>
        <v>0</v>
      </c>
    </row>
    <row r="1097" spans="1:9" x14ac:dyDescent="0.2">
      <c r="A1097" s="189" t="s">
        <v>615</v>
      </c>
      <c r="B1097" s="190"/>
      <c r="C1097" s="189" t="s">
        <v>498</v>
      </c>
      <c r="D1097" s="189" t="s">
        <v>747</v>
      </c>
      <c r="E1097" s="189" t="s">
        <v>762</v>
      </c>
      <c r="F1097" s="190" t="s">
        <v>509</v>
      </c>
      <c r="G1097" s="191">
        <f>G1098</f>
        <v>30</v>
      </c>
      <c r="H1097" s="191">
        <f>H1098</f>
        <v>30</v>
      </c>
      <c r="I1097" s="192">
        <f t="shared" si="81"/>
        <v>0</v>
      </c>
    </row>
    <row r="1098" spans="1:9" x14ac:dyDescent="0.2">
      <c r="A1098" s="189" t="s">
        <v>614</v>
      </c>
      <c r="B1098" s="190"/>
      <c r="C1098" s="189" t="s">
        <v>498</v>
      </c>
      <c r="D1098" s="189" t="s">
        <v>747</v>
      </c>
      <c r="E1098" s="189" t="s">
        <v>762</v>
      </c>
      <c r="F1098" s="190" t="s">
        <v>613</v>
      </c>
      <c r="G1098" s="191">
        <v>30</v>
      </c>
      <c r="H1098" s="191">
        <v>30</v>
      </c>
      <c r="I1098" s="192">
        <f t="shared" ref="I1098:I1144" si="87">H1098-G1098</f>
        <v>0</v>
      </c>
    </row>
    <row r="1099" spans="1:9" x14ac:dyDescent="0.2">
      <c r="A1099" s="181" t="s">
        <v>1363</v>
      </c>
      <c r="B1099" s="182" t="s">
        <v>748</v>
      </c>
      <c r="C1099" s="181"/>
      <c r="D1099" s="181"/>
      <c r="E1099" s="181"/>
      <c r="F1099" s="182"/>
      <c r="G1099" s="183">
        <f t="shared" ref="G1099:H1101" si="88">G1100</f>
        <v>19983.900000000001</v>
      </c>
      <c r="H1099" s="183">
        <f t="shared" si="88"/>
        <v>19983.900000000001</v>
      </c>
      <c r="I1099" s="184">
        <f t="shared" si="87"/>
        <v>0</v>
      </c>
    </row>
    <row r="1100" spans="1:9" s="78" customFormat="1" x14ac:dyDescent="0.2">
      <c r="A1100" s="185" t="s">
        <v>606</v>
      </c>
      <c r="B1100" s="186"/>
      <c r="C1100" s="185" t="s">
        <v>498</v>
      </c>
      <c r="D1100" s="185"/>
      <c r="E1100" s="185"/>
      <c r="F1100" s="186"/>
      <c r="G1100" s="187">
        <f t="shared" si="88"/>
        <v>19983.900000000001</v>
      </c>
      <c r="H1100" s="187">
        <f t="shared" si="88"/>
        <v>19983.900000000001</v>
      </c>
      <c r="I1100" s="188">
        <f t="shared" si="87"/>
        <v>0</v>
      </c>
    </row>
    <row r="1101" spans="1:9" ht="24" x14ac:dyDescent="0.2">
      <c r="A1101" s="189" t="s">
        <v>758</v>
      </c>
      <c r="B1101" s="190"/>
      <c r="C1101" s="189" t="s">
        <v>498</v>
      </c>
      <c r="D1101" s="189" t="s">
        <v>747</v>
      </c>
      <c r="E1101" s="189"/>
      <c r="F1101" s="190"/>
      <c r="G1101" s="191">
        <f t="shared" si="88"/>
        <v>19983.900000000001</v>
      </c>
      <c r="H1101" s="191">
        <f t="shared" si="88"/>
        <v>19983.900000000001</v>
      </c>
      <c r="I1101" s="192">
        <f t="shared" si="87"/>
        <v>0</v>
      </c>
    </row>
    <row r="1102" spans="1:9" ht="24" x14ac:dyDescent="0.2">
      <c r="A1102" s="189" t="s">
        <v>757</v>
      </c>
      <c r="B1102" s="190"/>
      <c r="C1102" s="189" t="s">
        <v>498</v>
      </c>
      <c r="D1102" s="189" t="s">
        <v>747</v>
      </c>
      <c r="E1102" s="189" t="s">
        <v>756</v>
      </c>
      <c r="F1102" s="190"/>
      <c r="G1102" s="191">
        <f>G1103+G1106+G1113</f>
        <v>19983.900000000001</v>
      </c>
      <c r="H1102" s="191">
        <f>H1103+H1106+H1113</f>
        <v>19983.900000000001</v>
      </c>
      <c r="I1102" s="192">
        <f t="shared" si="87"/>
        <v>0</v>
      </c>
    </row>
    <row r="1103" spans="1:9" x14ac:dyDescent="0.2">
      <c r="A1103" s="189" t="s">
        <v>755</v>
      </c>
      <c r="B1103" s="190"/>
      <c r="C1103" s="189" t="s">
        <v>498</v>
      </c>
      <c r="D1103" s="189" t="s">
        <v>747</v>
      </c>
      <c r="E1103" s="189" t="s">
        <v>754</v>
      </c>
      <c r="F1103" s="190"/>
      <c r="G1103" s="191">
        <f>G1104</f>
        <v>2577</v>
      </c>
      <c r="H1103" s="191">
        <f>H1104</f>
        <v>1552</v>
      </c>
      <c r="I1103" s="192">
        <f t="shared" si="87"/>
        <v>-1025</v>
      </c>
    </row>
    <row r="1104" spans="1:9" ht="36" x14ac:dyDescent="0.2">
      <c r="A1104" s="189" t="s">
        <v>1348</v>
      </c>
      <c r="B1104" s="190"/>
      <c r="C1104" s="189" t="s">
        <v>498</v>
      </c>
      <c r="D1104" s="189" t="s">
        <v>747</v>
      </c>
      <c r="E1104" s="189" t="s">
        <v>754</v>
      </c>
      <c r="F1104" s="190" t="s">
        <v>556</v>
      </c>
      <c r="G1104" s="191">
        <f>G1105</f>
        <v>2577</v>
      </c>
      <c r="H1104" s="191">
        <f>H1105</f>
        <v>1552</v>
      </c>
      <c r="I1104" s="192">
        <f t="shared" si="87"/>
        <v>-1025</v>
      </c>
    </row>
    <row r="1105" spans="1:9" x14ac:dyDescent="0.2">
      <c r="A1105" s="189" t="s">
        <v>749</v>
      </c>
      <c r="B1105" s="190"/>
      <c r="C1105" s="189" t="s">
        <v>498</v>
      </c>
      <c r="D1105" s="189" t="s">
        <v>747</v>
      </c>
      <c r="E1105" s="189" t="s">
        <v>754</v>
      </c>
      <c r="F1105" s="190" t="s">
        <v>745</v>
      </c>
      <c r="G1105" s="191">
        <f>3139.4-562.4</f>
        <v>2577</v>
      </c>
      <c r="H1105" s="191">
        <f>3139.4-562.4-800-225</f>
        <v>1552</v>
      </c>
      <c r="I1105" s="192">
        <f t="shared" si="87"/>
        <v>-1025</v>
      </c>
    </row>
    <row r="1106" spans="1:9" x14ac:dyDescent="0.2">
      <c r="A1106" s="189" t="s">
        <v>753</v>
      </c>
      <c r="B1106" s="190"/>
      <c r="C1106" s="189" t="s">
        <v>498</v>
      </c>
      <c r="D1106" s="189" t="s">
        <v>747</v>
      </c>
      <c r="E1106" s="189" t="s">
        <v>751</v>
      </c>
      <c r="F1106" s="190"/>
      <c r="G1106" s="191">
        <f>G1107+G1109+G1111</f>
        <v>15912.2</v>
      </c>
      <c r="H1106" s="191">
        <f>H1107+H1109+H1111</f>
        <v>15912.2</v>
      </c>
      <c r="I1106" s="192">
        <f t="shared" si="87"/>
        <v>0</v>
      </c>
    </row>
    <row r="1107" spans="1:9" ht="36" x14ac:dyDescent="0.2">
      <c r="A1107" s="189" t="s">
        <v>1348</v>
      </c>
      <c r="B1107" s="190"/>
      <c r="C1107" s="189" t="s">
        <v>498</v>
      </c>
      <c r="D1107" s="189" t="s">
        <v>747</v>
      </c>
      <c r="E1107" s="189" t="s">
        <v>751</v>
      </c>
      <c r="F1107" s="190" t="s">
        <v>556</v>
      </c>
      <c r="G1107" s="191">
        <f>G1108</f>
        <v>13229.800000000001</v>
      </c>
      <c r="H1107" s="191">
        <f>H1108</f>
        <v>13229.800000000001</v>
      </c>
      <c r="I1107" s="192">
        <f t="shared" si="87"/>
        <v>0</v>
      </c>
    </row>
    <row r="1108" spans="1:9" x14ac:dyDescent="0.2">
      <c r="A1108" s="189" t="s">
        <v>749</v>
      </c>
      <c r="B1108" s="190"/>
      <c r="C1108" s="189" t="s">
        <v>498</v>
      </c>
      <c r="D1108" s="189" t="s">
        <v>747</v>
      </c>
      <c r="E1108" s="189" t="s">
        <v>751</v>
      </c>
      <c r="F1108" s="190" t="s">
        <v>745</v>
      </c>
      <c r="G1108" s="191">
        <f>16851.5-3437.3-184.4</f>
        <v>13229.800000000001</v>
      </c>
      <c r="H1108" s="191">
        <f>16851.5-3437.3-184.4</f>
        <v>13229.800000000001</v>
      </c>
      <c r="I1108" s="192">
        <f t="shared" si="87"/>
        <v>0</v>
      </c>
    </row>
    <row r="1109" spans="1:9" x14ac:dyDescent="0.2">
      <c r="A1109" s="189" t="s">
        <v>1347</v>
      </c>
      <c r="B1109" s="190"/>
      <c r="C1109" s="189" t="s">
        <v>498</v>
      </c>
      <c r="D1109" s="189" t="s">
        <v>747</v>
      </c>
      <c r="E1109" s="189" t="s">
        <v>751</v>
      </c>
      <c r="F1109" s="190" t="s">
        <v>535</v>
      </c>
      <c r="G1109" s="191">
        <f>G1110</f>
        <v>2644.4</v>
      </c>
      <c r="H1109" s="191">
        <f>H1110</f>
        <v>2644.4</v>
      </c>
      <c r="I1109" s="192">
        <f t="shared" si="87"/>
        <v>0</v>
      </c>
    </row>
    <row r="1110" spans="1:9" ht="24" x14ac:dyDescent="0.2">
      <c r="A1110" s="189" t="s">
        <v>534</v>
      </c>
      <c r="B1110" s="190"/>
      <c r="C1110" s="189" t="s">
        <v>498</v>
      </c>
      <c r="D1110" s="189" t="s">
        <v>747</v>
      </c>
      <c r="E1110" s="189" t="s">
        <v>751</v>
      </c>
      <c r="F1110" s="190" t="s">
        <v>529</v>
      </c>
      <c r="G1110" s="191">
        <v>2644.4</v>
      </c>
      <c r="H1110" s="191">
        <v>2644.4</v>
      </c>
      <c r="I1110" s="192">
        <f t="shared" si="87"/>
        <v>0</v>
      </c>
    </row>
    <row r="1111" spans="1:9" x14ac:dyDescent="0.2">
      <c r="A1111" s="189" t="s">
        <v>615</v>
      </c>
      <c r="B1111" s="190"/>
      <c r="C1111" s="189" t="s">
        <v>498</v>
      </c>
      <c r="D1111" s="189" t="s">
        <v>747</v>
      </c>
      <c r="E1111" s="189" t="s">
        <v>751</v>
      </c>
      <c r="F1111" s="190" t="s">
        <v>509</v>
      </c>
      <c r="G1111" s="191">
        <f>G1112</f>
        <v>38</v>
      </c>
      <c r="H1111" s="191">
        <f>H1112</f>
        <v>38</v>
      </c>
      <c r="I1111" s="192">
        <f t="shared" si="87"/>
        <v>0</v>
      </c>
    </row>
    <row r="1112" spans="1:9" x14ac:dyDescent="0.2">
      <c r="A1112" s="189" t="s">
        <v>752</v>
      </c>
      <c r="B1112" s="190"/>
      <c r="C1112" s="189" t="s">
        <v>498</v>
      </c>
      <c r="D1112" s="189" t="s">
        <v>747</v>
      </c>
      <c r="E1112" s="189" t="s">
        <v>751</v>
      </c>
      <c r="F1112" s="190" t="s">
        <v>750</v>
      </c>
      <c r="G1112" s="191">
        <v>38</v>
      </c>
      <c r="H1112" s="191">
        <v>38</v>
      </c>
      <c r="I1112" s="192">
        <f t="shared" si="87"/>
        <v>0</v>
      </c>
    </row>
    <row r="1113" spans="1:9" ht="24" x14ac:dyDescent="0.2">
      <c r="A1113" s="189" t="s">
        <v>1342</v>
      </c>
      <c r="B1113" s="190"/>
      <c r="C1113" s="189" t="s">
        <v>498</v>
      </c>
      <c r="D1113" s="189" t="s">
        <v>747</v>
      </c>
      <c r="E1113" s="189" t="s">
        <v>746</v>
      </c>
      <c r="F1113" s="190"/>
      <c r="G1113" s="191">
        <f>G1114</f>
        <v>1494.7</v>
      </c>
      <c r="H1113" s="191">
        <f>H1114</f>
        <v>2519.6999999999998</v>
      </c>
      <c r="I1113" s="192">
        <f t="shared" si="87"/>
        <v>1024.9999999999998</v>
      </c>
    </row>
    <row r="1114" spans="1:9" ht="36" x14ac:dyDescent="0.2">
      <c r="A1114" s="189" t="s">
        <v>1348</v>
      </c>
      <c r="B1114" s="190"/>
      <c r="C1114" s="189" t="s">
        <v>498</v>
      </c>
      <c r="D1114" s="189" t="s">
        <v>747</v>
      </c>
      <c r="E1114" s="189" t="s">
        <v>746</v>
      </c>
      <c r="F1114" s="190" t="s">
        <v>556</v>
      </c>
      <c r="G1114" s="191">
        <f>G1115</f>
        <v>1494.7</v>
      </c>
      <c r="H1114" s="191">
        <f>H1115</f>
        <v>2519.6999999999998</v>
      </c>
      <c r="I1114" s="192">
        <f t="shared" si="87"/>
        <v>1024.9999999999998</v>
      </c>
    </row>
    <row r="1115" spans="1:9" x14ac:dyDescent="0.2">
      <c r="A1115" s="189" t="s">
        <v>749</v>
      </c>
      <c r="B1115" s="190"/>
      <c r="C1115" s="189" t="s">
        <v>498</v>
      </c>
      <c r="D1115" s="189" t="s">
        <v>747</v>
      </c>
      <c r="E1115" s="189" t="s">
        <v>746</v>
      </c>
      <c r="F1115" s="190" t="s">
        <v>745</v>
      </c>
      <c r="G1115" s="191">
        <f>1807.2-312.5</f>
        <v>1494.7</v>
      </c>
      <c r="H1115" s="191">
        <f>1807.2-312.5+800+225</f>
        <v>2519.6999999999998</v>
      </c>
      <c r="I1115" s="192">
        <f t="shared" si="87"/>
        <v>1024.9999999999998</v>
      </c>
    </row>
    <row r="1116" spans="1:9" x14ac:dyDescent="0.2">
      <c r="A1116" s="181" t="s">
        <v>744</v>
      </c>
      <c r="B1116" s="182" t="s">
        <v>658</v>
      </c>
      <c r="C1116" s="181"/>
      <c r="D1116" s="181"/>
      <c r="E1116" s="181"/>
      <c r="F1116" s="182"/>
      <c r="G1116" s="183">
        <f>G1117+G1132+G1157+G1276</f>
        <v>5717101.8000000007</v>
      </c>
      <c r="H1116" s="183">
        <f>H1117+H1132+H1157+H1276</f>
        <v>5993687.8000000007</v>
      </c>
      <c r="I1116" s="184">
        <f t="shared" si="87"/>
        <v>276586</v>
      </c>
    </row>
    <row r="1117" spans="1:9" s="78" customFormat="1" x14ac:dyDescent="0.2">
      <c r="A1117" s="185" t="s">
        <v>606</v>
      </c>
      <c r="B1117" s="186"/>
      <c r="C1117" s="185" t="s">
        <v>498</v>
      </c>
      <c r="D1117" s="185"/>
      <c r="E1117" s="185"/>
      <c r="F1117" s="186"/>
      <c r="G1117" s="187">
        <f>G1118+G1127</f>
        <v>7389</v>
      </c>
      <c r="H1117" s="187">
        <f>H1118+H1127</f>
        <v>7498.2999999999993</v>
      </c>
      <c r="I1117" s="188">
        <f t="shared" si="87"/>
        <v>109.29999999999927</v>
      </c>
    </row>
    <row r="1118" spans="1:9" ht="24" x14ac:dyDescent="0.2">
      <c r="A1118" s="189" t="s">
        <v>605</v>
      </c>
      <c r="B1118" s="190"/>
      <c r="C1118" s="189" t="s">
        <v>498</v>
      </c>
      <c r="D1118" s="189" t="s">
        <v>507</v>
      </c>
      <c r="E1118" s="189"/>
      <c r="F1118" s="190"/>
      <c r="G1118" s="191">
        <f t="shared" ref="G1118:H1121" si="89">G1119</f>
        <v>2596.1</v>
      </c>
      <c r="H1118" s="191">
        <f t="shared" si="89"/>
        <v>2596.1</v>
      </c>
      <c r="I1118" s="192">
        <f t="shared" si="87"/>
        <v>0</v>
      </c>
    </row>
    <row r="1119" spans="1:9" x14ac:dyDescent="0.2">
      <c r="A1119" s="189" t="s">
        <v>604</v>
      </c>
      <c r="B1119" s="190"/>
      <c r="C1119" s="189" t="s">
        <v>498</v>
      </c>
      <c r="D1119" s="189" t="s">
        <v>507</v>
      </c>
      <c r="E1119" s="189" t="s">
        <v>603</v>
      </c>
      <c r="F1119" s="190"/>
      <c r="G1119" s="191">
        <f t="shared" si="89"/>
        <v>2596.1</v>
      </c>
      <c r="H1119" s="191">
        <f t="shared" si="89"/>
        <v>2596.1</v>
      </c>
      <c r="I1119" s="192">
        <f t="shared" si="87"/>
        <v>0</v>
      </c>
    </row>
    <row r="1120" spans="1:9" x14ac:dyDescent="0.2">
      <c r="A1120" s="189" t="s">
        <v>602</v>
      </c>
      <c r="B1120" s="190"/>
      <c r="C1120" s="189" t="s">
        <v>498</v>
      </c>
      <c r="D1120" s="189" t="s">
        <v>507</v>
      </c>
      <c r="E1120" s="189" t="s">
        <v>601</v>
      </c>
      <c r="F1120" s="190"/>
      <c r="G1120" s="191">
        <f t="shared" si="89"/>
        <v>2596.1</v>
      </c>
      <c r="H1120" s="191">
        <f t="shared" si="89"/>
        <v>2596.1</v>
      </c>
      <c r="I1120" s="192">
        <f t="shared" si="87"/>
        <v>0</v>
      </c>
    </row>
    <row r="1121" spans="1:9" ht="24" x14ac:dyDescent="0.2">
      <c r="A1121" s="189" t="s">
        <v>600</v>
      </c>
      <c r="B1121" s="190"/>
      <c r="C1121" s="189" t="s">
        <v>498</v>
      </c>
      <c r="D1121" s="189" t="s">
        <v>507</v>
      </c>
      <c r="E1121" s="189" t="s">
        <v>599</v>
      </c>
      <c r="F1121" s="190"/>
      <c r="G1121" s="191">
        <f t="shared" si="89"/>
        <v>2596.1</v>
      </c>
      <c r="H1121" s="191">
        <f t="shared" si="89"/>
        <v>2596.1</v>
      </c>
      <c r="I1121" s="192">
        <f t="shared" si="87"/>
        <v>0</v>
      </c>
    </row>
    <row r="1122" spans="1:9" x14ac:dyDescent="0.2">
      <c r="A1122" s="189" t="s">
        <v>598</v>
      </c>
      <c r="B1122" s="190"/>
      <c r="C1122" s="189" t="s">
        <v>498</v>
      </c>
      <c r="D1122" s="189" t="s">
        <v>507</v>
      </c>
      <c r="E1122" s="189" t="s">
        <v>597</v>
      </c>
      <c r="F1122" s="190"/>
      <c r="G1122" s="191">
        <f>G1123+G1125</f>
        <v>2596.1</v>
      </c>
      <c r="H1122" s="191">
        <f>H1123+H1125</f>
        <v>2596.1</v>
      </c>
      <c r="I1122" s="192">
        <f t="shared" si="87"/>
        <v>0</v>
      </c>
    </row>
    <row r="1123" spans="1:9" x14ac:dyDescent="0.2">
      <c r="A1123" s="189" t="s">
        <v>1347</v>
      </c>
      <c r="B1123" s="190"/>
      <c r="C1123" s="189" t="s">
        <v>498</v>
      </c>
      <c r="D1123" s="189" t="s">
        <v>507</v>
      </c>
      <c r="E1123" s="189" t="s">
        <v>597</v>
      </c>
      <c r="F1123" s="190" t="s">
        <v>535</v>
      </c>
      <c r="G1123" s="191">
        <f>G1124</f>
        <v>2578.6</v>
      </c>
      <c r="H1123" s="191">
        <f>H1124</f>
        <v>2578.6</v>
      </c>
      <c r="I1123" s="192">
        <f t="shared" si="87"/>
        <v>0</v>
      </c>
    </row>
    <row r="1124" spans="1:9" ht="24" x14ac:dyDescent="0.2">
      <c r="A1124" s="189" t="s">
        <v>534</v>
      </c>
      <c r="B1124" s="190"/>
      <c r="C1124" s="189" t="s">
        <v>498</v>
      </c>
      <c r="D1124" s="189" t="s">
        <v>507</v>
      </c>
      <c r="E1124" s="189" t="s">
        <v>597</v>
      </c>
      <c r="F1124" s="190" t="s">
        <v>529</v>
      </c>
      <c r="G1124" s="191">
        <v>2578.6</v>
      </c>
      <c r="H1124" s="191">
        <v>2578.6</v>
      </c>
      <c r="I1124" s="192">
        <f t="shared" si="87"/>
        <v>0</v>
      </c>
    </row>
    <row r="1125" spans="1:9" x14ac:dyDescent="0.2">
      <c r="A1125" s="189" t="s">
        <v>615</v>
      </c>
      <c r="B1125" s="190"/>
      <c r="C1125" s="189" t="s">
        <v>498</v>
      </c>
      <c r="D1125" s="189" t="s">
        <v>507</v>
      </c>
      <c r="E1125" s="189" t="s">
        <v>597</v>
      </c>
      <c r="F1125" s="190" t="s">
        <v>509</v>
      </c>
      <c r="G1125" s="191">
        <f>G1126</f>
        <v>17.5</v>
      </c>
      <c r="H1125" s="191">
        <f>H1126</f>
        <v>17.5</v>
      </c>
      <c r="I1125" s="192">
        <f t="shared" si="87"/>
        <v>0</v>
      </c>
    </row>
    <row r="1126" spans="1:9" x14ac:dyDescent="0.2">
      <c r="A1126" s="189" t="s">
        <v>614</v>
      </c>
      <c r="B1126" s="190"/>
      <c r="C1126" s="189" t="s">
        <v>498</v>
      </c>
      <c r="D1126" s="189" t="s">
        <v>507</v>
      </c>
      <c r="E1126" s="189" t="s">
        <v>597</v>
      </c>
      <c r="F1126" s="190" t="s">
        <v>613</v>
      </c>
      <c r="G1126" s="191">
        <v>17.5</v>
      </c>
      <c r="H1126" s="191">
        <v>17.5</v>
      </c>
      <c r="I1126" s="192">
        <f t="shared" si="87"/>
        <v>0</v>
      </c>
    </row>
    <row r="1127" spans="1:9" x14ac:dyDescent="0.2">
      <c r="A1127" s="189" t="s">
        <v>596</v>
      </c>
      <c r="B1127" s="190"/>
      <c r="C1127" s="189" t="s">
        <v>498</v>
      </c>
      <c r="D1127" s="189" t="s">
        <v>592</v>
      </c>
      <c r="E1127" s="189"/>
      <c r="F1127" s="190"/>
      <c r="G1127" s="191">
        <f t="shared" ref="G1127:H1130" si="90">G1128</f>
        <v>4792.8999999999996</v>
      </c>
      <c r="H1127" s="191">
        <f t="shared" si="90"/>
        <v>4902.2</v>
      </c>
      <c r="I1127" s="192">
        <f t="shared" si="87"/>
        <v>109.30000000000018</v>
      </c>
    </row>
    <row r="1128" spans="1:9" x14ac:dyDescent="0.2">
      <c r="A1128" s="189" t="s">
        <v>595</v>
      </c>
      <c r="B1128" s="190"/>
      <c r="C1128" s="189" t="s">
        <v>498</v>
      </c>
      <c r="D1128" s="189" t="s">
        <v>592</v>
      </c>
      <c r="E1128" s="189" t="s">
        <v>594</v>
      </c>
      <c r="F1128" s="190"/>
      <c r="G1128" s="191">
        <f t="shared" si="90"/>
        <v>4792.8999999999996</v>
      </c>
      <c r="H1128" s="191">
        <f t="shared" si="90"/>
        <v>4902.2</v>
      </c>
      <c r="I1128" s="192">
        <f t="shared" si="87"/>
        <v>109.30000000000018</v>
      </c>
    </row>
    <row r="1129" spans="1:9" ht="24" x14ac:dyDescent="0.2">
      <c r="A1129" s="189" t="s">
        <v>593</v>
      </c>
      <c r="B1129" s="190"/>
      <c r="C1129" s="189" t="s">
        <v>498</v>
      </c>
      <c r="D1129" s="189" t="s">
        <v>592</v>
      </c>
      <c r="E1129" s="189" t="s">
        <v>591</v>
      </c>
      <c r="F1129" s="190"/>
      <c r="G1129" s="191">
        <f t="shared" si="90"/>
        <v>4792.8999999999996</v>
      </c>
      <c r="H1129" s="191">
        <f t="shared" si="90"/>
        <v>4902.2</v>
      </c>
      <c r="I1129" s="192">
        <f t="shared" si="87"/>
        <v>109.30000000000018</v>
      </c>
    </row>
    <row r="1130" spans="1:9" x14ac:dyDescent="0.2">
      <c r="A1130" s="189" t="s">
        <v>1347</v>
      </c>
      <c r="B1130" s="190"/>
      <c r="C1130" s="189" t="s">
        <v>498</v>
      </c>
      <c r="D1130" s="189" t="s">
        <v>592</v>
      </c>
      <c r="E1130" s="189" t="s">
        <v>591</v>
      </c>
      <c r="F1130" s="190" t="s">
        <v>535</v>
      </c>
      <c r="G1130" s="191">
        <f t="shared" si="90"/>
        <v>4792.8999999999996</v>
      </c>
      <c r="H1130" s="191">
        <f t="shared" si="90"/>
        <v>4902.2</v>
      </c>
      <c r="I1130" s="192">
        <f t="shared" si="87"/>
        <v>109.30000000000018</v>
      </c>
    </row>
    <row r="1131" spans="1:9" ht="24" x14ac:dyDescent="0.2">
      <c r="A1131" s="189" t="s">
        <v>534</v>
      </c>
      <c r="B1131" s="190"/>
      <c r="C1131" s="189" t="s">
        <v>498</v>
      </c>
      <c r="D1131" s="189" t="s">
        <v>592</v>
      </c>
      <c r="E1131" s="189" t="s">
        <v>591</v>
      </c>
      <c r="F1131" s="190" t="s">
        <v>529</v>
      </c>
      <c r="G1131" s="191">
        <f>6000-152-289.3-765.8</f>
        <v>4792.8999999999996</v>
      </c>
      <c r="H1131" s="191">
        <f>6000-152-289.3-765.8-890.7+1000</f>
        <v>4902.2</v>
      </c>
      <c r="I1131" s="192">
        <f t="shared" si="87"/>
        <v>109.30000000000018</v>
      </c>
    </row>
    <row r="1132" spans="1:9" s="78" customFormat="1" x14ac:dyDescent="0.2">
      <c r="A1132" s="185" t="s">
        <v>590</v>
      </c>
      <c r="B1132" s="186"/>
      <c r="C1132" s="185" t="s">
        <v>507</v>
      </c>
      <c r="D1132" s="185"/>
      <c r="E1132" s="185"/>
      <c r="F1132" s="186"/>
      <c r="G1132" s="187">
        <f>G1133+G1141</f>
        <v>54488.200000000004</v>
      </c>
      <c r="H1132" s="187">
        <f>H1133+H1141</f>
        <v>22230.2</v>
      </c>
      <c r="I1132" s="188">
        <f t="shared" si="87"/>
        <v>-32258.000000000004</v>
      </c>
    </row>
    <row r="1133" spans="1:9" x14ac:dyDescent="0.2">
      <c r="A1133" s="189" t="s">
        <v>589</v>
      </c>
      <c r="B1133" s="190"/>
      <c r="C1133" s="189" t="s">
        <v>507</v>
      </c>
      <c r="D1133" s="189" t="s">
        <v>498</v>
      </c>
      <c r="E1133" s="189"/>
      <c r="F1133" s="190"/>
      <c r="G1133" s="191">
        <f t="shared" ref="G1133:H1137" si="91">G1134</f>
        <v>3310.3</v>
      </c>
      <c r="H1133" s="191">
        <f t="shared" si="91"/>
        <v>3310.3</v>
      </c>
      <c r="I1133" s="192">
        <f t="shared" si="87"/>
        <v>0</v>
      </c>
    </row>
    <row r="1134" spans="1:9" ht="24" x14ac:dyDescent="0.2">
      <c r="A1134" s="189" t="s">
        <v>588</v>
      </c>
      <c r="B1134" s="190"/>
      <c r="C1134" s="189" t="s">
        <v>507</v>
      </c>
      <c r="D1134" s="189" t="s">
        <v>498</v>
      </c>
      <c r="E1134" s="189" t="s">
        <v>587</v>
      </c>
      <c r="F1134" s="190"/>
      <c r="G1134" s="191">
        <f t="shared" si="91"/>
        <v>3310.3</v>
      </c>
      <c r="H1134" s="191">
        <f t="shared" si="91"/>
        <v>3310.3</v>
      </c>
      <c r="I1134" s="192">
        <f t="shared" si="87"/>
        <v>0</v>
      </c>
    </row>
    <row r="1135" spans="1:9" x14ac:dyDescent="0.2">
      <c r="A1135" s="189" t="s">
        <v>586</v>
      </c>
      <c r="B1135" s="190"/>
      <c r="C1135" s="189" t="s">
        <v>507</v>
      </c>
      <c r="D1135" s="189" t="s">
        <v>498</v>
      </c>
      <c r="E1135" s="189" t="s">
        <v>585</v>
      </c>
      <c r="F1135" s="190"/>
      <c r="G1135" s="191">
        <f t="shared" si="91"/>
        <v>3310.3</v>
      </c>
      <c r="H1135" s="191">
        <f t="shared" si="91"/>
        <v>3310.3</v>
      </c>
      <c r="I1135" s="192">
        <f t="shared" si="87"/>
        <v>0</v>
      </c>
    </row>
    <row r="1136" spans="1:9" ht="36" x14ac:dyDescent="0.2">
      <c r="A1136" s="189" t="s">
        <v>584</v>
      </c>
      <c r="B1136" s="190"/>
      <c r="C1136" s="189" t="s">
        <v>507</v>
      </c>
      <c r="D1136" s="189" t="s">
        <v>498</v>
      </c>
      <c r="E1136" s="189" t="s">
        <v>583</v>
      </c>
      <c r="F1136" s="190"/>
      <c r="G1136" s="191">
        <f t="shared" si="91"/>
        <v>3310.3</v>
      </c>
      <c r="H1136" s="191">
        <f t="shared" si="91"/>
        <v>3310.3</v>
      </c>
      <c r="I1136" s="192">
        <f t="shared" si="87"/>
        <v>0</v>
      </c>
    </row>
    <row r="1137" spans="1:9" ht="24" x14ac:dyDescent="0.2">
      <c r="A1137" s="189" t="s">
        <v>582</v>
      </c>
      <c r="B1137" s="190"/>
      <c r="C1137" s="189" t="s">
        <v>507</v>
      </c>
      <c r="D1137" s="189" t="s">
        <v>498</v>
      </c>
      <c r="E1137" s="189" t="s">
        <v>581</v>
      </c>
      <c r="F1137" s="190"/>
      <c r="G1137" s="191">
        <f t="shared" si="91"/>
        <v>3310.3</v>
      </c>
      <c r="H1137" s="191">
        <f t="shared" si="91"/>
        <v>3310.3</v>
      </c>
      <c r="I1137" s="192">
        <f t="shared" si="87"/>
        <v>0</v>
      </c>
    </row>
    <row r="1138" spans="1:9" ht="24" x14ac:dyDescent="0.2">
      <c r="A1138" s="189" t="s">
        <v>547</v>
      </c>
      <c r="B1138" s="190"/>
      <c r="C1138" s="189" t="s">
        <v>507</v>
      </c>
      <c r="D1138" s="189" t="s">
        <v>498</v>
      </c>
      <c r="E1138" s="189" t="s">
        <v>581</v>
      </c>
      <c r="F1138" s="190" t="s">
        <v>519</v>
      </c>
      <c r="G1138" s="191">
        <f>G1139+G1140</f>
        <v>3310.3</v>
      </c>
      <c r="H1138" s="191">
        <f>H1139+H1140</f>
        <v>3310.3</v>
      </c>
      <c r="I1138" s="192">
        <f t="shared" si="87"/>
        <v>0</v>
      </c>
    </row>
    <row r="1139" spans="1:9" x14ac:dyDescent="0.2">
      <c r="A1139" s="189" t="s">
        <v>571</v>
      </c>
      <c r="B1139" s="190"/>
      <c r="C1139" s="189" t="s">
        <v>507</v>
      </c>
      <c r="D1139" s="189" t="s">
        <v>498</v>
      </c>
      <c r="E1139" s="189" t="s">
        <v>581</v>
      </c>
      <c r="F1139" s="190" t="s">
        <v>522</v>
      </c>
      <c r="G1139" s="191">
        <f>2625.4+147.9</f>
        <v>2773.3</v>
      </c>
      <c r="H1139" s="191">
        <f>2625.4+147.9+97.7</f>
        <v>2871</v>
      </c>
      <c r="I1139" s="192">
        <f t="shared" si="87"/>
        <v>97.699999999999818</v>
      </c>
    </row>
    <row r="1140" spans="1:9" x14ac:dyDescent="0.2">
      <c r="A1140" s="189" t="s">
        <v>546</v>
      </c>
      <c r="B1140" s="190"/>
      <c r="C1140" s="189" t="s">
        <v>507</v>
      </c>
      <c r="D1140" s="189" t="s">
        <v>498</v>
      </c>
      <c r="E1140" s="189" t="s">
        <v>581</v>
      </c>
      <c r="F1140" s="190" t="s">
        <v>544</v>
      </c>
      <c r="G1140" s="191">
        <f>508.4+28.6</f>
        <v>537</v>
      </c>
      <c r="H1140" s="191">
        <f>508.4+28.6-97.7</f>
        <v>439.3</v>
      </c>
      <c r="I1140" s="192">
        <f t="shared" si="87"/>
        <v>-97.699999999999989</v>
      </c>
    </row>
    <row r="1141" spans="1:9" x14ac:dyDescent="0.2">
      <c r="A1141" s="189" t="s">
        <v>743</v>
      </c>
      <c r="B1141" s="190"/>
      <c r="C1141" s="189" t="s">
        <v>507</v>
      </c>
      <c r="D1141" s="189" t="s">
        <v>657</v>
      </c>
      <c r="E1141" s="189"/>
      <c r="F1141" s="190"/>
      <c r="G1141" s="191">
        <f t="shared" ref="G1141:H1143" si="92">G1142</f>
        <v>51177.9</v>
      </c>
      <c r="H1141" s="191">
        <f t="shared" si="92"/>
        <v>18919.900000000001</v>
      </c>
      <c r="I1141" s="192">
        <f t="shared" si="87"/>
        <v>-32258</v>
      </c>
    </row>
    <row r="1142" spans="1:9" x14ac:dyDescent="0.2">
      <c r="A1142" s="189" t="s">
        <v>742</v>
      </c>
      <c r="B1142" s="190"/>
      <c r="C1142" s="189" t="s">
        <v>507</v>
      </c>
      <c r="D1142" s="189" t="s">
        <v>657</v>
      </c>
      <c r="E1142" s="189" t="s">
        <v>741</v>
      </c>
      <c r="F1142" s="190"/>
      <c r="G1142" s="191">
        <f t="shared" si="92"/>
        <v>51177.9</v>
      </c>
      <c r="H1142" s="191">
        <f t="shared" si="92"/>
        <v>18919.900000000001</v>
      </c>
      <c r="I1142" s="192">
        <f t="shared" si="87"/>
        <v>-32258</v>
      </c>
    </row>
    <row r="1143" spans="1:9" ht="24" x14ac:dyDescent="0.2">
      <c r="A1143" s="189" t="s">
        <v>740</v>
      </c>
      <c r="B1143" s="190"/>
      <c r="C1143" s="189" t="s">
        <v>507</v>
      </c>
      <c r="D1143" s="189" t="s">
        <v>657</v>
      </c>
      <c r="E1143" s="189" t="s">
        <v>739</v>
      </c>
      <c r="F1143" s="190"/>
      <c r="G1143" s="191">
        <f t="shared" si="92"/>
        <v>51177.9</v>
      </c>
      <c r="H1143" s="191">
        <f t="shared" si="92"/>
        <v>18919.900000000001</v>
      </c>
      <c r="I1143" s="192">
        <f t="shared" si="87"/>
        <v>-32258</v>
      </c>
    </row>
    <row r="1144" spans="1:9" x14ac:dyDescent="0.2">
      <c r="A1144" s="189" t="s">
        <v>738</v>
      </c>
      <c r="B1144" s="190"/>
      <c r="C1144" s="189" t="s">
        <v>507</v>
      </c>
      <c r="D1144" s="189" t="s">
        <v>657</v>
      </c>
      <c r="E1144" s="189" t="s">
        <v>737</v>
      </c>
      <c r="F1144" s="190"/>
      <c r="G1144" s="191">
        <f>G1145+G1148+G1151+G1154</f>
        <v>51177.9</v>
      </c>
      <c r="H1144" s="191">
        <f>H1145+H1148+H1151+H1154</f>
        <v>18919.900000000001</v>
      </c>
      <c r="I1144" s="192">
        <f t="shared" si="87"/>
        <v>-32258</v>
      </c>
    </row>
    <row r="1145" spans="1:9" ht="24" x14ac:dyDescent="0.2">
      <c r="A1145" s="189" t="s">
        <v>736</v>
      </c>
      <c r="B1145" s="190"/>
      <c r="C1145" s="189" t="s">
        <v>507</v>
      </c>
      <c r="D1145" s="189" t="s">
        <v>657</v>
      </c>
      <c r="E1145" s="189" t="s">
        <v>735</v>
      </c>
      <c r="F1145" s="190"/>
      <c r="G1145" s="191">
        <f>G1146</f>
        <v>6946.9</v>
      </c>
      <c r="H1145" s="191">
        <f>H1146</f>
        <v>6946.9</v>
      </c>
      <c r="I1145" s="192">
        <f t="shared" ref="I1145:I1220" si="93">H1145-G1145</f>
        <v>0</v>
      </c>
    </row>
    <row r="1146" spans="1:9" s="303" customFormat="1" x14ac:dyDescent="0.2">
      <c r="A1146" s="189" t="s">
        <v>1347</v>
      </c>
      <c r="B1146" s="190"/>
      <c r="C1146" s="189" t="s">
        <v>507</v>
      </c>
      <c r="D1146" s="189" t="s">
        <v>657</v>
      </c>
      <c r="E1146" s="189" t="s">
        <v>735</v>
      </c>
      <c r="F1146" s="190">
        <v>200</v>
      </c>
      <c r="G1146" s="191">
        <f>G1147</f>
        <v>6946.9</v>
      </c>
      <c r="H1146" s="191">
        <f>H1147</f>
        <v>6946.9</v>
      </c>
      <c r="I1146" s="192">
        <f t="shared" si="93"/>
        <v>0</v>
      </c>
    </row>
    <row r="1147" spans="1:9" s="303" customFormat="1" ht="24" x14ac:dyDescent="0.2">
      <c r="A1147" s="189" t="s">
        <v>534</v>
      </c>
      <c r="B1147" s="190"/>
      <c r="C1147" s="189" t="s">
        <v>507</v>
      </c>
      <c r="D1147" s="189" t="s">
        <v>657</v>
      </c>
      <c r="E1147" s="189" t="s">
        <v>735</v>
      </c>
      <c r="F1147" s="190">
        <v>240</v>
      </c>
      <c r="G1147" s="191">
        <v>6946.9</v>
      </c>
      <c r="H1147" s="191">
        <v>6946.9</v>
      </c>
      <c r="I1147" s="192">
        <f t="shared" si="93"/>
        <v>0</v>
      </c>
    </row>
    <row r="1148" spans="1:9" ht="48" x14ac:dyDescent="0.2">
      <c r="A1148" s="189" t="s">
        <v>734</v>
      </c>
      <c r="B1148" s="190"/>
      <c r="C1148" s="189" t="s">
        <v>507</v>
      </c>
      <c r="D1148" s="189" t="s">
        <v>657</v>
      </c>
      <c r="E1148" s="189" t="s">
        <v>733</v>
      </c>
      <c r="F1148" s="190"/>
      <c r="G1148" s="191">
        <f>G1149</f>
        <v>903</v>
      </c>
      <c r="H1148" s="191">
        <f>H1149</f>
        <v>903</v>
      </c>
      <c r="I1148" s="192">
        <f t="shared" si="93"/>
        <v>0</v>
      </c>
    </row>
    <row r="1149" spans="1:9" s="378" customFormat="1" x14ac:dyDescent="0.2">
      <c r="A1149" s="189" t="s">
        <v>1347</v>
      </c>
      <c r="B1149" s="190"/>
      <c r="C1149" s="189" t="s">
        <v>507</v>
      </c>
      <c r="D1149" s="189" t="s">
        <v>657</v>
      </c>
      <c r="E1149" s="189" t="s">
        <v>733</v>
      </c>
      <c r="F1149" s="190">
        <v>200</v>
      </c>
      <c r="G1149" s="191">
        <f>G1150</f>
        <v>903</v>
      </c>
      <c r="H1149" s="191">
        <f>H1150</f>
        <v>903</v>
      </c>
      <c r="I1149" s="192">
        <f t="shared" si="93"/>
        <v>0</v>
      </c>
    </row>
    <row r="1150" spans="1:9" s="378" customFormat="1" ht="24" x14ac:dyDescent="0.2">
      <c r="A1150" s="189" t="s">
        <v>534</v>
      </c>
      <c r="B1150" s="190"/>
      <c r="C1150" s="189" t="s">
        <v>507</v>
      </c>
      <c r="D1150" s="189" t="s">
        <v>657</v>
      </c>
      <c r="E1150" s="189" t="s">
        <v>733</v>
      </c>
      <c r="F1150" s="190">
        <v>240</v>
      </c>
      <c r="G1150" s="191">
        <v>903</v>
      </c>
      <c r="H1150" s="191">
        <v>903</v>
      </c>
      <c r="I1150" s="192">
        <f t="shared" si="93"/>
        <v>0</v>
      </c>
    </row>
    <row r="1151" spans="1:9" ht="24" x14ac:dyDescent="0.2">
      <c r="A1151" s="189" t="s">
        <v>732</v>
      </c>
      <c r="B1151" s="190"/>
      <c r="C1151" s="189" t="s">
        <v>507</v>
      </c>
      <c r="D1151" s="189" t="s">
        <v>657</v>
      </c>
      <c r="E1151" s="189" t="s">
        <v>731</v>
      </c>
      <c r="F1151" s="190"/>
      <c r="G1151" s="191">
        <f>G1152</f>
        <v>11070</v>
      </c>
      <c r="H1151" s="191">
        <f>H1152</f>
        <v>11070</v>
      </c>
      <c r="I1151" s="192">
        <f t="shared" si="93"/>
        <v>0</v>
      </c>
    </row>
    <row r="1152" spans="1:9" s="307" customFormat="1" x14ac:dyDescent="0.2">
      <c r="A1152" s="189" t="s">
        <v>1347</v>
      </c>
      <c r="B1152" s="190"/>
      <c r="C1152" s="189" t="s">
        <v>507</v>
      </c>
      <c r="D1152" s="189" t="s">
        <v>657</v>
      </c>
      <c r="E1152" s="189" t="s">
        <v>731</v>
      </c>
      <c r="F1152" s="190">
        <v>200</v>
      </c>
      <c r="G1152" s="191">
        <f>G1153</f>
        <v>11070</v>
      </c>
      <c r="H1152" s="191">
        <f>H1153</f>
        <v>11070</v>
      </c>
      <c r="I1152" s="192">
        <f t="shared" si="93"/>
        <v>0</v>
      </c>
    </row>
    <row r="1153" spans="1:9" s="307" customFormat="1" ht="24" x14ac:dyDescent="0.2">
      <c r="A1153" s="189" t="s">
        <v>534</v>
      </c>
      <c r="B1153" s="190"/>
      <c r="C1153" s="189" t="s">
        <v>507</v>
      </c>
      <c r="D1153" s="189" t="s">
        <v>657</v>
      </c>
      <c r="E1153" s="189" t="s">
        <v>731</v>
      </c>
      <c r="F1153" s="190">
        <v>240</v>
      </c>
      <c r="G1153" s="191">
        <f>6918+4152</f>
        <v>11070</v>
      </c>
      <c r="H1153" s="191">
        <f>6918+4152</f>
        <v>11070</v>
      </c>
      <c r="I1153" s="192">
        <f t="shared" si="93"/>
        <v>0</v>
      </c>
    </row>
    <row r="1154" spans="1:9" ht="24" x14ac:dyDescent="0.2">
      <c r="A1154" s="189" t="s">
        <v>730</v>
      </c>
      <c r="B1154" s="190"/>
      <c r="C1154" s="189" t="s">
        <v>507</v>
      </c>
      <c r="D1154" s="189" t="s">
        <v>657</v>
      </c>
      <c r="E1154" s="189" t="s">
        <v>729</v>
      </c>
      <c r="F1154" s="190"/>
      <c r="G1154" s="191">
        <f>G1155</f>
        <v>32258</v>
      </c>
      <c r="H1154" s="191">
        <f>H1155</f>
        <v>0</v>
      </c>
      <c r="I1154" s="192">
        <f t="shared" si="93"/>
        <v>-32258</v>
      </c>
    </row>
    <row r="1155" spans="1:9" s="307" customFormat="1" x14ac:dyDescent="0.2">
      <c r="A1155" s="189" t="s">
        <v>1347</v>
      </c>
      <c r="B1155" s="190"/>
      <c r="C1155" s="189" t="s">
        <v>507</v>
      </c>
      <c r="D1155" s="189" t="s">
        <v>657</v>
      </c>
      <c r="E1155" s="189" t="s">
        <v>729</v>
      </c>
      <c r="F1155" s="190">
        <v>200</v>
      </c>
      <c r="G1155" s="191">
        <f>G1156</f>
        <v>32258</v>
      </c>
      <c r="H1155" s="191">
        <f>H1156</f>
        <v>0</v>
      </c>
      <c r="I1155" s="192">
        <f t="shared" si="93"/>
        <v>-32258</v>
      </c>
    </row>
    <row r="1156" spans="1:9" s="307" customFormat="1" ht="24" x14ac:dyDescent="0.2">
      <c r="A1156" s="189" t="s">
        <v>534</v>
      </c>
      <c r="B1156" s="190"/>
      <c r="C1156" s="189" t="s">
        <v>507</v>
      </c>
      <c r="D1156" s="189" t="s">
        <v>657</v>
      </c>
      <c r="E1156" s="189" t="s">
        <v>729</v>
      </c>
      <c r="F1156" s="190">
        <v>240</v>
      </c>
      <c r="G1156" s="191">
        <f>32258</f>
        <v>32258</v>
      </c>
      <c r="H1156" s="191">
        <f>32258-32258</f>
        <v>0</v>
      </c>
      <c r="I1156" s="192">
        <f t="shared" si="93"/>
        <v>-32258</v>
      </c>
    </row>
    <row r="1157" spans="1:9" s="78" customFormat="1" x14ac:dyDescent="0.2">
      <c r="A1157" s="185" t="s">
        <v>612</v>
      </c>
      <c r="B1157" s="186"/>
      <c r="C1157" s="185" t="s">
        <v>609</v>
      </c>
      <c r="D1157" s="185"/>
      <c r="E1157" s="185"/>
      <c r="F1157" s="186"/>
      <c r="G1157" s="187">
        <f>G1158+G1184+G1228+G1252</f>
        <v>5548601.6000000006</v>
      </c>
      <c r="H1157" s="187">
        <f>H1158+H1184+H1228+H1252</f>
        <v>5875108.3000000007</v>
      </c>
      <c r="I1157" s="188">
        <f t="shared" si="93"/>
        <v>326506.70000000019</v>
      </c>
    </row>
    <row r="1158" spans="1:9" x14ac:dyDescent="0.2">
      <c r="A1158" s="189" t="s">
        <v>728</v>
      </c>
      <c r="B1158" s="190"/>
      <c r="C1158" s="189" t="s">
        <v>609</v>
      </c>
      <c r="D1158" s="189" t="s">
        <v>498</v>
      </c>
      <c r="E1158" s="189"/>
      <c r="F1158" s="190"/>
      <c r="G1158" s="191">
        <f>G1159</f>
        <v>2064466.4</v>
      </c>
      <c r="H1158" s="191">
        <f>H1159</f>
        <v>2079626.1</v>
      </c>
      <c r="I1158" s="192">
        <f t="shared" si="93"/>
        <v>15159.700000000186</v>
      </c>
    </row>
    <row r="1159" spans="1:9" x14ac:dyDescent="0.2">
      <c r="A1159" s="189" t="s">
        <v>666</v>
      </c>
      <c r="B1159" s="190"/>
      <c r="C1159" s="189" t="s">
        <v>609</v>
      </c>
      <c r="D1159" s="189" t="s">
        <v>498</v>
      </c>
      <c r="E1159" s="189" t="s">
        <v>665</v>
      </c>
      <c r="F1159" s="190"/>
      <c r="G1159" s="191">
        <f>G1160</f>
        <v>2064466.4</v>
      </c>
      <c r="H1159" s="191">
        <f>H1160</f>
        <v>2079626.1</v>
      </c>
      <c r="I1159" s="192">
        <f t="shared" si="93"/>
        <v>15159.700000000186</v>
      </c>
    </row>
    <row r="1160" spans="1:9" x14ac:dyDescent="0.2">
      <c r="A1160" s="189" t="s">
        <v>664</v>
      </c>
      <c r="B1160" s="190"/>
      <c r="C1160" s="189" t="s">
        <v>609</v>
      </c>
      <c r="D1160" s="189" t="s">
        <v>498</v>
      </c>
      <c r="E1160" s="189" t="s">
        <v>663</v>
      </c>
      <c r="F1160" s="190"/>
      <c r="G1160" s="191">
        <f>G1161+G1177</f>
        <v>2064466.4</v>
      </c>
      <c r="H1160" s="191">
        <f>H1161+H1177</f>
        <v>2079626.1</v>
      </c>
      <c r="I1160" s="192">
        <f t="shared" si="93"/>
        <v>15159.700000000186</v>
      </c>
    </row>
    <row r="1161" spans="1:9" ht="24" x14ac:dyDescent="0.2">
      <c r="A1161" s="189" t="s">
        <v>662</v>
      </c>
      <c r="B1161" s="190"/>
      <c r="C1161" s="189" t="s">
        <v>609</v>
      </c>
      <c r="D1161" s="189" t="s">
        <v>498</v>
      </c>
      <c r="E1161" s="189" t="s">
        <v>661</v>
      </c>
      <c r="F1161" s="190"/>
      <c r="G1161" s="191">
        <f>G1162+G1166+G1170+G1173</f>
        <v>2049660.2</v>
      </c>
      <c r="H1161" s="191">
        <f>H1162+H1166+H1170+H1173</f>
        <v>2060961.9000000001</v>
      </c>
      <c r="I1161" s="192">
        <f t="shared" si="93"/>
        <v>11301.700000000186</v>
      </c>
    </row>
    <row r="1162" spans="1:9" ht="24" x14ac:dyDescent="0.2">
      <c r="A1162" s="189" t="s">
        <v>727</v>
      </c>
      <c r="B1162" s="190"/>
      <c r="C1162" s="189" t="s">
        <v>609</v>
      </c>
      <c r="D1162" s="189" t="s">
        <v>498</v>
      </c>
      <c r="E1162" s="189" t="s">
        <v>726</v>
      </c>
      <c r="F1162" s="190"/>
      <c r="G1162" s="191">
        <f>G1163</f>
        <v>452005.9</v>
      </c>
      <c r="H1162" s="191">
        <f>H1163</f>
        <v>473651.6</v>
      </c>
      <c r="I1162" s="192">
        <f t="shared" si="93"/>
        <v>21645.699999999953</v>
      </c>
    </row>
    <row r="1163" spans="1:9" ht="24" x14ac:dyDescent="0.2">
      <c r="A1163" s="189" t="s">
        <v>547</v>
      </c>
      <c r="B1163" s="190"/>
      <c r="C1163" s="189" t="s">
        <v>609</v>
      </c>
      <c r="D1163" s="189" t="s">
        <v>498</v>
      </c>
      <c r="E1163" s="189" t="s">
        <v>726</v>
      </c>
      <c r="F1163" s="190" t="s">
        <v>519</v>
      </c>
      <c r="G1163" s="191">
        <f>G1164+G1165</f>
        <v>452005.9</v>
      </c>
      <c r="H1163" s="191">
        <f>H1164+H1165</f>
        <v>473651.6</v>
      </c>
      <c r="I1163" s="192">
        <f t="shared" si="93"/>
        <v>21645.699999999953</v>
      </c>
    </row>
    <row r="1164" spans="1:9" x14ac:dyDescent="0.2">
      <c r="A1164" s="189" t="s">
        <v>571</v>
      </c>
      <c r="B1164" s="190"/>
      <c r="C1164" s="189" t="s">
        <v>609</v>
      </c>
      <c r="D1164" s="189" t="s">
        <v>498</v>
      </c>
      <c r="E1164" s="189" t="s">
        <v>726</v>
      </c>
      <c r="F1164" s="190" t="s">
        <v>522</v>
      </c>
      <c r="G1164" s="191">
        <f>370180.9+152+864.2+176.5+65.3+158+21403.6</f>
        <v>393000.5</v>
      </c>
      <c r="H1164" s="191">
        <f>370180.9+152+864.2+176.5+65.3+158+21403.6+17027.1</f>
        <v>410027.6</v>
      </c>
      <c r="I1164" s="192">
        <f t="shared" si="93"/>
        <v>17027.099999999977</v>
      </c>
    </row>
    <row r="1165" spans="1:9" x14ac:dyDescent="0.2">
      <c r="A1165" s="189" t="s">
        <v>546</v>
      </c>
      <c r="B1165" s="190"/>
      <c r="C1165" s="189" t="s">
        <v>609</v>
      </c>
      <c r="D1165" s="189" t="s">
        <v>498</v>
      </c>
      <c r="E1165" s="189" t="s">
        <v>726</v>
      </c>
      <c r="F1165" s="190" t="s">
        <v>544</v>
      </c>
      <c r="G1165" s="191">
        <f>55640.9+62.8+3301.7</f>
        <v>59005.4</v>
      </c>
      <c r="H1165" s="191">
        <f>55640.9+62.8+3301.7+4427.9+190.7</f>
        <v>63624</v>
      </c>
      <c r="I1165" s="192">
        <f t="shared" si="93"/>
        <v>4618.5999999999985</v>
      </c>
    </row>
    <row r="1166" spans="1:9" ht="60" x14ac:dyDescent="0.2">
      <c r="A1166" s="189" t="s">
        <v>725</v>
      </c>
      <c r="B1166" s="190"/>
      <c r="C1166" s="189" t="s">
        <v>609</v>
      </c>
      <c r="D1166" s="189" t="s">
        <v>498</v>
      </c>
      <c r="E1166" s="189" t="s">
        <v>724</v>
      </c>
      <c r="F1166" s="190"/>
      <c r="G1166" s="191">
        <f>G1167</f>
        <v>1501775</v>
      </c>
      <c r="H1166" s="191">
        <f>H1167</f>
        <v>1490318</v>
      </c>
      <c r="I1166" s="192">
        <f t="shared" si="93"/>
        <v>-11457</v>
      </c>
    </row>
    <row r="1167" spans="1:9" ht="24" x14ac:dyDescent="0.2">
      <c r="A1167" s="189" t="s">
        <v>547</v>
      </c>
      <c r="B1167" s="190"/>
      <c r="C1167" s="189" t="s">
        <v>609</v>
      </c>
      <c r="D1167" s="189" t="s">
        <v>498</v>
      </c>
      <c r="E1167" s="189" t="s">
        <v>724</v>
      </c>
      <c r="F1167" s="190" t="s">
        <v>519</v>
      </c>
      <c r="G1167" s="191">
        <f>G1168+G1169</f>
        <v>1501775</v>
      </c>
      <c r="H1167" s="191">
        <f>H1168+H1169</f>
        <v>1490318</v>
      </c>
      <c r="I1167" s="192">
        <f t="shared" si="93"/>
        <v>-11457</v>
      </c>
    </row>
    <row r="1168" spans="1:9" x14ac:dyDescent="0.2">
      <c r="A1168" s="189" t="s">
        <v>571</v>
      </c>
      <c r="B1168" s="190"/>
      <c r="C1168" s="189" t="s">
        <v>609</v>
      </c>
      <c r="D1168" s="189" t="s">
        <v>498</v>
      </c>
      <c r="E1168" s="189" t="s">
        <v>724</v>
      </c>
      <c r="F1168" s="190" t="s">
        <v>522</v>
      </c>
      <c r="G1168" s="191">
        <f>1313233+1329</f>
        <v>1314562</v>
      </c>
      <c r="H1168" s="191">
        <f>1313233+1329-11630</f>
        <v>1302932</v>
      </c>
      <c r="I1168" s="192">
        <f t="shared" si="93"/>
        <v>-11630</v>
      </c>
    </row>
    <row r="1169" spans="1:9" x14ac:dyDescent="0.2">
      <c r="A1169" s="189" t="s">
        <v>546</v>
      </c>
      <c r="B1169" s="190"/>
      <c r="C1169" s="189" t="s">
        <v>609</v>
      </c>
      <c r="D1169" s="189" t="s">
        <v>498</v>
      </c>
      <c r="E1169" s="189" t="s">
        <v>724</v>
      </c>
      <c r="F1169" s="190" t="s">
        <v>544</v>
      </c>
      <c r="G1169" s="191">
        <f>188542-1329</f>
        <v>187213</v>
      </c>
      <c r="H1169" s="191">
        <f>188542-1329+173</f>
        <v>187386</v>
      </c>
      <c r="I1169" s="192">
        <f t="shared" si="93"/>
        <v>173</v>
      </c>
    </row>
    <row r="1170" spans="1:9" ht="48" x14ac:dyDescent="0.2">
      <c r="A1170" s="189" t="s">
        <v>723</v>
      </c>
      <c r="B1170" s="190"/>
      <c r="C1170" s="189" t="s">
        <v>609</v>
      </c>
      <c r="D1170" s="189" t="s">
        <v>498</v>
      </c>
      <c r="E1170" s="189" t="s">
        <v>722</v>
      </c>
      <c r="F1170" s="190"/>
      <c r="G1170" s="191">
        <f>G1171</f>
        <v>29989</v>
      </c>
      <c r="H1170" s="191">
        <f>H1171</f>
        <v>55557</v>
      </c>
      <c r="I1170" s="192">
        <f t="shared" si="93"/>
        <v>25568</v>
      </c>
    </row>
    <row r="1171" spans="1:9" ht="24" x14ac:dyDescent="0.2">
      <c r="A1171" s="189" t="s">
        <v>547</v>
      </c>
      <c r="B1171" s="190"/>
      <c r="C1171" s="189" t="s">
        <v>609</v>
      </c>
      <c r="D1171" s="189" t="s">
        <v>498</v>
      </c>
      <c r="E1171" s="189" t="s">
        <v>722</v>
      </c>
      <c r="F1171" s="190" t="s">
        <v>519</v>
      </c>
      <c r="G1171" s="191">
        <f>G1172</f>
        <v>29989</v>
      </c>
      <c r="H1171" s="191">
        <f>H1172</f>
        <v>55557</v>
      </c>
      <c r="I1171" s="192">
        <f t="shared" si="93"/>
        <v>25568</v>
      </c>
    </row>
    <row r="1172" spans="1:9" ht="24" x14ac:dyDescent="0.2">
      <c r="A1172" s="189" t="s">
        <v>705</v>
      </c>
      <c r="B1172" s="190"/>
      <c r="C1172" s="189" t="s">
        <v>609</v>
      </c>
      <c r="D1172" s="189" t="s">
        <v>498</v>
      </c>
      <c r="E1172" s="189" t="s">
        <v>722</v>
      </c>
      <c r="F1172" s="190" t="s">
        <v>703</v>
      </c>
      <c r="G1172" s="191">
        <v>29989</v>
      </c>
      <c r="H1172" s="191">
        <f>29989+25568</f>
        <v>55557</v>
      </c>
      <c r="I1172" s="192">
        <f t="shared" si="93"/>
        <v>25568</v>
      </c>
    </row>
    <row r="1173" spans="1:9" ht="72" x14ac:dyDescent="0.2">
      <c r="A1173" s="189" t="s">
        <v>721</v>
      </c>
      <c r="B1173" s="190"/>
      <c r="C1173" s="189" t="s">
        <v>609</v>
      </c>
      <c r="D1173" s="189" t="s">
        <v>498</v>
      </c>
      <c r="E1173" s="189" t="s">
        <v>720</v>
      </c>
      <c r="F1173" s="190"/>
      <c r="G1173" s="191">
        <f>G1174</f>
        <v>65890.3</v>
      </c>
      <c r="H1173" s="191">
        <f>H1174</f>
        <v>41435.300000000003</v>
      </c>
      <c r="I1173" s="192">
        <f t="shared" si="93"/>
        <v>-24455</v>
      </c>
    </row>
    <row r="1174" spans="1:9" ht="24" x14ac:dyDescent="0.2">
      <c r="A1174" s="189" t="s">
        <v>547</v>
      </c>
      <c r="B1174" s="190"/>
      <c r="C1174" s="189" t="s">
        <v>609</v>
      </c>
      <c r="D1174" s="189" t="s">
        <v>498</v>
      </c>
      <c r="E1174" s="189" t="s">
        <v>720</v>
      </c>
      <c r="F1174" s="190" t="s">
        <v>519</v>
      </c>
      <c r="G1174" s="191">
        <f>G1175+G1176</f>
        <v>65890.3</v>
      </c>
      <c r="H1174" s="191">
        <f>H1175+H1176</f>
        <v>41435.300000000003</v>
      </c>
      <c r="I1174" s="192">
        <f t="shared" si="93"/>
        <v>-24455</v>
      </c>
    </row>
    <row r="1175" spans="1:9" x14ac:dyDescent="0.2">
      <c r="A1175" s="189" t="s">
        <v>571</v>
      </c>
      <c r="B1175" s="190"/>
      <c r="C1175" s="189" t="s">
        <v>609</v>
      </c>
      <c r="D1175" s="189" t="s">
        <v>498</v>
      </c>
      <c r="E1175" s="189" t="s">
        <v>720</v>
      </c>
      <c r="F1175" s="190" t="s">
        <v>522</v>
      </c>
      <c r="G1175" s="191">
        <f>40178+17908.8</f>
        <v>58086.8</v>
      </c>
      <c r="H1175" s="191">
        <f>40178+17908.8-21810</f>
        <v>36276.800000000003</v>
      </c>
      <c r="I1175" s="192">
        <f t="shared" si="93"/>
        <v>-21810</v>
      </c>
    </row>
    <row r="1176" spans="1:9" x14ac:dyDescent="0.2">
      <c r="A1176" s="189" t="s">
        <v>546</v>
      </c>
      <c r="B1176" s="190"/>
      <c r="C1176" s="189" t="s">
        <v>609</v>
      </c>
      <c r="D1176" s="189" t="s">
        <v>498</v>
      </c>
      <c r="E1176" s="189" t="s">
        <v>720</v>
      </c>
      <c r="F1176" s="190" t="s">
        <v>544</v>
      </c>
      <c r="G1176" s="191">
        <f>5417.6+2385.9</f>
        <v>7803.5</v>
      </c>
      <c r="H1176" s="191">
        <f>5417.6+2385.9-2645</f>
        <v>5158.5</v>
      </c>
      <c r="I1176" s="192">
        <f t="shared" si="93"/>
        <v>-2645</v>
      </c>
    </row>
    <row r="1177" spans="1:9" s="289" customFormat="1" ht="24" x14ac:dyDescent="0.2">
      <c r="A1177" s="189" t="s">
        <v>1401</v>
      </c>
      <c r="B1177" s="190"/>
      <c r="C1177" s="189" t="s">
        <v>609</v>
      </c>
      <c r="D1177" s="189" t="s">
        <v>498</v>
      </c>
      <c r="E1177" s="189" t="s">
        <v>1400</v>
      </c>
      <c r="F1177" s="190"/>
      <c r="G1177" s="191">
        <f>G1178+G1181</f>
        <v>14806.2</v>
      </c>
      <c r="H1177" s="191">
        <f>H1178+H1181</f>
        <v>18664.2</v>
      </c>
      <c r="I1177" s="192">
        <f t="shared" si="93"/>
        <v>3858</v>
      </c>
    </row>
    <row r="1178" spans="1:9" s="289" customFormat="1" ht="60" x14ac:dyDescent="0.2">
      <c r="A1178" s="189" t="s">
        <v>1402</v>
      </c>
      <c r="B1178" s="190"/>
      <c r="C1178" s="189" t="s">
        <v>609</v>
      </c>
      <c r="D1178" s="189" t="s">
        <v>498</v>
      </c>
      <c r="E1178" s="189" t="s">
        <v>1403</v>
      </c>
      <c r="F1178" s="190"/>
      <c r="G1178" s="191">
        <f t="shared" ref="G1178:H1179" si="94">G1179</f>
        <v>12492.2</v>
      </c>
      <c r="H1178" s="191">
        <f t="shared" si="94"/>
        <v>12492.2</v>
      </c>
      <c r="I1178" s="192">
        <f t="shared" si="93"/>
        <v>0</v>
      </c>
    </row>
    <row r="1179" spans="1:9" s="289" customFormat="1" ht="24" x14ac:dyDescent="0.2">
      <c r="A1179" s="189" t="s">
        <v>547</v>
      </c>
      <c r="B1179" s="190"/>
      <c r="C1179" s="189" t="s">
        <v>609</v>
      </c>
      <c r="D1179" s="189" t="s">
        <v>498</v>
      </c>
      <c r="E1179" s="189" t="s">
        <v>1403</v>
      </c>
      <c r="F1179" s="190">
        <v>600</v>
      </c>
      <c r="G1179" s="191">
        <f t="shared" si="94"/>
        <v>12492.2</v>
      </c>
      <c r="H1179" s="191">
        <f t="shared" si="94"/>
        <v>12492.2</v>
      </c>
      <c r="I1179" s="192">
        <f t="shared" si="93"/>
        <v>0</v>
      </c>
    </row>
    <row r="1180" spans="1:9" s="289" customFormat="1" ht="24" x14ac:dyDescent="0.2">
      <c r="A1180" s="189" t="s">
        <v>705</v>
      </c>
      <c r="B1180" s="190"/>
      <c r="C1180" s="189" t="s">
        <v>609</v>
      </c>
      <c r="D1180" s="189" t="s">
        <v>498</v>
      </c>
      <c r="E1180" s="189" t="s">
        <v>1403</v>
      </c>
      <c r="F1180" s="190">
        <v>630</v>
      </c>
      <c r="G1180" s="191">
        <f>12338+154.2</f>
        <v>12492.2</v>
      </c>
      <c r="H1180" s="191">
        <f>12338+154.2</f>
        <v>12492.2</v>
      </c>
      <c r="I1180" s="192">
        <f t="shared" si="93"/>
        <v>0</v>
      </c>
    </row>
    <row r="1181" spans="1:9" s="401" customFormat="1" ht="36" x14ac:dyDescent="0.2">
      <c r="A1181" s="189" t="s">
        <v>1534</v>
      </c>
      <c r="B1181" s="190"/>
      <c r="C1181" s="189" t="s">
        <v>609</v>
      </c>
      <c r="D1181" s="189" t="s">
        <v>498</v>
      </c>
      <c r="E1181" s="189" t="s">
        <v>1535</v>
      </c>
      <c r="F1181" s="190"/>
      <c r="G1181" s="191">
        <f>G1182</f>
        <v>2314</v>
      </c>
      <c r="H1181" s="191">
        <f>H1182</f>
        <v>6172</v>
      </c>
      <c r="I1181" s="192">
        <f t="shared" si="93"/>
        <v>3858</v>
      </c>
    </row>
    <row r="1182" spans="1:9" s="401" customFormat="1" ht="24" x14ac:dyDescent="0.2">
      <c r="A1182" s="189" t="s">
        <v>547</v>
      </c>
      <c r="B1182" s="190"/>
      <c r="C1182" s="189" t="s">
        <v>609</v>
      </c>
      <c r="D1182" s="189" t="s">
        <v>498</v>
      </c>
      <c r="E1182" s="189" t="s">
        <v>1535</v>
      </c>
      <c r="F1182" s="190" t="s">
        <v>519</v>
      </c>
      <c r="G1182" s="191">
        <f>G1183</f>
        <v>2314</v>
      </c>
      <c r="H1182" s="191">
        <f>H1183</f>
        <v>6172</v>
      </c>
      <c r="I1182" s="192">
        <f t="shared" si="93"/>
        <v>3858</v>
      </c>
    </row>
    <row r="1183" spans="1:9" s="401" customFormat="1" ht="24" x14ac:dyDescent="0.2">
      <c r="A1183" s="189" t="s">
        <v>705</v>
      </c>
      <c r="B1183" s="190"/>
      <c r="C1183" s="189" t="s">
        <v>609</v>
      </c>
      <c r="D1183" s="189" t="s">
        <v>498</v>
      </c>
      <c r="E1183" s="189" t="s">
        <v>1535</v>
      </c>
      <c r="F1183" s="190" t="s">
        <v>703</v>
      </c>
      <c r="G1183" s="191">
        <v>2314</v>
      </c>
      <c r="H1183" s="191">
        <f>2314+3858</f>
        <v>6172</v>
      </c>
      <c r="I1183" s="192">
        <f t="shared" si="93"/>
        <v>3858</v>
      </c>
    </row>
    <row r="1184" spans="1:9" x14ac:dyDescent="0.2">
      <c r="A1184" s="189" t="s">
        <v>717</v>
      </c>
      <c r="B1184" s="190"/>
      <c r="C1184" s="189" t="s">
        <v>609</v>
      </c>
      <c r="D1184" s="189" t="s">
        <v>502</v>
      </c>
      <c r="E1184" s="189"/>
      <c r="F1184" s="190"/>
      <c r="G1184" s="191">
        <f>G1185</f>
        <v>3101637</v>
      </c>
      <c r="H1184" s="191">
        <f>H1185</f>
        <v>3404738.4000000004</v>
      </c>
      <c r="I1184" s="192">
        <f t="shared" si="93"/>
        <v>303101.40000000037</v>
      </c>
    </row>
    <row r="1185" spans="1:9" x14ac:dyDescent="0.2">
      <c r="A1185" s="189" t="s">
        <v>666</v>
      </c>
      <c r="B1185" s="190"/>
      <c r="C1185" s="189" t="s">
        <v>609</v>
      </c>
      <c r="D1185" s="189" t="s">
        <v>502</v>
      </c>
      <c r="E1185" s="189" t="s">
        <v>665</v>
      </c>
      <c r="F1185" s="190"/>
      <c r="G1185" s="191">
        <f>G1186</f>
        <v>3101637</v>
      </c>
      <c r="H1185" s="191">
        <f>H1186</f>
        <v>3404738.4000000004</v>
      </c>
      <c r="I1185" s="192">
        <f t="shared" si="93"/>
        <v>303101.40000000037</v>
      </c>
    </row>
    <row r="1186" spans="1:9" x14ac:dyDescent="0.2">
      <c r="A1186" s="189" t="s">
        <v>688</v>
      </c>
      <c r="B1186" s="190"/>
      <c r="C1186" s="189" t="s">
        <v>609</v>
      </c>
      <c r="D1186" s="189" t="s">
        <v>502</v>
      </c>
      <c r="E1186" s="189" t="s">
        <v>687</v>
      </c>
      <c r="F1186" s="190"/>
      <c r="G1186" s="191">
        <f>G1187+G1203+G1207</f>
        <v>3101637</v>
      </c>
      <c r="H1186" s="191">
        <f>H1187+H1203+H1207</f>
        <v>3404738.4000000004</v>
      </c>
      <c r="I1186" s="192">
        <f t="shared" si="93"/>
        <v>303101.40000000037</v>
      </c>
    </row>
    <row r="1187" spans="1:9" ht="24" x14ac:dyDescent="0.2">
      <c r="A1187" s="189" t="s">
        <v>686</v>
      </c>
      <c r="B1187" s="190"/>
      <c r="C1187" s="189" t="s">
        <v>609</v>
      </c>
      <c r="D1187" s="189" t="s">
        <v>502</v>
      </c>
      <c r="E1187" s="189" t="s">
        <v>685</v>
      </c>
      <c r="F1187" s="190"/>
      <c r="G1187" s="191">
        <f>G1188+G1196+G1200</f>
        <v>2942644.2</v>
      </c>
      <c r="H1187" s="191">
        <f>H1188+H1196+H1200+H1192</f>
        <v>3190993.9000000004</v>
      </c>
      <c r="I1187" s="192">
        <f t="shared" si="93"/>
        <v>248349.70000000019</v>
      </c>
    </row>
    <row r="1188" spans="1:9" ht="24" x14ac:dyDescent="0.2">
      <c r="A1188" s="189" t="s">
        <v>684</v>
      </c>
      <c r="B1188" s="190"/>
      <c r="C1188" s="189" t="s">
        <v>609</v>
      </c>
      <c r="D1188" s="189" t="s">
        <v>502</v>
      </c>
      <c r="E1188" s="189" t="s">
        <v>683</v>
      </c>
      <c r="F1188" s="190"/>
      <c r="G1188" s="191">
        <f>G1189</f>
        <v>485637.20000000007</v>
      </c>
      <c r="H1188" s="191">
        <f>H1189</f>
        <v>489837.20000000007</v>
      </c>
      <c r="I1188" s="192">
        <f t="shared" si="93"/>
        <v>4200</v>
      </c>
    </row>
    <row r="1189" spans="1:9" ht="24" x14ac:dyDescent="0.2">
      <c r="A1189" s="189" t="s">
        <v>547</v>
      </c>
      <c r="B1189" s="190"/>
      <c r="C1189" s="189" t="s">
        <v>609</v>
      </c>
      <c r="D1189" s="189" t="s">
        <v>502</v>
      </c>
      <c r="E1189" s="189" t="s">
        <v>683</v>
      </c>
      <c r="F1189" s="190" t="s">
        <v>519</v>
      </c>
      <c r="G1189" s="191">
        <f>G1190+G1191</f>
        <v>485637.20000000007</v>
      </c>
      <c r="H1189" s="191">
        <f>H1190+H1191</f>
        <v>489837.20000000007</v>
      </c>
      <c r="I1189" s="192">
        <f t="shared" si="93"/>
        <v>4200</v>
      </c>
    </row>
    <row r="1190" spans="1:9" x14ac:dyDescent="0.2">
      <c r="A1190" s="189" t="s">
        <v>571</v>
      </c>
      <c r="B1190" s="190"/>
      <c r="C1190" s="189" t="s">
        <v>609</v>
      </c>
      <c r="D1190" s="189" t="s">
        <v>502</v>
      </c>
      <c r="E1190" s="189" t="s">
        <v>683</v>
      </c>
      <c r="F1190" s="190" t="s">
        <v>522</v>
      </c>
      <c r="G1190" s="191">
        <f>417583.4+2315.4+807.2+839-2697.6+355</f>
        <v>419202.40000000008</v>
      </c>
      <c r="H1190" s="191">
        <f>417583.4+2315.4+807.2+839-2697.6+355+3500+700</f>
        <v>423402.40000000008</v>
      </c>
      <c r="I1190" s="192">
        <f t="shared" si="93"/>
        <v>4200</v>
      </c>
    </row>
    <row r="1191" spans="1:9" x14ac:dyDescent="0.2">
      <c r="A1191" s="189" t="s">
        <v>546</v>
      </c>
      <c r="B1191" s="190"/>
      <c r="C1191" s="189" t="s">
        <v>609</v>
      </c>
      <c r="D1191" s="189" t="s">
        <v>502</v>
      </c>
      <c r="E1191" s="189" t="s">
        <v>683</v>
      </c>
      <c r="F1191" s="190" t="s">
        <v>544</v>
      </c>
      <c r="G1191" s="191">
        <f>67133.4+171.7+46.9+46.9-1154.1+190</f>
        <v>66434.799999999974</v>
      </c>
      <c r="H1191" s="191">
        <f>67133.4+171.7+46.9+46.9-1154.1+190</f>
        <v>66434.799999999974</v>
      </c>
      <c r="I1191" s="192">
        <f t="shared" si="93"/>
        <v>0</v>
      </c>
    </row>
    <row r="1192" spans="1:9" s="409" customFormat="1" ht="108" x14ac:dyDescent="0.2">
      <c r="A1192" s="189" t="s">
        <v>1602</v>
      </c>
      <c r="B1192" s="190"/>
      <c r="C1192" s="189" t="s">
        <v>609</v>
      </c>
      <c r="D1192" s="189" t="s">
        <v>502</v>
      </c>
      <c r="E1192" s="189" t="s">
        <v>1603</v>
      </c>
      <c r="F1192" s="190"/>
      <c r="G1192" s="191">
        <f>G1193</f>
        <v>0</v>
      </c>
      <c r="H1192" s="191">
        <f>H1193</f>
        <v>31457</v>
      </c>
      <c r="I1192" s="192">
        <f t="shared" si="93"/>
        <v>31457</v>
      </c>
    </row>
    <row r="1193" spans="1:9" s="409" customFormat="1" ht="24" x14ac:dyDescent="0.2">
      <c r="A1193" s="189" t="s">
        <v>547</v>
      </c>
      <c r="B1193" s="190"/>
      <c r="C1193" s="189" t="s">
        <v>609</v>
      </c>
      <c r="D1193" s="189" t="s">
        <v>502</v>
      </c>
      <c r="E1193" s="189" t="s">
        <v>1603</v>
      </c>
      <c r="F1193" s="190" t="s">
        <v>519</v>
      </c>
      <c r="G1193" s="191">
        <f>G1194</f>
        <v>0</v>
      </c>
      <c r="H1193" s="191">
        <f>H1194+H1195</f>
        <v>31457</v>
      </c>
      <c r="I1193" s="192">
        <f t="shared" si="93"/>
        <v>31457</v>
      </c>
    </row>
    <row r="1194" spans="1:9" s="409" customFormat="1" x14ac:dyDescent="0.2">
      <c r="A1194" s="189" t="s">
        <v>571</v>
      </c>
      <c r="B1194" s="190"/>
      <c r="C1194" s="189" t="s">
        <v>609</v>
      </c>
      <c r="D1194" s="189" t="s">
        <v>502</v>
      </c>
      <c r="E1194" s="189" t="s">
        <v>1603</v>
      </c>
      <c r="F1194" s="190" t="s">
        <v>522</v>
      </c>
      <c r="G1194" s="191">
        <v>0</v>
      </c>
      <c r="H1194" s="191">
        <v>28540</v>
      </c>
      <c r="I1194" s="192">
        <f t="shared" si="93"/>
        <v>28540</v>
      </c>
    </row>
    <row r="1195" spans="1:9" s="409" customFormat="1" x14ac:dyDescent="0.2">
      <c r="A1195" s="189" t="s">
        <v>546</v>
      </c>
      <c r="B1195" s="190"/>
      <c r="C1195" s="189" t="s">
        <v>609</v>
      </c>
      <c r="D1195" s="189" t="s">
        <v>502</v>
      </c>
      <c r="E1195" s="189" t="s">
        <v>1603</v>
      </c>
      <c r="F1195" s="190" t="s">
        <v>544</v>
      </c>
      <c r="G1195" s="191">
        <v>0</v>
      </c>
      <c r="H1195" s="191">
        <v>2917</v>
      </c>
      <c r="I1195" s="192">
        <f t="shared" si="93"/>
        <v>2917</v>
      </c>
    </row>
    <row r="1196" spans="1:9" ht="84" x14ac:dyDescent="0.2">
      <c r="A1196" s="189" t="s">
        <v>716</v>
      </c>
      <c r="B1196" s="190"/>
      <c r="C1196" s="189" t="s">
        <v>609</v>
      </c>
      <c r="D1196" s="189" t="s">
        <v>502</v>
      </c>
      <c r="E1196" s="189" t="s">
        <v>715</v>
      </c>
      <c r="F1196" s="190"/>
      <c r="G1196" s="191">
        <f>G1197</f>
        <v>2296132</v>
      </c>
      <c r="H1196" s="191">
        <f>H1197</f>
        <v>2490901.7000000002</v>
      </c>
      <c r="I1196" s="192">
        <f t="shared" si="93"/>
        <v>194769.70000000019</v>
      </c>
    </row>
    <row r="1197" spans="1:9" ht="24" x14ac:dyDescent="0.2">
      <c r="A1197" s="189" t="s">
        <v>547</v>
      </c>
      <c r="B1197" s="190"/>
      <c r="C1197" s="189" t="s">
        <v>609</v>
      </c>
      <c r="D1197" s="189" t="s">
        <v>502</v>
      </c>
      <c r="E1197" s="189" t="s">
        <v>715</v>
      </c>
      <c r="F1197" s="190" t="s">
        <v>519</v>
      </c>
      <c r="G1197" s="191">
        <f>G1198+G1199</f>
        <v>2296132</v>
      </c>
      <c r="H1197" s="191">
        <f>H1198+H1199</f>
        <v>2490901.7000000002</v>
      </c>
      <c r="I1197" s="192">
        <f t="shared" si="93"/>
        <v>194769.70000000019</v>
      </c>
    </row>
    <row r="1198" spans="1:9" x14ac:dyDescent="0.2">
      <c r="A1198" s="189" t="s">
        <v>571</v>
      </c>
      <c r="B1198" s="190"/>
      <c r="C1198" s="189" t="s">
        <v>609</v>
      </c>
      <c r="D1198" s="189" t="s">
        <v>502</v>
      </c>
      <c r="E1198" s="189" t="s">
        <v>715</v>
      </c>
      <c r="F1198" s="190" t="s">
        <v>522</v>
      </c>
      <c r="G1198" s="191">
        <f>2297918-201444-1786</f>
        <v>2094688</v>
      </c>
      <c r="H1198" s="191">
        <f>2297918-201444-1786+120159-689+36.7</f>
        <v>2214194.7000000002</v>
      </c>
      <c r="I1198" s="192">
        <f t="shared" si="93"/>
        <v>119506.70000000019</v>
      </c>
    </row>
    <row r="1199" spans="1:9" s="295" customFormat="1" x14ac:dyDescent="0.2">
      <c r="A1199" s="189" t="s">
        <v>546</v>
      </c>
      <c r="B1199" s="190"/>
      <c r="C1199" s="189" t="s">
        <v>609</v>
      </c>
      <c r="D1199" s="189" t="s">
        <v>502</v>
      </c>
      <c r="E1199" s="189" t="s">
        <v>715</v>
      </c>
      <c r="F1199" s="190" t="s">
        <v>544</v>
      </c>
      <c r="G1199" s="191">
        <v>201444</v>
      </c>
      <c r="H1199" s="191">
        <f>201444+75263</f>
        <v>276707</v>
      </c>
      <c r="I1199" s="192">
        <f t="shared" si="93"/>
        <v>75263</v>
      </c>
    </row>
    <row r="1200" spans="1:9" ht="84" x14ac:dyDescent="0.2">
      <c r="A1200" s="189" t="s">
        <v>714</v>
      </c>
      <c r="B1200" s="190"/>
      <c r="C1200" s="189" t="s">
        <v>609</v>
      </c>
      <c r="D1200" s="189" t="s">
        <v>502</v>
      </c>
      <c r="E1200" s="189" t="s">
        <v>713</v>
      </c>
      <c r="F1200" s="190"/>
      <c r="G1200" s="191">
        <f>G1201</f>
        <v>160875</v>
      </c>
      <c r="H1200" s="191">
        <f>H1201</f>
        <v>178798</v>
      </c>
      <c r="I1200" s="192">
        <f t="shared" si="93"/>
        <v>17923</v>
      </c>
    </row>
    <row r="1201" spans="1:9" ht="24" x14ac:dyDescent="0.2">
      <c r="A1201" s="189" t="s">
        <v>547</v>
      </c>
      <c r="B1201" s="190"/>
      <c r="C1201" s="189" t="s">
        <v>609</v>
      </c>
      <c r="D1201" s="189" t="s">
        <v>502</v>
      </c>
      <c r="E1201" s="189" t="s">
        <v>713</v>
      </c>
      <c r="F1201" s="190" t="s">
        <v>519</v>
      </c>
      <c r="G1201" s="191">
        <f>G1202</f>
        <v>160875</v>
      </c>
      <c r="H1201" s="191">
        <f>H1202</f>
        <v>178798</v>
      </c>
      <c r="I1201" s="192">
        <f t="shared" si="93"/>
        <v>17923</v>
      </c>
    </row>
    <row r="1202" spans="1:9" ht="24" x14ac:dyDescent="0.2">
      <c r="A1202" s="189" t="s">
        <v>705</v>
      </c>
      <c r="B1202" s="190"/>
      <c r="C1202" s="189" t="s">
        <v>609</v>
      </c>
      <c r="D1202" s="189" t="s">
        <v>502</v>
      </c>
      <c r="E1202" s="189" t="s">
        <v>713</v>
      </c>
      <c r="F1202" s="190" t="s">
        <v>703</v>
      </c>
      <c r="G1202" s="191">
        <f>167226-6351</f>
        <v>160875</v>
      </c>
      <c r="H1202" s="191">
        <f>167226-6351+17923</f>
        <v>178798</v>
      </c>
      <c r="I1202" s="192">
        <f t="shared" si="93"/>
        <v>17923</v>
      </c>
    </row>
    <row r="1203" spans="1:9" ht="24" x14ac:dyDescent="0.2">
      <c r="A1203" s="189" t="s">
        <v>712</v>
      </c>
      <c r="B1203" s="190"/>
      <c r="C1203" s="189" t="s">
        <v>609</v>
      </c>
      <c r="D1203" s="189" t="s">
        <v>502</v>
      </c>
      <c r="E1203" s="189" t="s">
        <v>711</v>
      </c>
      <c r="F1203" s="190"/>
      <c r="G1203" s="191">
        <f t="shared" ref="G1203:H1205" si="95">G1204</f>
        <v>8325</v>
      </c>
      <c r="H1203" s="191">
        <f t="shared" si="95"/>
        <v>8537.4</v>
      </c>
      <c r="I1203" s="192">
        <f t="shared" si="93"/>
        <v>212.39999999999964</v>
      </c>
    </row>
    <row r="1204" spans="1:9" ht="48" x14ac:dyDescent="0.2">
      <c r="A1204" s="189" t="s">
        <v>710</v>
      </c>
      <c r="B1204" s="190"/>
      <c r="C1204" s="189" t="s">
        <v>609</v>
      </c>
      <c r="D1204" s="189" t="s">
        <v>502</v>
      </c>
      <c r="E1204" s="189" t="s">
        <v>709</v>
      </c>
      <c r="F1204" s="190"/>
      <c r="G1204" s="191">
        <f t="shared" si="95"/>
        <v>8325</v>
      </c>
      <c r="H1204" s="191">
        <f t="shared" si="95"/>
        <v>8537.4</v>
      </c>
      <c r="I1204" s="192">
        <f t="shared" si="93"/>
        <v>212.39999999999964</v>
      </c>
    </row>
    <row r="1205" spans="1:9" ht="24" x14ac:dyDescent="0.2">
      <c r="A1205" s="189" t="s">
        <v>547</v>
      </c>
      <c r="B1205" s="190"/>
      <c r="C1205" s="189" t="s">
        <v>609</v>
      </c>
      <c r="D1205" s="189" t="s">
        <v>502</v>
      </c>
      <c r="E1205" s="189" t="s">
        <v>709</v>
      </c>
      <c r="F1205" s="190" t="s">
        <v>519</v>
      </c>
      <c r="G1205" s="191">
        <f t="shared" si="95"/>
        <v>8325</v>
      </c>
      <c r="H1205" s="191">
        <f t="shared" si="95"/>
        <v>8537.4</v>
      </c>
      <c r="I1205" s="192">
        <f t="shared" si="93"/>
        <v>212.39999999999964</v>
      </c>
    </row>
    <row r="1206" spans="1:9" x14ac:dyDescent="0.2">
      <c r="A1206" s="189" t="s">
        <v>571</v>
      </c>
      <c r="B1206" s="190"/>
      <c r="C1206" s="189" t="s">
        <v>609</v>
      </c>
      <c r="D1206" s="189" t="s">
        <v>502</v>
      </c>
      <c r="E1206" s="189" t="s">
        <v>709</v>
      </c>
      <c r="F1206" s="190" t="s">
        <v>522</v>
      </c>
      <c r="G1206" s="191">
        <v>8325</v>
      </c>
      <c r="H1206" s="191">
        <f>8325+212.4</f>
        <v>8537.4</v>
      </c>
      <c r="I1206" s="192">
        <f t="shared" si="93"/>
        <v>212.39999999999964</v>
      </c>
    </row>
    <row r="1207" spans="1:9" ht="36" x14ac:dyDescent="0.2">
      <c r="A1207" s="189" t="s">
        <v>708</v>
      </c>
      <c r="B1207" s="190"/>
      <c r="C1207" s="189" t="s">
        <v>609</v>
      </c>
      <c r="D1207" s="189" t="s">
        <v>502</v>
      </c>
      <c r="E1207" s="189" t="s">
        <v>707</v>
      </c>
      <c r="F1207" s="190"/>
      <c r="G1207" s="191">
        <f>G1214+G1219+G1223</f>
        <v>150667.79999999999</v>
      </c>
      <c r="H1207" s="191">
        <f>H1214+H1219+H1223+H1208</f>
        <v>205207.1</v>
      </c>
      <c r="I1207" s="192">
        <f t="shared" si="93"/>
        <v>54539.300000000017</v>
      </c>
    </row>
    <row r="1208" spans="1:9" s="413" customFormat="1" ht="88.5" customHeight="1" x14ac:dyDescent="0.2">
      <c r="A1208" s="189" t="s">
        <v>1609</v>
      </c>
      <c r="B1208" s="190"/>
      <c r="C1208" s="189" t="s">
        <v>609</v>
      </c>
      <c r="D1208" s="189" t="s">
        <v>502</v>
      </c>
      <c r="E1208" s="189" t="s">
        <v>1610</v>
      </c>
      <c r="F1208" s="190"/>
      <c r="G1208" s="191">
        <v>0</v>
      </c>
      <c r="H1208" s="191">
        <f>H1209+H1211</f>
        <v>46602</v>
      </c>
      <c r="I1208" s="192">
        <f t="shared" si="93"/>
        <v>46602</v>
      </c>
    </row>
    <row r="1209" spans="1:9" s="413" customFormat="1" x14ac:dyDescent="0.2">
      <c r="A1209" s="189" t="s">
        <v>553</v>
      </c>
      <c r="B1209" s="190"/>
      <c r="C1209" s="189" t="s">
        <v>609</v>
      </c>
      <c r="D1209" s="189" t="s">
        <v>502</v>
      </c>
      <c r="E1209" s="189" t="s">
        <v>1610</v>
      </c>
      <c r="F1209" s="190">
        <v>300</v>
      </c>
      <c r="G1209" s="191">
        <f>G1210</f>
        <v>0</v>
      </c>
      <c r="H1209" s="191">
        <f>H1210</f>
        <v>38835</v>
      </c>
      <c r="I1209" s="192">
        <f t="shared" si="93"/>
        <v>38835</v>
      </c>
    </row>
    <row r="1210" spans="1:9" s="413" customFormat="1" x14ac:dyDescent="0.2">
      <c r="A1210" s="189" t="s">
        <v>832</v>
      </c>
      <c r="B1210" s="190"/>
      <c r="C1210" s="189" t="s">
        <v>609</v>
      </c>
      <c r="D1210" s="189" t="s">
        <v>502</v>
      </c>
      <c r="E1210" s="189" t="s">
        <v>1610</v>
      </c>
      <c r="F1210" s="190">
        <v>320</v>
      </c>
      <c r="G1210" s="191">
        <v>0</v>
      </c>
      <c r="H1210" s="191">
        <v>38835</v>
      </c>
      <c r="I1210" s="192">
        <f t="shared" si="93"/>
        <v>38835</v>
      </c>
    </row>
    <row r="1211" spans="1:9" s="413" customFormat="1" ht="24" x14ac:dyDescent="0.2">
      <c r="A1211" s="189" t="s">
        <v>547</v>
      </c>
      <c r="B1211" s="190"/>
      <c r="C1211" s="189" t="s">
        <v>609</v>
      </c>
      <c r="D1211" s="189" t="s">
        <v>502</v>
      </c>
      <c r="E1211" s="189" t="s">
        <v>1610</v>
      </c>
      <c r="F1211" s="190">
        <v>600</v>
      </c>
      <c r="G1211" s="191">
        <v>0</v>
      </c>
      <c r="H1211" s="191">
        <f>H1212+H1213</f>
        <v>7767</v>
      </c>
      <c r="I1211" s="192">
        <f t="shared" si="93"/>
        <v>7767</v>
      </c>
    </row>
    <row r="1212" spans="1:9" s="413" customFormat="1" x14ac:dyDescent="0.2">
      <c r="A1212" s="189" t="s">
        <v>546</v>
      </c>
      <c r="B1212" s="190"/>
      <c r="C1212" s="189" t="s">
        <v>609</v>
      </c>
      <c r="D1212" s="189" t="s">
        <v>502</v>
      </c>
      <c r="E1212" s="189" t="s">
        <v>1610</v>
      </c>
      <c r="F1212" s="190">
        <v>620</v>
      </c>
      <c r="G1212" s="191">
        <v>0</v>
      </c>
      <c r="H1212" s="191">
        <v>4126</v>
      </c>
      <c r="I1212" s="192">
        <f t="shared" si="93"/>
        <v>4126</v>
      </c>
    </row>
    <row r="1213" spans="1:9" s="413" customFormat="1" ht="24" x14ac:dyDescent="0.2">
      <c r="A1213" s="189" t="s">
        <v>705</v>
      </c>
      <c r="B1213" s="190"/>
      <c r="C1213" s="189" t="s">
        <v>609</v>
      </c>
      <c r="D1213" s="189" t="s">
        <v>502</v>
      </c>
      <c r="E1213" s="189" t="s">
        <v>1610</v>
      </c>
      <c r="F1213" s="190">
        <v>630</v>
      </c>
      <c r="G1213" s="191">
        <v>0</v>
      </c>
      <c r="H1213" s="191">
        <v>3641</v>
      </c>
      <c r="I1213" s="192">
        <f t="shared" si="93"/>
        <v>3641</v>
      </c>
    </row>
    <row r="1214" spans="1:9" ht="60" x14ac:dyDescent="0.2">
      <c r="A1214" s="189" t="s">
        <v>706</v>
      </c>
      <c r="B1214" s="190"/>
      <c r="C1214" s="189" t="s">
        <v>609</v>
      </c>
      <c r="D1214" s="189" t="s">
        <v>502</v>
      </c>
      <c r="E1214" s="189" t="s">
        <v>704</v>
      </c>
      <c r="F1214" s="190"/>
      <c r="G1214" s="191">
        <f>G1215</f>
        <v>146900</v>
      </c>
      <c r="H1214" s="191">
        <f>H1215</f>
        <v>86934.3</v>
      </c>
      <c r="I1214" s="192">
        <f t="shared" si="93"/>
        <v>-59965.7</v>
      </c>
    </row>
    <row r="1215" spans="1:9" ht="24" x14ac:dyDescent="0.2">
      <c r="A1215" s="189" t="s">
        <v>547</v>
      </c>
      <c r="B1215" s="190"/>
      <c r="C1215" s="189" t="s">
        <v>609</v>
      </c>
      <c r="D1215" s="189" t="s">
        <v>502</v>
      </c>
      <c r="E1215" s="189" t="s">
        <v>704</v>
      </c>
      <c r="F1215" s="190" t="s">
        <v>519</v>
      </c>
      <c r="G1215" s="191">
        <f>G1216+G1217+G1218+0.1</f>
        <v>146900</v>
      </c>
      <c r="H1215" s="191">
        <f>H1216+H1217+H1218+0.1</f>
        <v>86934.3</v>
      </c>
      <c r="I1215" s="192">
        <f t="shared" si="93"/>
        <v>-59965.7</v>
      </c>
    </row>
    <row r="1216" spans="1:9" x14ac:dyDescent="0.2">
      <c r="A1216" s="189" t="s">
        <v>571</v>
      </c>
      <c r="B1216" s="190"/>
      <c r="C1216" s="189" t="s">
        <v>609</v>
      </c>
      <c r="D1216" s="189" t="s">
        <v>502</v>
      </c>
      <c r="E1216" s="189" t="s">
        <v>704</v>
      </c>
      <c r="F1216" s="190" t="s">
        <v>522</v>
      </c>
      <c r="G1216" s="191">
        <f>125210.2-1845.3</f>
        <v>123364.9</v>
      </c>
      <c r="H1216" s="191">
        <f>125210.2-1845.3-50030.8+35.3</f>
        <v>73369.399999999994</v>
      </c>
      <c r="I1216" s="192">
        <f t="shared" si="93"/>
        <v>-49995.5</v>
      </c>
    </row>
    <row r="1217" spans="1:9" x14ac:dyDescent="0.2">
      <c r="A1217" s="189" t="s">
        <v>546</v>
      </c>
      <c r="B1217" s="190"/>
      <c r="C1217" s="189" t="s">
        <v>609</v>
      </c>
      <c r="D1217" s="189" t="s">
        <v>502</v>
      </c>
      <c r="E1217" s="189" t="s">
        <v>704</v>
      </c>
      <c r="F1217" s="190" t="s">
        <v>544</v>
      </c>
      <c r="G1217" s="191">
        <f>13795+1845.3</f>
        <v>15640.3</v>
      </c>
      <c r="H1217" s="191">
        <f>13795+1845.3-6416.5</f>
        <v>9223.7999999999993</v>
      </c>
      <c r="I1217" s="192">
        <f t="shared" si="93"/>
        <v>-6416.5</v>
      </c>
    </row>
    <row r="1218" spans="1:9" ht="24" x14ac:dyDescent="0.2">
      <c r="A1218" s="189" t="s">
        <v>705</v>
      </c>
      <c r="B1218" s="190"/>
      <c r="C1218" s="189" t="s">
        <v>609</v>
      </c>
      <c r="D1218" s="189" t="s">
        <v>502</v>
      </c>
      <c r="E1218" s="189" t="s">
        <v>704</v>
      </c>
      <c r="F1218" s="190" t="s">
        <v>703</v>
      </c>
      <c r="G1218" s="191">
        <v>7894.7</v>
      </c>
      <c r="H1218" s="191">
        <f>7894.7-3553.7</f>
        <v>4341</v>
      </c>
      <c r="I1218" s="192">
        <f t="shared" si="93"/>
        <v>-3553.7</v>
      </c>
    </row>
    <row r="1219" spans="1:9" ht="36" x14ac:dyDescent="0.2">
      <c r="A1219" s="189" t="s">
        <v>702</v>
      </c>
      <c r="B1219" s="190"/>
      <c r="C1219" s="189" t="s">
        <v>609</v>
      </c>
      <c r="D1219" s="189" t="s">
        <v>502</v>
      </c>
      <c r="E1219" s="189" t="s">
        <v>701</v>
      </c>
      <c r="F1219" s="190"/>
      <c r="G1219" s="191">
        <f>G1220</f>
        <v>194</v>
      </c>
      <c r="H1219" s="191">
        <f>H1220</f>
        <v>194</v>
      </c>
      <c r="I1219" s="192">
        <f t="shared" si="93"/>
        <v>0</v>
      </c>
    </row>
    <row r="1220" spans="1:9" ht="24" x14ac:dyDescent="0.2">
      <c r="A1220" s="189" t="s">
        <v>547</v>
      </c>
      <c r="B1220" s="190"/>
      <c r="C1220" s="189" t="s">
        <v>609</v>
      </c>
      <c r="D1220" s="189" t="s">
        <v>502</v>
      </c>
      <c r="E1220" s="189" t="s">
        <v>701</v>
      </c>
      <c r="F1220" s="190" t="s">
        <v>519</v>
      </c>
      <c r="G1220" s="191">
        <f>G1221+G1222</f>
        <v>194</v>
      </c>
      <c r="H1220" s="191">
        <f>H1221+H1222</f>
        <v>194</v>
      </c>
      <c r="I1220" s="192">
        <f t="shared" si="93"/>
        <v>0</v>
      </c>
    </row>
    <row r="1221" spans="1:9" x14ac:dyDescent="0.2">
      <c r="A1221" s="189" t="s">
        <v>571</v>
      </c>
      <c r="B1221" s="190"/>
      <c r="C1221" s="189" t="s">
        <v>609</v>
      </c>
      <c r="D1221" s="189" t="s">
        <v>502</v>
      </c>
      <c r="E1221" s="189" t="s">
        <v>701</v>
      </c>
      <c r="F1221" s="190" t="s">
        <v>522</v>
      </c>
      <c r="G1221" s="191">
        <v>169</v>
      </c>
      <c r="H1221" s="191">
        <v>169</v>
      </c>
      <c r="I1221" s="192">
        <f t="shared" ref="I1221:I1295" si="96">H1221-G1221</f>
        <v>0</v>
      </c>
    </row>
    <row r="1222" spans="1:9" x14ac:dyDescent="0.2">
      <c r="A1222" s="189" t="s">
        <v>546</v>
      </c>
      <c r="B1222" s="190"/>
      <c r="C1222" s="189" t="s">
        <v>609</v>
      </c>
      <c r="D1222" s="189" t="s">
        <v>502</v>
      </c>
      <c r="E1222" s="189" t="s">
        <v>701</v>
      </c>
      <c r="F1222" s="190" t="s">
        <v>544</v>
      </c>
      <c r="G1222" s="191">
        <v>25</v>
      </c>
      <c r="H1222" s="191">
        <v>25</v>
      </c>
      <c r="I1222" s="192">
        <f t="shared" si="96"/>
        <v>0</v>
      </c>
    </row>
    <row r="1223" spans="1:9" s="401" customFormat="1" ht="24" x14ac:dyDescent="0.2">
      <c r="A1223" s="189" t="s">
        <v>1536</v>
      </c>
      <c r="B1223" s="190"/>
      <c r="C1223" s="189" t="s">
        <v>609</v>
      </c>
      <c r="D1223" s="189" t="s">
        <v>502</v>
      </c>
      <c r="E1223" s="189" t="s">
        <v>1537</v>
      </c>
      <c r="F1223" s="190"/>
      <c r="G1223" s="191">
        <f>G1224</f>
        <v>3573.8</v>
      </c>
      <c r="H1223" s="191">
        <f>H1224+H1226</f>
        <v>71476.800000000003</v>
      </c>
      <c r="I1223" s="192">
        <f t="shared" si="96"/>
        <v>67903</v>
      </c>
    </row>
    <row r="1224" spans="1:9" s="401" customFormat="1" x14ac:dyDescent="0.2">
      <c r="A1224" s="189" t="s">
        <v>1347</v>
      </c>
      <c r="B1224" s="190"/>
      <c r="C1224" s="189" t="s">
        <v>609</v>
      </c>
      <c r="D1224" s="189" t="s">
        <v>502</v>
      </c>
      <c r="E1224" s="189" t="s">
        <v>1537</v>
      </c>
      <c r="F1224" s="190" t="s">
        <v>535</v>
      </c>
      <c r="G1224" s="191">
        <f>G1225</f>
        <v>3573.8</v>
      </c>
      <c r="H1224" s="191">
        <f>H1225</f>
        <v>64376.800000000003</v>
      </c>
      <c r="I1224" s="192">
        <f t="shared" si="96"/>
        <v>60803</v>
      </c>
    </row>
    <row r="1225" spans="1:9" s="401" customFormat="1" ht="24" x14ac:dyDescent="0.2">
      <c r="A1225" s="189" t="s">
        <v>534</v>
      </c>
      <c r="B1225" s="190"/>
      <c r="C1225" s="189" t="s">
        <v>609</v>
      </c>
      <c r="D1225" s="189" t="s">
        <v>502</v>
      </c>
      <c r="E1225" s="189" t="s">
        <v>1537</v>
      </c>
      <c r="F1225" s="190" t="s">
        <v>529</v>
      </c>
      <c r="G1225" s="191">
        <v>3573.8</v>
      </c>
      <c r="H1225" s="191">
        <f>3573.8-3573.8+61158+3218.8</f>
        <v>64376.800000000003</v>
      </c>
      <c r="I1225" s="192">
        <f t="shared" si="96"/>
        <v>60803</v>
      </c>
    </row>
    <row r="1226" spans="1:9" s="413" customFormat="1" ht="24" x14ac:dyDescent="0.2">
      <c r="A1226" s="189" t="s">
        <v>547</v>
      </c>
      <c r="B1226" s="190"/>
      <c r="C1226" s="189" t="s">
        <v>609</v>
      </c>
      <c r="D1226" s="189" t="s">
        <v>502</v>
      </c>
      <c r="E1226" s="189" t="s">
        <v>1537</v>
      </c>
      <c r="F1226" s="190">
        <v>600</v>
      </c>
      <c r="G1226" s="191">
        <f>G1227</f>
        <v>0</v>
      </c>
      <c r="H1226" s="191">
        <f>H1227</f>
        <v>7100</v>
      </c>
      <c r="I1226" s="192">
        <f t="shared" si="96"/>
        <v>7100</v>
      </c>
    </row>
    <row r="1227" spans="1:9" s="413" customFormat="1" x14ac:dyDescent="0.2">
      <c r="A1227" s="189" t="s">
        <v>546</v>
      </c>
      <c r="B1227" s="190"/>
      <c r="C1227" s="189" t="s">
        <v>609</v>
      </c>
      <c r="D1227" s="189" t="s">
        <v>502</v>
      </c>
      <c r="E1227" s="189" t="s">
        <v>1537</v>
      </c>
      <c r="F1227" s="190">
        <v>620</v>
      </c>
      <c r="G1227" s="191">
        <v>0</v>
      </c>
      <c r="H1227" s="191">
        <f>6745+355</f>
        <v>7100</v>
      </c>
      <c r="I1227" s="192">
        <f t="shared" si="96"/>
        <v>7100</v>
      </c>
    </row>
    <row r="1228" spans="1:9" x14ac:dyDescent="0.2">
      <c r="A1228" s="189" t="s">
        <v>700</v>
      </c>
      <c r="B1228" s="190"/>
      <c r="C1228" s="189" t="s">
        <v>609</v>
      </c>
      <c r="D1228" s="189" t="s">
        <v>531</v>
      </c>
      <c r="E1228" s="189"/>
      <c r="F1228" s="190"/>
      <c r="G1228" s="191">
        <f>G1229+G1246</f>
        <v>325474.40000000002</v>
      </c>
      <c r="H1228" s="191">
        <f>H1229+H1246</f>
        <v>325474.40000000002</v>
      </c>
      <c r="I1228" s="192">
        <f t="shared" si="96"/>
        <v>0</v>
      </c>
    </row>
    <row r="1229" spans="1:9" x14ac:dyDescent="0.2">
      <c r="A1229" s="189" t="s">
        <v>666</v>
      </c>
      <c r="B1229" s="190"/>
      <c r="C1229" s="189" t="s">
        <v>609</v>
      </c>
      <c r="D1229" s="189" t="s">
        <v>531</v>
      </c>
      <c r="E1229" s="189" t="s">
        <v>665</v>
      </c>
      <c r="F1229" s="190"/>
      <c r="G1229" s="191">
        <f>G1230</f>
        <v>324809.40000000002</v>
      </c>
      <c r="H1229" s="191">
        <f>H1230</f>
        <v>324809.40000000002</v>
      </c>
      <c r="I1229" s="192">
        <f t="shared" si="96"/>
        <v>0</v>
      </c>
    </row>
    <row r="1230" spans="1:9" ht="24" x14ac:dyDescent="0.2">
      <c r="A1230" s="189" t="s">
        <v>699</v>
      </c>
      <c r="B1230" s="190"/>
      <c r="C1230" s="189" t="s">
        <v>609</v>
      </c>
      <c r="D1230" s="189" t="s">
        <v>531</v>
      </c>
      <c r="E1230" s="189" t="s">
        <v>698</v>
      </c>
      <c r="F1230" s="190"/>
      <c r="G1230" s="191">
        <f>G1231+G1236</f>
        <v>324809.40000000002</v>
      </c>
      <c r="H1230" s="191">
        <f>H1231+H1236+H1241</f>
        <v>324809.40000000002</v>
      </c>
      <c r="I1230" s="192">
        <f t="shared" si="96"/>
        <v>0</v>
      </c>
    </row>
    <row r="1231" spans="1:9" ht="24" x14ac:dyDescent="0.2">
      <c r="A1231" s="189" t="s">
        <v>697</v>
      </c>
      <c r="B1231" s="190"/>
      <c r="C1231" s="189" t="s">
        <v>609</v>
      </c>
      <c r="D1231" s="189" t="s">
        <v>531</v>
      </c>
      <c r="E1231" s="189" t="s">
        <v>696</v>
      </c>
      <c r="F1231" s="190"/>
      <c r="G1231" s="191">
        <f>G1232</f>
        <v>308879</v>
      </c>
      <c r="H1231" s="191">
        <f>H1232</f>
        <v>300687.90000000002</v>
      </c>
      <c r="I1231" s="192">
        <f t="shared" si="96"/>
        <v>-8191.0999999999767</v>
      </c>
    </row>
    <row r="1232" spans="1:9" ht="24" x14ac:dyDescent="0.2">
      <c r="A1232" s="189" t="s">
        <v>695</v>
      </c>
      <c r="B1232" s="190"/>
      <c r="C1232" s="189" t="s">
        <v>609</v>
      </c>
      <c r="D1232" s="189" t="s">
        <v>531</v>
      </c>
      <c r="E1232" s="189" t="s">
        <v>694</v>
      </c>
      <c r="F1232" s="190"/>
      <c r="G1232" s="191">
        <f>G1233</f>
        <v>308879</v>
      </c>
      <c r="H1232" s="191">
        <f>H1233</f>
        <v>300687.90000000002</v>
      </c>
      <c r="I1232" s="192">
        <f t="shared" si="96"/>
        <v>-8191.0999999999767</v>
      </c>
    </row>
    <row r="1233" spans="1:9" ht="24" x14ac:dyDescent="0.2">
      <c r="A1233" s="189" t="s">
        <v>547</v>
      </c>
      <c r="B1233" s="190"/>
      <c r="C1233" s="189" t="s">
        <v>609</v>
      </c>
      <c r="D1233" s="189" t="s">
        <v>531</v>
      </c>
      <c r="E1233" s="189" t="s">
        <v>694</v>
      </c>
      <c r="F1233" s="190" t="s">
        <v>519</v>
      </c>
      <c r="G1233" s="191">
        <f>G1234+G1235</f>
        <v>308879</v>
      </c>
      <c r="H1233" s="191">
        <f>H1234+H1235</f>
        <v>300687.90000000002</v>
      </c>
      <c r="I1233" s="192">
        <f t="shared" si="96"/>
        <v>-8191.0999999999767</v>
      </c>
    </row>
    <row r="1234" spans="1:9" x14ac:dyDescent="0.2">
      <c r="A1234" s="189" t="s">
        <v>571</v>
      </c>
      <c r="B1234" s="190"/>
      <c r="C1234" s="189" t="s">
        <v>609</v>
      </c>
      <c r="D1234" s="189" t="s">
        <v>531</v>
      </c>
      <c r="E1234" s="189" t="s">
        <v>694</v>
      </c>
      <c r="F1234" s="190" t="s">
        <v>522</v>
      </c>
      <c r="G1234" s="191">
        <f>208673.1+61776.3-259</f>
        <v>270190.40000000002</v>
      </c>
      <c r="H1234" s="191">
        <f>208673.1+61776.3-259-8191.1</f>
        <v>261999.30000000002</v>
      </c>
      <c r="I1234" s="192">
        <f t="shared" si="96"/>
        <v>-8191.1000000000058</v>
      </c>
    </row>
    <row r="1235" spans="1:9" x14ac:dyDescent="0.2">
      <c r="A1235" s="189" t="s">
        <v>546</v>
      </c>
      <c r="B1235" s="190"/>
      <c r="C1235" s="189" t="s">
        <v>609</v>
      </c>
      <c r="D1235" s="189" t="s">
        <v>531</v>
      </c>
      <c r="E1235" s="189" t="s">
        <v>694</v>
      </c>
      <c r="F1235" s="190" t="s">
        <v>544</v>
      </c>
      <c r="G1235" s="191">
        <f>29169.5+9519.1</f>
        <v>38688.6</v>
      </c>
      <c r="H1235" s="191">
        <f>29169.5+9519.1</f>
        <v>38688.6</v>
      </c>
      <c r="I1235" s="192">
        <f t="shared" si="96"/>
        <v>0</v>
      </c>
    </row>
    <row r="1236" spans="1:9" ht="24" x14ac:dyDescent="0.2">
      <c r="A1236" s="189" t="s">
        <v>693</v>
      </c>
      <c r="B1236" s="190"/>
      <c r="C1236" s="189" t="s">
        <v>609</v>
      </c>
      <c r="D1236" s="189" t="s">
        <v>531</v>
      </c>
      <c r="E1236" s="189" t="s">
        <v>692</v>
      </c>
      <c r="F1236" s="190"/>
      <c r="G1236" s="191">
        <f>G1237</f>
        <v>15930.399999999998</v>
      </c>
      <c r="H1236" s="191">
        <f>H1237</f>
        <v>0</v>
      </c>
      <c r="I1236" s="192">
        <f t="shared" si="96"/>
        <v>-15930.399999999998</v>
      </c>
    </row>
    <row r="1237" spans="1:9" ht="24" x14ac:dyDescent="0.2">
      <c r="A1237" s="189" t="s">
        <v>691</v>
      </c>
      <c r="B1237" s="190"/>
      <c r="C1237" s="189" t="s">
        <v>609</v>
      </c>
      <c r="D1237" s="189" t="s">
        <v>531</v>
      </c>
      <c r="E1237" s="189" t="s">
        <v>690</v>
      </c>
      <c r="F1237" s="190"/>
      <c r="G1237" s="191">
        <f>G1238</f>
        <v>15930.399999999998</v>
      </c>
      <c r="H1237" s="191">
        <f>H1238</f>
        <v>0</v>
      </c>
      <c r="I1237" s="192">
        <f t="shared" si="96"/>
        <v>-15930.399999999998</v>
      </c>
    </row>
    <row r="1238" spans="1:9" ht="24" x14ac:dyDescent="0.2">
      <c r="A1238" s="189" t="s">
        <v>547</v>
      </c>
      <c r="B1238" s="190"/>
      <c r="C1238" s="189" t="s">
        <v>609</v>
      </c>
      <c r="D1238" s="189" t="s">
        <v>531</v>
      </c>
      <c r="E1238" s="189" t="s">
        <v>690</v>
      </c>
      <c r="F1238" s="190" t="s">
        <v>519</v>
      </c>
      <c r="G1238" s="191">
        <f>G1239+G1240</f>
        <v>15930.399999999998</v>
      </c>
      <c r="H1238" s="191">
        <f>H1239+H1240</f>
        <v>0</v>
      </c>
      <c r="I1238" s="192">
        <f t="shared" si="96"/>
        <v>-15930.399999999998</v>
      </c>
    </row>
    <row r="1239" spans="1:9" x14ac:dyDescent="0.2">
      <c r="A1239" s="189" t="s">
        <v>571</v>
      </c>
      <c r="B1239" s="190"/>
      <c r="C1239" s="189" t="s">
        <v>609</v>
      </c>
      <c r="D1239" s="189" t="s">
        <v>531</v>
      </c>
      <c r="E1239" s="189" t="s">
        <v>690</v>
      </c>
      <c r="F1239" s="190" t="s">
        <v>522</v>
      </c>
      <c r="G1239" s="191">
        <f>80836.3-65639.1</f>
        <v>15197.199999999997</v>
      </c>
      <c r="H1239" s="191">
        <f>80836.3-65639.1-15197.2</f>
        <v>0</v>
      </c>
      <c r="I1239" s="192">
        <f t="shared" si="96"/>
        <v>-15197.199999999997</v>
      </c>
    </row>
    <row r="1240" spans="1:9" x14ac:dyDescent="0.2">
      <c r="A1240" s="189" t="s">
        <v>546</v>
      </c>
      <c r="B1240" s="190"/>
      <c r="C1240" s="189" t="s">
        <v>609</v>
      </c>
      <c r="D1240" s="189" t="s">
        <v>531</v>
      </c>
      <c r="E1240" s="189" t="s">
        <v>690</v>
      </c>
      <c r="F1240" s="190" t="s">
        <v>544</v>
      </c>
      <c r="G1240" s="191">
        <f>10459.1-9725.9</f>
        <v>733.20000000000073</v>
      </c>
      <c r="H1240" s="191">
        <f>10459.1-9725.9-733.2</f>
        <v>0</v>
      </c>
      <c r="I1240" s="192">
        <f t="shared" si="96"/>
        <v>-733.20000000000073</v>
      </c>
    </row>
    <row r="1241" spans="1:9" s="443" customFormat="1" ht="24" x14ac:dyDescent="0.2">
      <c r="A1241" s="189" t="s">
        <v>693</v>
      </c>
      <c r="B1241" s="189"/>
      <c r="C1241" s="189" t="s">
        <v>609</v>
      </c>
      <c r="D1241" s="189" t="s">
        <v>531</v>
      </c>
      <c r="E1241" s="189" t="s">
        <v>1656</v>
      </c>
      <c r="F1241" s="189"/>
      <c r="G1241" s="191">
        <f>G1242</f>
        <v>0</v>
      </c>
      <c r="H1241" s="191">
        <f>H1242</f>
        <v>24121.500000000004</v>
      </c>
      <c r="I1241" s="192">
        <f t="shared" si="96"/>
        <v>24121.500000000004</v>
      </c>
    </row>
    <row r="1242" spans="1:9" s="443" customFormat="1" ht="24" x14ac:dyDescent="0.2">
      <c r="A1242" s="189" t="s">
        <v>691</v>
      </c>
      <c r="B1242" s="189"/>
      <c r="C1242" s="189" t="s">
        <v>609</v>
      </c>
      <c r="D1242" s="189" t="s">
        <v>531</v>
      </c>
      <c r="E1242" s="189" t="s">
        <v>1657</v>
      </c>
      <c r="F1242" s="189"/>
      <c r="G1242" s="191">
        <f>G1243</f>
        <v>0</v>
      </c>
      <c r="H1242" s="191">
        <f>H1243</f>
        <v>24121.500000000004</v>
      </c>
      <c r="I1242" s="192">
        <f t="shared" si="96"/>
        <v>24121.500000000004</v>
      </c>
    </row>
    <row r="1243" spans="1:9" s="443" customFormat="1" ht="24" x14ac:dyDescent="0.2">
      <c r="A1243" s="189" t="s">
        <v>547</v>
      </c>
      <c r="B1243" s="189"/>
      <c r="C1243" s="189" t="s">
        <v>609</v>
      </c>
      <c r="D1243" s="189" t="s">
        <v>531</v>
      </c>
      <c r="E1243" s="189" t="s">
        <v>1657</v>
      </c>
      <c r="F1243" s="190" t="s">
        <v>519</v>
      </c>
      <c r="G1243" s="191">
        <f>G1244+G1245</f>
        <v>0</v>
      </c>
      <c r="H1243" s="191">
        <f>H1244+H1245</f>
        <v>24121.500000000004</v>
      </c>
      <c r="I1243" s="192">
        <f t="shared" si="96"/>
        <v>24121.500000000004</v>
      </c>
    </row>
    <row r="1244" spans="1:9" s="443" customFormat="1" x14ac:dyDescent="0.2">
      <c r="A1244" s="189" t="s">
        <v>571</v>
      </c>
      <c r="B1244" s="189"/>
      <c r="C1244" s="189" t="s">
        <v>609</v>
      </c>
      <c r="D1244" s="189" t="s">
        <v>531</v>
      </c>
      <c r="E1244" s="189" t="s">
        <v>1657</v>
      </c>
      <c r="F1244" s="190" t="s">
        <v>522</v>
      </c>
      <c r="G1244" s="191">
        <v>0</v>
      </c>
      <c r="H1244" s="191">
        <f>15197.2+8191.1</f>
        <v>23388.300000000003</v>
      </c>
      <c r="I1244" s="192">
        <f t="shared" si="96"/>
        <v>23388.300000000003</v>
      </c>
    </row>
    <row r="1245" spans="1:9" s="443" customFormat="1" x14ac:dyDescent="0.2">
      <c r="A1245" s="189" t="s">
        <v>546</v>
      </c>
      <c r="B1245" s="189"/>
      <c r="C1245" s="189" t="s">
        <v>609</v>
      </c>
      <c r="D1245" s="189" t="s">
        <v>531</v>
      </c>
      <c r="E1245" s="189" t="s">
        <v>1657</v>
      </c>
      <c r="F1245" s="190" t="s">
        <v>544</v>
      </c>
      <c r="G1245" s="191">
        <v>0</v>
      </c>
      <c r="H1245" s="191">
        <v>733.2</v>
      </c>
      <c r="I1245" s="192">
        <f t="shared" si="96"/>
        <v>733.2</v>
      </c>
    </row>
    <row r="1246" spans="1:9" x14ac:dyDescent="0.2">
      <c r="A1246" s="189" t="s">
        <v>568</v>
      </c>
      <c r="B1246" s="190"/>
      <c r="C1246" s="189" t="s">
        <v>609</v>
      </c>
      <c r="D1246" s="189" t="s">
        <v>531</v>
      </c>
      <c r="E1246" s="189" t="s">
        <v>567</v>
      </c>
      <c r="F1246" s="190"/>
      <c r="G1246" s="191">
        <f t="shared" ref="G1246:H1250" si="97">G1247</f>
        <v>665</v>
      </c>
      <c r="H1246" s="191">
        <f t="shared" si="97"/>
        <v>665</v>
      </c>
      <c r="I1246" s="192">
        <f t="shared" si="96"/>
        <v>0</v>
      </c>
    </row>
    <row r="1247" spans="1:9" x14ac:dyDescent="0.2">
      <c r="A1247" s="189" t="s">
        <v>675</v>
      </c>
      <c r="B1247" s="190"/>
      <c r="C1247" s="189" t="s">
        <v>609</v>
      </c>
      <c r="D1247" s="189" t="s">
        <v>531</v>
      </c>
      <c r="E1247" s="189" t="s">
        <v>674</v>
      </c>
      <c r="F1247" s="190"/>
      <c r="G1247" s="191">
        <f t="shared" si="97"/>
        <v>665</v>
      </c>
      <c r="H1247" s="191">
        <f t="shared" si="97"/>
        <v>665</v>
      </c>
      <c r="I1247" s="192">
        <f t="shared" si="96"/>
        <v>0</v>
      </c>
    </row>
    <row r="1248" spans="1:9" ht="24" x14ac:dyDescent="0.2">
      <c r="A1248" s="189" t="s">
        <v>673</v>
      </c>
      <c r="B1248" s="190"/>
      <c r="C1248" s="189" t="s">
        <v>609</v>
      </c>
      <c r="D1248" s="189" t="s">
        <v>531</v>
      </c>
      <c r="E1248" s="189" t="s">
        <v>672</v>
      </c>
      <c r="F1248" s="190"/>
      <c r="G1248" s="191">
        <f t="shared" si="97"/>
        <v>665</v>
      </c>
      <c r="H1248" s="191">
        <f t="shared" si="97"/>
        <v>665</v>
      </c>
      <c r="I1248" s="192">
        <f t="shared" si="96"/>
        <v>0</v>
      </c>
    </row>
    <row r="1249" spans="1:9" x14ac:dyDescent="0.2">
      <c r="A1249" s="189" t="s">
        <v>671</v>
      </c>
      <c r="B1249" s="190"/>
      <c r="C1249" s="189" t="s">
        <v>609</v>
      </c>
      <c r="D1249" s="189" t="s">
        <v>531</v>
      </c>
      <c r="E1249" s="189" t="s">
        <v>669</v>
      </c>
      <c r="F1249" s="190"/>
      <c r="G1249" s="191">
        <f t="shared" si="97"/>
        <v>665</v>
      </c>
      <c r="H1249" s="191">
        <f t="shared" si="97"/>
        <v>665</v>
      </c>
      <c r="I1249" s="192">
        <f t="shared" si="96"/>
        <v>0</v>
      </c>
    </row>
    <row r="1250" spans="1:9" ht="24" x14ac:dyDescent="0.2">
      <c r="A1250" s="189" t="s">
        <v>547</v>
      </c>
      <c r="B1250" s="190"/>
      <c r="C1250" s="189" t="s">
        <v>609</v>
      </c>
      <c r="D1250" s="189" t="s">
        <v>531</v>
      </c>
      <c r="E1250" s="189" t="s">
        <v>669</v>
      </c>
      <c r="F1250" s="190" t="s">
        <v>519</v>
      </c>
      <c r="G1250" s="191">
        <f t="shared" si="97"/>
        <v>665</v>
      </c>
      <c r="H1250" s="191">
        <f t="shared" si="97"/>
        <v>665</v>
      </c>
      <c r="I1250" s="192">
        <f t="shared" si="96"/>
        <v>0</v>
      </c>
    </row>
    <row r="1251" spans="1:9" x14ac:dyDescent="0.2">
      <c r="A1251" s="189" t="s">
        <v>571</v>
      </c>
      <c r="B1251" s="190"/>
      <c r="C1251" s="189" t="s">
        <v>609</v>
      </c>
      <c r="D1251" s="189" t="s">
        <v>531</v>
      </c>
      <c r="E1251" s="189" t="s">
        <v>669</v>
      </c>
      <c r="F1251" s="190" t="s">
        <v>522</v>
      </c>
      <c r="G1251" s="191">
        <v>665</v>
      </c>
      <c r="H1251" s="191">
        <v>665</v>
      </c>
      <c r="I1251" s="192">
        <f t="shared" si="96"/>
        <v>0</v>
      </c>
    </row>
    <row r="1252" spans="1:9" x14ac:dyDescent="0.2">
      <c r="A1252" s="189" t="s">
        <v>689</v>
      </c>
      <c r="B1252" s="190"/>
      <c r="C1252" s="189" t="s">
        <v>609</v>
      </c>
      <c r="D1252" s="189" t="s">
        <v>670</v>
      </c>
      <c r="E1252" s="189"/>
      <c r="F1252" s="190"/>
      <c r="G1252" s="191">
        <f>G1253+G1269</f>
        <v>57023.8</v>
      </c>
      <c r="H1252" s="191">
        <f>H1253+H1269</f>
        <v>65269.400000000009</v>
      </c>
      <c r="I1252" s="192">
        <f t="shared" si="96"/>
        <v>8245.6000000000058</v>
      </c>
    </row>
    <row r="1253" spans="1:9" x14ac:dyDescent="0.2">
      <c r="A1253" s="189" t="s">
        <v>666</v>
      </c>
      <c r="B1253" s="190"/>
      <c r="C1253" s="189" t="s">
        <v>609</v>
      </c>
      <c r="D1253" s="189" t="s">
        <v>670</v>
      </c>
      <c r="E1253" s="189" t="s">
        <v>665</v>
      </c>
      <c r="F1253" s="190"/>
      <c r="G1253" s="191">
        <f>G1254+G1261</f>
        <v>45856.2</v>
      </c>
      <c r="H1253" s="191">
        <f>H1254+H1261</f>
        <v>54101.8</v>
      </c>
      <c r="I1253" s="192">
        <f t="shared" si="96"/>
        <v>8245.6000000000058</v>
      </c>
    </row>
    <row r="1254" spans="1:9" x14ac:dyDescent="0.2">
      <c r="A1254" s="189" t="s">
        <v>688</v>
      </c>
      <c r="B1254" s="190"/>
      <c r="C1254" s="189" t="s">
        <v>609</v>
      </c>
      <c r="D1254" s="189" t="s">
        <v>670</v>
      </c>
      <c r="E1254" s="189" t="s">
        <v>687</v>
      </c>
      <c r="F1254" s="190"/>
      <c r="G1254" s="191">
        <f>G1255</f>
        <v>25786.399999999998</v>
      </c>
      <c r="H1254" s="191">
        <f>H1255</f>
        <v>34532</v>
      </c>
      <c r="I1254" s="192">
        <f t="shared" si="96"/>
        <v>8745.6000000000022</v>
      </c>
    </row>
    <row r="1255" spans="1:9" ht="24" x14ac:dyDescent="0.2">
      <c r="A1255" s="189" t="s">
        <v>686</v>
      </c>
      <c r="B1255" s="190"/>
      <c r="C1255" s="189" t="s">
        <v>609</v>
      </c>
      <c r="D1255" s="189" t="s">
        <v>670</v>
      </c>
      <c r="E1255" s="189" t="s">
        <v>685</v>
      </c>
      <c r="F1255" s="190"/>
      <c r="G1255" s="191">
        <f>G1256</f>
        <v>25786.399999999998</v>
      </c>
      <c r="H1255" s="191">
        <f>H1256</f>
        <v>34532</v>
      </c>
      <c r="I1255" s="192">
        <f t="shared" si="96"/>
        <v>8745.6000000000022</v>
      </c>
    </row>
    <row r="1256" spans="1:9" ht="24" x14ac:dyDescent="0.2">
      <c r="A1256" s="189" t="s">
        <v>684</v>
      </c>
      <c r="B1256" s="190"/>
      <c r="C1256" s="189" t="s">
        <v>609</v>
      </c>
      <c r="D1256" s="189" t="s">
        <v>670</v>
      </c>
      <c r="E1256" s="189" t="s">
        <v>683</v>
      </c>
      <c r="F1256" s="190"/>
      <c r="G1256" s="191">
        <f>G1257+G1259</f>
        <v>25786.399999999998</v>
      </c>
      <c r="H1256" s="191">
        <f>H1257+H1259</f>
        <v>34532</v>
      </c>
      <c r="I1256" s="192">
        <f t="shared" si="96"/>
        <v>8745.6000000000022</v>
      </c>
    </row>
    <row r="1257" spans="1:9" x14ac:dyDescent="0.2">
      <c r="A1257" s="189" t="s">
        <v>1347</v>
      </c>
      <c r="B1257" s="190"/>
      <c r="C1257" s="189" t="s">
        <v>609</v>
      </c>
      <c r="D1257" s="189" t="s">
        <v>670</v>
      </c>
      <c r="E1257" s="189" t="s">
        <v>683</v>
      </c>
      <c r="F1257" s="190" t="s">
        <v>535</v>
      </c>
      <c r="G1257" s="191">
        <f>G1258</f>
        <v>2809.3</v>
      </c>
      <c r="H1257" s="191">
        <f>H1258</f>
        <v>2809.3</v>
      </c>
      <c r="I1257" s="192">
        <f t="shared" si="96"/>
        <v>0</v>
      </c>
    </row>
    <row r="1258" spans="1:9" ht="24" x14ac:dyDescent="0.2">
      <c r="A1258" s="189" t="s">
        <v>534</v>
      </c>
      <c r="B1258" s="190"/>
      <c r="C1258" s="189" t="s">
        <v>609</v>
      </c>
      <c r="D1258" s="189" t="s">
        <v>670</v>
      </c>
      <c r="E1258" s="189" t="s">
        <v>683</v>
      </c>
      <c r="F1258" s="190" t="s">
        <v>529</v>
      </c>
      <c r="G1258" s="191">
        <v>2809.3</v>
      </c>
      <c r="H1258" s="191">
        <v>2809.3</v>
      </c>
      <c r="I1258" s="192">
        <f t="shared" si="96"/>
        <v>0</v>
      </c>
    </row>
    <row r="1259" spans="1:9" ht="24" x14ac:dyDescent="0.2">
      <c r="A1259" s="189" t="s">
        <v>547</v>
      </c>
      <c r="B1259" s="190"/>
      <c r="C1259" s="189" t="s">
        <v>609</v>
      </c>
      <c r="D1259" s="189" t="s">
        <v>670</v>
      </c>
      <c r="E1259" s="189" t="s">
        <v>683</v>
      </c>
      <c r="F1259" s="190" t="s">
        <v>519</v>
      </c>
      <c r="G1259" s="191">
        <f>G1260</f>
        <v>22977.1</v>
      </c>
      <c r="H1259" s="191">
        <f>H1260</f>
        <v>31722.699999999997</v>
      </c>
      <c r="I1259" s="192">
        <f t="shared" si="96"/>
        <v>8745.5999999999985</v>
      </c>
    </row>
    <row r="1260" spans="1:9" x14ac:dyDescent="0.2">
      <c r="A1260" s="189" t="s">
        <v>571</v>
      </c>
      <c r="B1260" s="190"/>
      <c r="C1260" s="189" t="s">
        <v>609</v>
      </c>
      <c r="D1260" s="189" t="s">
        <v>670</v>
      </c>
      <c r="E1260" s="189" t="s">
        <v>683</v>
      </c>
      <c r="F1260" s="190" t="s">
        <v>522</v>
      </c>
      <c r="G1260" s="191">
        <f>30470.2-7493.1</f>
        <v>22977.1</v>
      </c>
      <c r="H1260" s="191">
        <f>30470.2-7493.1+8745.6</f>
        <v>31722.699999999997</v>
      </c>
      <c r="I1260" s="192">
        <f t="shared" si="96"/>
        <v>8745.5999999999985</v>
      </c>
    </row>
    <row r="1261" spans="1:9" x14ac:dyDescent="0.2">
      <c r="A1261" s="189" t="s">
        <v>682</v>
      </c>
      <c r="B1261" s="190"/>
      <c r="C1261" s="189" t="s">
        <v>609</v>
      </c>
      <c r="D1261" s="189" t="s">
        <v>670</v>
      </c>
      <c r="E1261" s="189" t="s">
        <v>681</v>
      </c>
      <c r="F1261" s="190"/>
      <c r="G1261" s="191">
        <f>G1262</f>
        <v>20069.8</v>
      </c>
      <c r="H1261" s="191">
        <f>H1262</f>
        <v>19569.8</v>
      </c>
      <c r="I1261" s="192">
        <f t="shared" si="96"/>
        <v>-500</v>
      </c>
    </row>
    <row r="1262" spans="1:9" ht="24" x14ac:dyDescent="0.2">
      <c r="A1262" s="189" t="s">
        <v>600</v>
      </c>
      <c r="B1262" s="190"/>
      <c r="C1262" s="189" t="s">
        <v>609</v>
      </c>
      <c r="D1262" s="189" t="s">
        <v>670</v>
      </c>
      <c r="E1262" s="189" t="s">
        <v>680</v>
      </c>
      <c r="F1262" s="190"/>
      <c r="G1262" s="191">
        <f>G1263+G1267</f>
        <v>20069.8</v>
      </c>
      <c r="H1262" s="191">
        <f>H1263+H1267</f>
        <v>19569.8</v>
      </c>
      <c r="I1262" s="192">
        <f t="shared" si="96"/>
        <v>-500</v>
      </c>
    </row>
    <row r="1263" spans="1:9" x14ac:dyDescent="0.2">
      <c r="A1263" s="189" t="s">
        <v>679</v>
      </c>
      <c r="B1263" s="190"/>
      <c r="C1263" s="189" t="s">
        <v>609</v>
      </c>
      <c r="D1263" s="189" t="s">
        <v>670</v>
      </c>
      <c r="E1263" s="189" t="s">
        <v>678</v>
      </c>
      <c r="F1263" s="190"/>
      <c r="G1263" s="191">
        <f>G1264</f>
        <v>1850</v>
      </c>
      <c r="H1263" s="191">
        <f>H1264</f>
        <v>1850</v>
      </c>
      <c r="I1263" s="192">
        <f t="shared" si="96"/>
        <v>0</v>
      </c>
    </row>
    <row r="1264" spans="1:9" ht="24" x14ac:dyDescent="0.2">
      <c r="A1264" s="189" t="s">
        <v>547</v>
      </c>
      <c r="B1264" s="190"/>
      <c r="C1264" s="189" t="s">
        <v>609</v>
      </c>
      <c r="D1264" s="189" t="s">
        <v>670</v>
      </c>
      <c r="E1264" s="189" t="s">
        <v>678</v>
      </c>
      <c r="F1264" s="190" t="s">
        <v>519</v>
      </c>
      <c r="G1264" s="191">
        <f>G1265</f>
        <v>1850</v>
      </c>
      <c r="H1264" s="191">
        <f>H1265</f>
        <v>1850</v>
      </c>
      <c r="I1264" s="192">
        <f t="shared" si="96"/>
        <v>0</v>
      </c>
    </row>
    <row r="1265" spans="1:9" x14ac:dyDescent="0.2">
      <c r="A1265" s="189" t="s">
        <v>571</v>
      </c>
      <c r="B1265" s="190"/>
      <c r="C1265" s="189" t="s">
        <v>609</v>
      </c>
      <c r="D1265" s="189" t="s">
        <v>670</v>
      </c>
      <c r="E1265" s="189" t="s">
        <v>678</v>
      </c>
      <c r="F1265" s="190" t="s">
        <v>522</v>
      </c>
      <c r="G1265" s="191">
        <f>3089-1239</f>
        <v>1850</v>
      </c>
      <c r="H1265" s="191">
        <f>3089-1239</f>
        <v>1850</v>
      </c>
      <c r="I1265" s="192">
        <f t="shared" si="96"/>
        <v>0</v>
      </c>
    </row>
    <row r="1266" spans="1:9" x14ac:dyDescent="0.2">
      <c r="A1266" s="189" t="s">
        <v>677</v>
      </c>
      <c r="B1266" s="190"/>
      <c r="C1266" s="189" t="s">
        <v>609</v>
      </c>
      <c r="D1266" s="189" t="s">
        <v>670</v>
      </c>
      <c r="E1266" s="189" t="s">
        <v>676</v>
      </c>
      <c r="F1266" s="190"/>
      <c r="G1266" s="191">
        <f>G1267</f>
        <v>18219.8</v>
      </c>
      <c r="H1266" s="191">
        <f>H1267</f>
        <v>17719.8</v>
      </c>
      <c r="I1266" s="192">
        <f t="shared" si="96"/>
        <v>-500</v>
      </c>
    </row>
    <row r="1267" spans="1:9" ht="24" x14ac:dyDescent="0.2">
      <c r="A1267" s="189" t="s">
        <v>547</v>
      </c>
      <c r="B1267" s="190"/>
      <c r="C1267" s="189" t="s">
        <v>609</v>
      </c>
      <c r="D1267" s="189" t="s">
        <v>670</v>
      </c>
      <c r="E1267" s="189" t="s">
        <v>676</v>
      </c>
      <c r="F1267" s="190" t="s">
        <v>519</v>
      </c>
      <c r="G1267" s="191">
        <f>G1268</f>
        <v>18219.8</v>
      </c>
      <c r="H1267" s="191">
        <f>H1268</f>
        <v>17719.8</v>
      </c>
      <c r="I1267" s="192">
        <f t="shared" si="96"/>
        <v>-500</v>
      </c>
    </row>
    <row r="1268" spans="1:9" x14ac:dyDescent="0.2">
      <c r="A1268" s="189" t="s">
        <v>571</v>
      </c>
      <c r="B1268" s="190"/>
      <c r="C1268" s="189" t="s">
        <v>609</v>
      </c>
      <c r="D1268" s="189" t="s">
        <v>670</v>
      </c>
      <c r="E1268" s="189" t="s">
        <v>676</v>
      </c>
      <c r="F1268" s="190" t="s">
        <v>522</v>
      </c>
      <c r="G1268" s="191">
        <f>17467.8+752</f>
        <v>18219.8</v>
      </c>
      <c r="H1268" s="191">
        <f>17467.8+752-500</f>
        <v>17719.8</v>
      </c>
      <c r="I1268" s="192">
        <f t="shared" si="96"/>
        <v>-500</v>
      </c>
    </row>
    <row r="1269" spans="1:9" x14ac:dyDescent="0.2">
      <c r="A1269" s="189" t="s">
        <v>568</v>
      </c>
      <c r="B1269" s="190"/>
      <c r="C1269" s="189" t="s">
        <v>609</v>
      </c>
      <c r="D1269" s="189" t="s">
        <v>670</v>
      </c>
      <c r="E1269" s="189" t="s">
        <v>567</v>
      </c>
      <c r="F1269" s="190"/>
      <c r="G1269" s="191">
        <f t="shared" ref="G1269:H1272" si="98">G1270</f>
        <v>11167.600000000002</v>
      </c>
      <c r="H1269" s="191">
        <f t="shared" si="98"/>
        <v>11167.600000000002</v>
      </c>
      <c r="I1269" s="192">
        <f t="shared" si="96"/>
        <v>0</v>
      </c>
    </row>
    <row r="1270" spans="1:9" x14ac:dyDescent="0.2">
      <c r="A1270" s="189" t="s">
        <v>675</v>
      </c>
      <c r="B1270" s="190"/>
      <c r="C1270" s="189" t="s">
        <v>609</v>
      </c>
      <c r="D1270" s="189" t="s">
        <v>670</v>
      </c>
      <c r="E1270" s="189" t="s">
        <v>674</v>
      </c>
      <c r="F1270" s="190"/>
      <c r="G1270" s="191">
        <f t="shared" si="98"/>
        <v>11167.600000000002</v>
      </c>
      <c r="H1270" s="191">
        <f t="shared" si="98"/>
        <v>11167.600000000002</v>
      </c>
      <c r="I1270" s="192">
        <f t="shared" si="96"/>
        <v>0</v>
      </c>
    </row>
    <row r="1271" spans="1:9" ht="24" x14ac:dyDescent="0.2">
      <c r="A1271" s="189" t="s">
        <v>673</v>
      </c>
      <c r="B1271" s="190"/>
      <c r="C1271" s="189" t="s">
        <v>609</v>
      </c>
      <c r="D1271" s="189" t="s">
        <v>670</v>
      </c>
      <c r="E1271" s="189" t="s">
        <v>672</v>
      </c>
      <c r="F1271" s="190"/>
      <c r="G1271" s="191">
        <f t="shared" si="98"/>
        <v>11167.600000000002</v>
      </c>
      <c r="H1271" s="191">
        <f t="shared" si="98"/>
        <v>11167.600000000002</v>
      </c>
      <c r="I1271" s="192">
        <f t="shared" si="96"/>
        <v>0</v>
      </c>
    </row>
    <row r="1272" spans="1:9" x14ac:dyDescent="0.2">
      <c r="A1272" s="189" t="s">
        <v>671</v>
      </c>
      <c r="B1272" s="190"/>
      <c r="C1272" s="189" t="s">
        <v>609</v>
      </c>
      <c r="D1272" s="189" t="s">
        <v>670</v>
      </c>
      <c r="E1272" s="189" t="s">
        <v>669</v>
      </c>
      <c r="F1272" s="190"/>
      <c r="G1272" s="191">
        <f t="shared" si="98"/>
        <v>11167.600000000002</v>
      </c>
      <c r="H1272" s="191">
        <f t="shared" si="98"/>
        <v>11167.600000000002</v>
      </c>
      <c r="I1272" s="192">
        <f t="shared" si="96"/>
        <v>0</v>
      </c>
    </row>
    <row r="1273" spans="1:9" ht="24" x14ac:dyDescent="0.2">
      <c r="A1273" s="189" t="s">
        <v>547</v>
      </c>
      <c r="B1273" s="190"/>
      <c r="C1273" s="189" t="s">
        <v>609</v>
      </c>
      <c r="D1273" s="189" t="s">
        <v>670</v>
      </c>
      <c r="E1273" s="189" t="s">
        <v>669</v>
      </c>
      <c r="F1273" s="190" t="s">
        <v>519</v>
      </c>
      <c r="G1273" s="191">
        <f>G1274+G1275</f>
        <v>11167.600000000002</v>
      </c>
      <c r="H1273" s="191">
        <f>H1274+H1275</f>
        <v>11167.600000000002</v>
      </c>
      <c r="I1273" s="192">
        <f t="shared" si="96"/>
        <v>0</v>
      </c>
    </row>
    <row r="1274" spans="1:9" x14ac:dyDescent="0.2">
      <c r="A1274" s="189" t="s">
        <v>571</v>
      </c>
      <c r="B1274" s="190"/>
      <c r="C1274" s="189" t="s">
        <v>609</v>
      </c>
      <c r="D1274" s="189" t="s">
        <v>670</v>
      </c>
      <c r="E1274" s="189" t="s">
        <v>669</v>
      </c>
      <c r="F1274" s="190" t="s">
        <v>522</v>
      </c>
      <c r="G1274" s="191">
        <f>8837.1-1387.7+2330.5</f>
        <v>9779.9000000000015</v>
      </c>
      <c r="H1274" s="191">
        <f>8837.1-1387.7+2330.5</f>
        <v>9779.9000000000015</v>
      </c>
      <c r="I1274" s="192">
        <f t="shared" si="96"/>
        <v>0</v>
      </c>
    </row>
    <row r="1275" spans="1:9" s="303" customFormat="1" x14ac:dyDescent="0.2">
      <c r="A1275" s="189" t="s">
        <v>546</v>
      </c>
      <c r="B1275" s="190"/>
      <c r="C1275" s="189" t="s">
        <v>609</v>
      </c>
      <c r="D1275" s="189" t="s">
        <v>670</v>
      </c>
      <c r="E1275" s="189" t="s">
        <v>669</v>
      </c>
      <c r="F1275" s="190">
        <v>620</v>
      </c>
      <c r="G1275" s="191">
        <v>1387.7</v>
      </c>
      <c r="H1275" s="191">
        <v>1387.7</v>
      </c>
      <c r="I1275" s="192">
        <f t="shared" si="96"/>
        <v>0</v>
      </c>
    </row>
    <row r="1276" spans="1:9" s="78" customFormat="1" x14ac:dyDescent="0.2">
      <c r="A1276" s="185" t="s">
        <v>668</v>
      </c>
      <c r="B1276" s="186"/>
      <c r="C1276" s="185" t="s">
        <v>657</v>
      </c>
      <c r="D1276" s="185"/>
      <c r="E1276" s="185"/>
      <c r="F1276" s="186"/>
      <c r="G1276" s="187">
        <f t="shared" ref="G1276:H1280" si="99">G1277</f>
        <v>106623</v>
      </c>
      <c r="H1276" s="187">
        <f t="shared" si="99"/>
        <v>88851</v>
      </c>
      <c r="I1276" s="188">
        <f t="shared" si="96"/>
        <v>-17772</v>
      </c>
    </row>
    <row r="1277" spans="1:9" x14ac:dyDescent="0.2">
      <c r="A1277" s="189" t="s">
        <v>667</v>
      </c>
      <c r="B1277" s="190"/>
      <c r="C1277" s="189" t="s">
        <v>657</v>
      </c>
      <c r="D1277" s="189" t="s">
        <v>507</v>
      </c>
      <c r="E1277" s="189"/>
      <c r="F1277" s="190"/>
      <c r="G1277" s="191">
        <f t="shared" si="99"/>
        <v>106623</v>
      </c>
      <c r="H1277" s="191">
        <f t="shared" si="99"/>
        <v>88851</v>
      </c>
      <c r="I1277" s="192">
        <f t="shared" si="96"/>
        <v>-17772</v>
      </c>
    </row>
    <row r="1278" spans="1:9" x14ac:dyDescent="0.2">
      <c r="A1278" s="189" t="s">
        <v>666</v>
      </c>
      <c r="B1278" s="190"/>
      <c r="C1278" s="189" t="s">
        <v>657</v>
      </c>
      <c r="D1278" s="189" t="s">
        <v>507</v>
      </c>
      <c r="E1278" s="189" t="s">
        <v>665</v>
      </c>
      <c r="F1278" s="190"/>
      <c r="G1278" s="191">
        <f t="shared" si="99"/>
        <v>106623</v>
      </c>
      <c r="H1278" s="191">
        <f t="shared" si="99"/>
        <v>88851</v>
      </c>
      <c r="I1278" s="192">
        <f t="shared" si="96"/>
        <v>-17772</v>
      </c>
    </row>
    <row r="1279" spans="1:9" x14ac:dyDescent="0.2">
      <c r="A1279" s="189" t="s">
        <v>664</v>
      </c>
      <c r="B1279" s="190"/>
      <c r="C1279" s="189" t="s">
        <v>657</v>
      </c>
      <c r="D1279" s="189" t="s">
        <v>507</v>
      </c>
      <c r="E1279" s="189" t="s">
        <v>663</v>
      </c>
      <c r="F1279" s="190"/>
      <c r="G1279" s="191">
        <f t="shared" si="99"/>
        <v>106623</v>
      </c>
      <c r="H1279" s="191">
        <f t="shared" si="99"/>
        <v>88851</v>
      </c>
      <c r="I1279" s="192">
        <f t="shared" si="96"/>
        <v>-17772</v>
      </c>
    </row>
    <row r="1280" spans="1:9" ht="24" x14ac:dyDescent="0.2">
      <c r="A1280" s="189" t="s">
        <v>662</v>
      </c>
      <c r="B1280" s="190"/>
      <c r="C1280" s="189" t="s">
        <v>657</v>
      </c>
      <c r="D1280" s="189" t="s">
        <v>507</v>
      </c>
      <c r="E1280" s="189" t="s">
        <v>661</v>
      </c>
      <c r="F1280" s="190"/>
      <c r="G1280" s="191">
        <f t="shared" si="99"/>
        <v>106623</v>
      </c>
      <c r="H1280" s="191">
        <f t="shared" si="99"/>
        <v>88851</v>
      </c>
      <c r="I1280" s="192">
        <f t="shared" si="96"/>
        <v>-17772</v>
      </c>
    </row>
    <row r="1281" spans="1:9" ht="36" x14ac:dyDescent="0.2">
      <c r="A1281" s="189" t="s">
        <v>660</v>
      </c>
      <c r="B1281" s="190"/>
      <c r="C1281" s="189" t="s">
        <v>657</v>
      </c>
      <c r="D1281" s="189" t="s">
        <v>507</v>
      </c>
      <c r="E1281" s="189" t="s">
        <v>656</v>
      </c>
      <c r="F1281" s="190"/>
      <c r="G1281" s="191">
        <f>G1282+G1284</f>
        <v>106623</v>
      </c>
      <c r="H1281" s="191">
        <f>H1282+H1284</f>
        <v>88851</v>
      </c>
      <c r="I1281" s="192">
        <f t="shared" si="96"/>
        <v>-17772</v>
      </c>
    </row>
    <row r="1282" spans="1:9" x14ac:dyDescent="0.2">
      <c r="A1282" s="189" t="s">
        <v>1347</v>
      </c>
      <c r="B1282" s="190"/>
      <c r="C1282" s="189" t="s">
        <v>657</v>
      </c>
      <c r="D1282" s="189" t="s">
        <v>507</v>
      </c>
      <c r="E1282" s="189" t="s">
        <v>656</v>
      </c>
      <c r="F1282" s="190" t="s">
        <v>535</v>
      </c>
      <c r="G1282" s="191">
        <f>G1283</f>
        <v>1056</v>
      </c>
      <c r="H1282" s="191">
        <f>H1283</f>
        <v>880</v>
      </c>
      <c r="I1282" s="192">
        <f t="shared" si="96"/>
        <v>-176</v>
      </c>
    </row>
    <row r="1283" spans="1:9" ht="24" x14ac:dyDescent="0.2">
      <c r="A1283" s="189" t="s">
        <v>534</v>
      </c>
      <c r="B1283" s="190"/>
      <c r="C1283" s="189" t="s">
        <v>657</v>
      </c>
      <c r="D1283" s="189" t="s">
        <v>507</v>
      </c>
      <c r="E1283" s="189" t="s">
        <v>656</v>
      </c>
      <c r="F1283" s="190" t="s">
        <v>529</v>
      </c>
      <c r="G1283" s="191">
        <v>1056</v>
      </c>
      <c r="H1283" s="191">
        <f>1056-176</f>
        <v>880</v>
      </c>
      <c r="I1283" s="192">
        <f t="shared" si="96"/>
        <v>-176</v>
      </c>
    </row>
    <row r="1284" spans="1:9" x14ac:dyDescent="0.2">
      <c r="A1284" s="189" t="s">
        <v>553</v>
      </c>
      <c r="B1284" s="190"/>
      <c r="C1284" s="189" t="s">
        <v>657</v>
      </c>
      <c r="D1284" s="189" t="s">
        <v>507</v>
      </c>
      <c r="E1284" s="189" t="s">
        <v>656</v>
      </c>
      <c r="F1284" s="190" t="s">
        <v>552</v>
      </c>
      <c r="G1284" s="191">
        <f>G1285</f>
        <v>105567</v>
      </c>
      <c r="H1284" s="191">
        <f>H1285</f>
        <v>87971</v>
      </c>
      <c r="I1284" s="192">
        <f t="shared" si="96"/>
        <v>-17596</v>
      </c>
    </row>
    <row r="1285" spans="1:9" x14ac:dyDescent="0.2">
      <c r="A1285" s="189" t="s">
        <v>659</v>
      </c>
      <c r="B1285" s="190"/>
      <c r="C1285" s="189" t="s">
        <v>657</v>
      </c>
      <c r="D1285" s="189" t="s">
        <v>507</v>
      </c>
      <c r="E1285" s="189" t="s">
        <v>656</v>
      </c>
      <c r="F1285" s="190" t="s">
        <v>655</v>
      </c>
      <c r="G1285" s="191">
        <v>105567</v>
      </c>
      <c r="H1285" s="191">
        <f>105567-17596</f>
        <v>87971</v>
      </c>
      <c r="I1285" s="192">
        <f t="shared" si="96"/>
        <v>-17596</v>
      </c>
    </row>
    <row r="1286" spans="1:9" x14ac:dyDescent="0.2">
      <c r="A1286" s="181" t="s">
        <v>1360</v>
      </c>
      <c r="B1286" s="182" t="s">
        <v>618</v>
      </c>
      <c r="C1286" s="181"/>
      <c r="D1286" s="181"/>
      <c r="E1286" s="181"/>
      <c r="F1286" s="182"/>
      <c r="G1286" s="183">
        <f>G1287+G1300</f>
        <v>506110.00000000006</v>
      </c>
      <c r="H1286" s="183">
        <f>H1287+H1300</f>
        <v>507796.4</v>
      </c>
      <c r="I1286" s="184">
        <f t="shared" si="96"/>
        <v>1686.3999999999651</v>
      </c>
    </row>
    <row r="1287" spans="1:9" s="78" customFormat="1" x14ac:dyDescent="0.2">
      <c r="A1287" s="185" t="s">
        <v>606</v>
      </c>
      <c r="B1287" s="186"/>
      <c r="C1287" s="185" t="s">
        <v>498</v>
      </c>
      <c r="D1287" s="185"/>
      <c r="E1287" s="185"/>
      <c r="F1287" s="186"/>
      <c r="G1287" s="187">
        <f>G1288+G1295</f>
        <v>1259.9000000000001</v>
      </c>
      <c r="H1287" s="187">
        <f>H1288+H1295</f>
        <v>759.9</v>
      </c>
      <c r="I1287" s="188">
        <f t="shared" si="96"/>
        <v>-500.00000000000011</v>
      </c>
    </row>
    <row r="1288" spans="1:9" ht="24" x14ac:dyDescent="0.2">
      <c r="A1288" s="189" t="s">
        <v>605</v>
      </c>
      <c r="B1288" s="190"/>
      <c r="C1288" s="189" t="s">
        <v>498</v>
      </c>
      <c r="D1288" s="189" t="s">
        <v>507</v>
      </c>
      <c r="E1288" s="189"/>
      <c r="F1288" s="190"/>
      <c r="G1288" s="191">
        <f t="shared" ref="G1288:H1293" si="100">G1289</f>
        <v>759.9</v>
      </c>
      <c r="H1288" s="191">
        <f t="shared" si="100"/>
        <v>759.9</v>
      </c>
      <c r="I1288" s="192">
        <f t="shared" si="96"/>
        <v>0</v>
      </c>
    </row>
    <row r="1289" spans="1:9" x14ac:dyDescent="0.2">
      <c r="A1289" s="189" t="s">
        <v>604</v>
      </c>
      <c r="B1289" s="190"/>
      <c r="C1289" s="189" t="s">
        <v>498</v>
      </c>
      <c r="D1289" s="189" t="s">
        <v>507</v>
      </c>
      <c r="E1289" s="189" t="s">
        <v>603</v>
      </c>
      <c r="F1289" s="190"/>
      <c r="G1289" s="191">
        <f t="shared" si="100"/>
        <v>759.9</v>
      </c>
      <c r="H1289" s="191">
        <f t="shared" si="100"/>
        <v>759.9</v>
      </c>
      <c r="I1289" s="192">
        <f t="shared" si="96"/>
        <v>0</v>
      </c>
    </row>
    <row r="1290" spans="1:9" x14ac:dyDescent="0.2">
      <c r="A1290" s="189" t="s">
        <v>602</v>
      </c>
      <c r="B1290" s="190"/>
      <c r="C1290" s="189" t="s">
        <v>498</v>
      </c>
      <c r="D1290" s="189" t="s">
        <v>507</v>
      </c>
      <c r="E1290" s="189" t="s">
        <v>601</v>
      </c>
      <c r="F1290" s="190"/>
      <c r="G1290" s="191">
        <f t="shared" si="100"/>
        <v>759.9</v>
      </c>
      <c r="H1290" s="191">
        <f t="shared" si="100"/>
        <v>759.9</v>
      </c>
      <c r="I1290" s="192">
        <f t="shared" si="96"/>
        <v>0</v>
      </c>
    </row>
    <row r="1291" spans="1:9" ht="24" x14ac:dyDescent="0.2">
      <c r="A1291" s="189" t="s">
        <v>600</v>
      </c>
      <c r="B1291" s="190"/>
      <c r="C1291" s="189" t="s">
        <v>498</v>
      </c>
      <c r="D1291" s="189" t="s">
        <v>507</v>
      </c>
      <c r="E1291" s="189" t="s">
        <v>599</v>
      </c>
      <c r="F1291" s="190"/>
      <c r="G1291" s="191">
        <f t="shared" si="100"/>
        <v>759.9</v>
      </c>
      <c r="H1291" s="191">
        <f t="shared" si="100"/>
        <v>759.9</v>
      </c>
      <c r="I1291" s="192">
        <f t="shared" si="96"/>
        <v>0</v>
      </c>
    </row>
    <row r="1292" spans="1:9" x14ac:dyDescent="0.2">
      <c r="A1292" s="189" t="s">
        <v>598</v>
      </c>
      <c r="B1292" s="190"/>
      <c r="C1292" s="189" t="s">
        <v>498</v>
      </c>
      <c r="D1292" s="189" t="s">
        <v>507</v>
      </c>
      <c r="E1292" s="189" t="s">
        <v>597</v>
      </c>
      <c r="F1292" s="190"/>
      <c r="G1292" s="191">
        <f t="shared" si="100"/>
        <v>759.9</v>
      </c>
      <c r="H1292" s="191">
        <f t="shared" si="100"/>
        <v>759.9</v>
      </c>
      <c r="I1292" s="192">
        <f t="shared" si="96"/>
        <v>0</v>
      </c>
    </row>
    <row r="1293" spans="1:9" x14ac:dyDescent="0.2">
      <c r="A1293" s="189" t="s">
        <v>1347</v>
      </c>
      <c r="B1293" s="190"/>
      <c r="C1293" s="189" t="s">
        <v>498</v>
      </c>
      <c r="D1293" s="189" t="s">
        <v>507</v>
      </c>
      <c r="E1293" s="189" t="s">
        <v>597</v>
      </c>
      <c r="F1293" s="190" t="s">
        <v>535</v>
      </c>
      <c r="G1293" s="191">
        <f t="shared" si="100"/>
        <v>759.9</v>
      </c>
      <c r="H1293" s="191">
        <f t="shared" si="100"/>
        <v>759.9</v>
      </c>
      <c r="I1293" s="192">
        <f t="shared" si="96"/>
        <v>0</v>
      </c>
    </row>
    <row r="1294" spans="1:9" ht="24" x14ac:dyDescent="0.2">
      <c r="A1294" s="189" t="s">
        <v>534</v>
      </c>
      <c r="B1294" s="190"/>
      <c r="C1294" s="189" t="s">
        <v>498</v>
      </c>
      <c r="D1294" s="189" t="s">
        <v>507</v>
      </c>
      <c r="E1294" s="189" t="s">
        <v>597</v>
      </c>
      <c r="F1294" s="190" t="s">
        <v>529</v>
      </c>
      <c r="G1294" s="191">
        <v>759.9</v>
      </c>
      <c r="H1294" s="191">
        <v>759.9</v>
      </c>
      <c r="I1294" s="192">
        <f t="shared" si="96"/>
        <v>0</v>
      </c>
    </row>
    <row r="1295" spans="1:9" x14ac:dyDescent="0.2">
      <c r="A1295" s="189" t="s">
        <v>596</v>
      </c>
      <c r="B1295" s="190"/>
      <c r="C1295" s="189" t="s">
        <v>498</v>
      </c>
      <c r="D1295" s="189" t="s">
        <v>592</v>
      </c>
      <c r="E1295" s="189"/>
      <c r="F1295" s="190"/>
      <c r="G1295" s="191">
        <f t="shared" ref="G1295:H1298" si="101">G1296</f>
        <v>500</v>
      </c>
      <c r="H1295" s="191">
        <f t="shared" si="101"/>
        <v>0</v>
      </c>
      <c r="I1295" s="192">
        <f t="shared" si="96"/>
        <v>-500</v>
      </c>
    </row>
    <row r="1296" spans="1:9" x14ac:dyDescent="0.2">
      <c r="A1296" s="189" t="s">
        <v>595</v>
      </c>
      <c r="B1296" s="190"/>
      <c r="C1296" s="189" t="s">
        <v>498</v>
      </c>
      <c r="D1296" s="189" t="s">
        <v>592</v>
      </c>
      <c r="E1296" s="189" t="s">
        <v>594</v>
      </c>
      <c r="F1296" s="190"/>
      <c r="G1296" s="191">
        <f t="shared" si="101"/>
        <v>500</v>
      </c>
      <c r="H1296" s="191">
        <f t="shared" si="101"/>
        <v>0</v>
      </c>
      <c r="I1296" s="192">
        <f t="shared" ref="I1296:I1355" si="102">H1296-G1296</f>
        <v>-500</v>
      </c>
    </row>
    <row r="1297" spans="1:9" ht="24" x14ac:dyDescent="0.2">
      <c r="A1297" s="189" t="s">
        <v>593</v>
      </c>
      <c r="B1297" s="190"/>
      <c r="C1297" s="189" t="s">
        <v>498</v>
      </c>
      <c r="D1297" s="189" t="s">
        <v>592</v>
      </c>
      <c r="E1297" s="189" t="s">
        <v>591</v>
      </c>
      <c r="F1297" s="190"/>
      <c r="G1297" s="191">
        <f t="shared" si="101"/>
        <v>500</v>
      </c>
      <c r="H1297" s="191">
        <f t="shared" si="101"/>
        <v>0</v>
      </c>
      <c r="I1297" s="192">
        <f t="shared" si="102"/>
        <v>-500</v>
      </c>
    </row>
    <row r="1298" spans="1:9" x14ac:dyDescent="0.2">
      <c r="A1298" s="189" t="s">
        <v>1347</v>
      </c>
      <c r="B1298" s="190"/>
      <c r="C1298" s="189" t="s">
        <v>498</v>
      </c>
      <c r="D1298" s="189" t="s">
        <v>592</v>
      </c>
      <c r="E1298" s="189" t="s">
        <v>591</v>
      </c>
      <c r="F1298" s="190" t="s">
        <v>535</v>
      </c>
      <c r="G1298" s="191">
        <f t="shared" si="101"/>
        <v>500</v>
      </c>
      <c r="H1298" s="191">
        <f t="shared" si="101"/>
        <v>0</v>
      </c>
      <c r="I1298" s="192">
        <f t="shared" si="102"/>
        <v>-500</v>
      </c>
    </row>
    <row r="1299" spans="1:9" ht="24" x14ac:dyDescent="0.2">
      <c r="A1299" s="189" t="s">
        <v>534</v>
      </c>
      <c r="B1299" s="190"/>
      <c r="C1299" s="189" t="s">
        <v>498</v>
      </c>
      <c r="D1299" s="189" t="s">
        <v>592</v>
      </c>
      <c r="E1299" s="189" t="s">
        <v>591</v>
      </c>
      <c r="F1299" s="190" t="s">
        <v>529</v>
      </c>
      <c r="G1299" s="191">
        <f>1500-550-450</f>
        <v>500</v>
      </c>
      <c r="H1299" s="191">
        <f>1500-550-450-300-200</f>
        <v>0</v>
      </c>
      <c r="I1299" s="192">
        <f t="shared" si="102"/>
        <v>-500</v>
      </c>
    </row>
    <row r="1300" spans="1:9" s="78" customFormat="1" x14ac:dyDescent="0.2">
      <c r="A1300" s="185" t="s">
        <v>1345</v>
      </c>
      <c r="B1300" s="186"/>
      <c r="C1300" s="185" t="s">
        <v>617</v>
      </c>
      <c r="D1300" s="185"/>
      <c r="E1300" s="185"/>
      <c r="F1300" s="186"/>
      <c r="G1300" s="187">
        <f>G1301</f>
        <v>504850.10000000003</v>
      </c>
      <c r="H1300" s="187">
        <f>H1301</f>
        <v>507036.5</v>
      </c>
      <c r="I1300" s="188">
        <f t="shared" si="102"/>
        <v>2186.3999999999651</v>
      </c>
    </row>
    <row r="1301" spans="1:9" x14ac:dyDescent="0.2">
      <c r="A1301" s="189" t="s">
        <v>654</v>
      </c>
      <c r="B1301" s="190"/>
      <c r="C1301" s="189" t="s">
        <v>617</v>
      </c>
      <c r="D1301" s="189" t="s">
        <v>498</v>
      </c>
      <c r="E1301" s="189"/>
      <c r="F1301" s="190"/>
      <c r="G1301" s="191">
        <f>G1302+G1347</f>
        <v>504850.10000000003</v>
      </c>
      <c r="H1301" s="191">
        <f>H1302+H1347</f>
        <v>507036.5</v>
      </c>
      <c r="I1301" s="192">
        <f t="shared" si="102"/>
        <v>2186.3999999999651</v>
      </c>
    </row>
    <row r="1302" spans="1:9" x14ac:dyDescent="0.2">
      <c r="A1302" s="189" t="s">
        <v>653</v>
      </c>
      <c r="B1302" s="190"/>
      <c r="C1302" s="189" t="s">
        <v>617</v>
      </c>
      <c r="D1302" s="189" t="s">
        <v>498</v>
      </c>
      <c r="E1302" s="189" t="s">
        <v>652</v>
      </c>
      <c r="F1302" s="190"/>
      <c r="G1302" s="191">
        <f>G1303+G1308+G1317+G1340</f>
        <v>504517.60000000003</v>
      </c>
      <c r="H1302" s="191">
        <f>H1303+H1308+H1317+H1340</f>
        <v>505667.3</v>
      </c>
      <c r="I1302" s="192">
        <f t="shared" si="102"/>
        <v>1149.6999999999534</v>
      </c>
    </row>
    <row r="1303" spans="1:9" x14ac:dyDescent="0.2">
      <c r="A1303" s="189" t="s">
        <v>651</v>
      </c>
      <c r="B1303" s="190"/>
      <c r="C1303" s="189" t="s">
        <v>617</v>
      </c>
      <c r="D1303" s="189" t="s">
        <v>498</v>
      </c>
      <c r="E1303" s="189" t="s">
        <v>650</v>
      </c>
      <c r="F1303" s="190"/>
      <c r="G1303" s="191">
        <f t="shared" ref="G1303:H1306" si="103">G1304</f>
        <v>26119.8</v>
      </c>
      <c r="H1303" s="191">
        <f t="shared" si="103"/>
        <v>26119.8</v>
      </c>
      <c r="I1303" s="192">
        <f t="shared" si="102"/>
        <v>0</v>
      </c>
    </row>
    <row r="1304" spans="1:9" x14ac:dyDescent="0.2">
      <c r="A1304" s="189" t="s">
        <v>649</v>
      </c>
      <c r="B1304" s="190"/>
      <c r="C1304" s="189" t="s">
        <v>617</v>
      </c>
      <c r="D1304" s="189" t="s">
        <v>498</v>
      </c>
      <c r="E1304" s="189" t="s">
        <v>648</v>
      </c>
      <c r="F1304" s="190"/>
      <c r="G1304" s="191">
        <f t="shared" si="103"/>
        <v>26119.8</v>
      </c>
      <c r="H1304" s="191">
        <f t="shared" si="103"/>
        <v>26119.8</v>
      </c>
      <c r="I1304" s="192">
        <f t="shared" si="102"/>
        <v>0</v>
      </c>
    </row>
    <row r="1305" spans="1:9" ht="24" x14ac:dyDescent="0.2">
      <c r="A1305" s="189" t="s">
        <v>647</v>
      </c>
      <c r="B1305" s="190"/>
      <c r="C1305" s="189" t="s">
        <v>617</v>
      </c>
      <c r="D1305" s="189" t="s">
        <v>498</v>
      </c>
      <c r="E1305" s="189" t="s">
        <v>646</v>
      </c>
      <c r="F1305" s="190"/>
      <c r="G1305" s="191">
        <f t="shared" si="103"/>
        <v>26119.8</v>
      </c>
      <c r="H1305" s="191">
        <f t="shared" si="103"/>
        <v>26119.8</v>
      </c>
      <c r="I1305" s="192">
        <f t="shared" si="102"/>
        <v>0</v>
      </c>
    </row>
    <row r="1306" spans="1:9" ht="24" x14ac:dyDescent="0.2">
      <c r="A1306" s="189" t="s">
        <v>547</v>
      </c>
      <c r="B1306" s="190"/>
      <c r="C1306" s="189" t="s">
        <v>617</v>
      </c>
      <c r="D1306" s="189" t="s">
        <v>498</v>
      </c>
      <c r="E1306" s="189" t="s">
        <v>646</v>
      </c>
      <c r="F1306" s="190" t="s">
        <v>519</v>
      </c>
      <c r="G1306" s="191">
        <f t="shared" si="103"/>
        <v>26119.8</v>
      </c>
      <c r="H1306" s="191">
        <f t="shared" si="103"/>
        <v>26119.8</v>
      </c>
      <c r="I1306" s="192">
        <f t="shared" si="102"/>
        <v>0</v>
      </c>
    </row>
    <row r="1307" spans="1:9" x14ac:dyDescent="0.2">
      <c r="A1307" s="189" t="s">
        <v>571</v>
      </c>
      <c r="B1307" s="190"/>
      <c r="C1307" s="189" t="s">
        <v>617</v>
      </c>
      <c r="D1307" s="189" t="s">
        <v>498</v>
      </c>
      <c r="E1307" s="189" t="s">
        <v>646</v>
      </c>
      <c r="F1307" s="190" t="s">
        <v>522</v>
      </c>
      <c r="G1307" s="191">
        <v>26119.8</v>
      </c>
      <c r="H1307" s="191">
        <v>26119.8</v>
      </c>
      <c r="I1307" s="192">
        <f t="shared" si="102"/>
        <v>0</v>
      </c>
    </row>
    <row r="1308" spans="1:9" x14ac:dyDescent="0.2">
      <c r="A1308" s="189" t="s">
        <v>645</v>
      </c>
      <c r="B1308" s="190"/>
      <c r="C1308" s="189" t="s">
        <v>617</v>
      </c>
      <c r="D1308" s="189" t="s">
        <v>498</v>
      </c>
      <c r="E1308" s="189" t="s">
        <v>644</v>
      </c>
      <c r="F1308" s="190"/>
      <c r="G1308" s="191">
        <f t="shared" ref="G1308:H1313" si="104">G1309</f>
        <v>86977.8</v>
      </c>
      <c r="H1308" s="191">
        <f t="shared" si="104"/>
        <v>88502.900000000009</v>
      </c>
      <c r="I1308" s="192">
        <f t="shared" si="102"/>
        <v>1525.1000000000058</v>
      </c>
    </row>
    <row r="1309" spans="1:9" ht="24" x14ac:dyDescent="0.2">
      <c r="A1309" s="189" t="s">
        <v>643</v>
      </c>
      <c r="B1309" s="190"/>
      <c r="C1309" s="189" t="s">
        <v>617</v>
      </c>
      <c r="D1309" s="189" t="s">
        <v>498</v>
      </c>
      <c r="E1309" s="189" t="s">
        <v>642</v>
      </c>
      <c r="F1309" s="190"/>
      <c r="G1309" s="191">
        <f>G1313</f>
        <v>86977.8</v>
      </c>
      <c r="H1309" s="191">
        <f>H1313+H1310</f>
        <v>88502.900000000009</v>
      </c>
      <c r="I1309" s="192">
        <f t="shared" si="102"/>
        <v>1525.1000000000058</v>
      </c>
    </row>
    <row r="1310" spans="1:9" s="425" customFormat="1" ht="24" x14ac:dyDescent="0.2">
      <c r="A1310" s="189" t="s">
        <v>881</v>
      </c>
      <c r="B1310" s="189"/>
      <c r="C1310" s="189" t="s">
        <v>617</v>
      </c>
      <c r="D1310" s="189" t="s">
        <v>498</v>
      </c>
      <c r="E1310" s="189" t="s">
        <v>880</v>
      </c>
      <c r="F1310" s="189"/>
      <c r="G1310" s="191">
        <f>G1311</f>
        <v>0</v>
      </c>
      <c r="H1310" s="191">
        <f>H1311</f>
        <v>1525.1</v>
      </c>
      <c r="I1310" s="192">
        <f t="shared" si="102"/>
        <v>1525.1</v>
      </c>
    </row>
    <row r="1311" spans="1:9" s="425" customFormat="1" ht="24" x14ac:dyDescent="0.2">
      <c r="A1311" s="189" t="s">
        <v>547</v>
      </c>
      <c r="B1311" s="189"/>
      <c r="C1311" s="189" t="s">
        <v>617</v>
      </c>
      <c r="D1311" s="189" t="s">
        <v>498</v>
      </c>
      <c r="E1311" s="189" t="s">
        <v>880</v>
      </c>
      <c r="F1311" s="190" t="s">
        <v>519</v>
      </c>
      <c r="G1311" s="191">
        <f>G1312</f>
        <v>0</v>
      </c>
      <c r="H1311" s="191">
        <f>H1312</f>
        <v>1525.1</v>
      </c>
      <c r="I1311" s="192">
        <f t="shared" si="102"/>
        <v>1525.1</v>
      </c>
    </row>
    <row r="1312" spans="1:9" s="425" customFormat="1" x14ac:dyDescent="0.2">
      <c r="A1312" s="189" t="s">
        <v>546</v>
      </c>
      <c r="B1312" s="189"/>
      <c r="C1312" s="189" t="s">
        <v>617</v>
      </c>
      <c r="D1312" s="189" t="s">
        <v>498</v>
      </c>
      <c r="E1312" s="189" t="s">
        <v>880</v>
      </c>
      <c r="F1312" s="190" t="s">
        <v>544</v>
      </c>
      <c r="G1312" s="191">
        <v>0</v>
      </c>
      <c r="H1312" s="191">
        <f>425.1+500+600</f>
        <v>1525.1</v>
      </c>
      <c r="I1312" s="192">
        <f t="shared" si="102"/>
        <v>1525.1</v>
      </c>
    </row>
    <row r="1313" spans="1:9" ht="24" x14ac:dyDescent="0.2">
      <c r="A1313" s="189" t="s">
        <v>641</v>
      </c>
      <c r="B1313" s="190"/>
      <c r="C1313" s="189" t="s">
        <v>617</v>
      </c>
      <c r="D1313" s="189" t="s">
        <v>498</v>
      </c>
      <c r="E1313" s="189" t="s">
        <v>640</v>
      </c>
      <c r="F1313" s="190"/>
      <c r="G1313" s="191">
        <f t="shared" si="104"/>
        <v>86977.8</v>
      </c>
      <c r="H1313" s="191">
        <f t="shared" si="104"/>
        <v>86977.8</v>
      </c>
      <c r="I1313" s="192">
        <f t="shared" si="102"/>
        <v>0</v>
      </c>
    </row>
    <row r="1314" spans="1:9" ht="24" x14ac:dyDescent="0.2">
      <c r="A1314" s="189" t="s">
        <v>547</v>
      </c>
      <c r="B1314" s="190"/>
      <c r="C1314" s="189" t="s">
        <v>617</v>
      </c>
      <c r="D1314" s="189" t="s">
        <v>498</v>
      </c>
      <c r="E1314" s="189" t="s">
        <v>640</v>
      </c>
      <c r="F1314" s="190" t="s">
        <v>519</v>
      </c>
      <c r="G1314" s="191">
        <f>G1315+G1316</f>
        <v>86977.8</v>
      </c>
      <c r="H1314" s="191">
        <f>H1315+H1316</f>
        <v>86977.8</v>
      </c>
      <c r="I1314" s="192">
        <f t="shared" si="102"/>
        <v>0</v>
      </c>
    </row>
    <row r="1315" spans="1:9" x14ac:dyDescent="0.2">
      <c r="A1315" s="189" t="s">
        <v>571</v>
      </c>
      <c r="B1315" s="190"/>
      <c r="C1315" s="189" t="s">
        <v>617</v>
      </c>
      <c r="D1315" s="189" t="s">
        <v>498</v>
      </c>
      <c r="E1315" s="189" t="s">
        <v>640</v>
      </c>
      <c r="F1315" s="190" t="s">
        <v>522</v>
      </c>
      <c r="G1315" s="191">
        <f>13711.4-12537</f>
        <v>1174.3999999999996</v>
      </c>
      <c r="H1315" s="191">
        <f>13711.4-12537</f>
        <v>1174.3999999999996</v>
      </c>
      <c r="I1315" s="192">
        <f t="shared" si="102"/>
        <v>0</v>
      </c>
    </row>
    <row r="1316" spans="1:9" x14ac:dyDescent="0.2">
      <c r="A1316" s="189" t="s">
        <v>546</v>
      </c>
      <c r="B1316" s="190"/>
      <c r="C1316" s="189" t="s">
        <v>617</v>
      </c>
      <c r="D1316" s="189" t="s">
        <v>498</v>
      </c>
      <c r="E1316" s="189" t="s">
        <v>640</v>
      </c>
      <c r="F1316" s="190" t="s">
        <v>544</v>
      </c>
      <c r="G1316" s="191">
        <f>73235.6-19.2+12537+450-400</f>
        <v>85803.400000000009</v>
      </c>
      <c r="H1316" s="191">
        <f>73235.6-19.2+12537+450-400</f>
        <v>85803.400000000009</v>
      </c>
      <c r="I1316" s="192">
        <f t="shared" si="102"/>
        <v>0</v>
      </c>
    </row>
    <row r="1317" spans="1:9" ht="24" x14ac:dyDescent="0.2">
      <c r="A1317" s="189" t="s">
        <v>639</v>
      </c>
      <c r="B1317" s="190"/>
      <c r="C1317" s="189" t="s">
        <v>617</v>
      </c>
      <c r="D1317" s="189" t="s">
        <v>498</v>
      </c>
      <c r="E1317" s="189" t="s">
        <v>638</v>
      </c>
      <c r="F1317" s="190"/>
      <c r="G1317" s="191">
        <f>G1318+G1329+G1335</f>
        <v>387341.8</v>
      </c>
      <c r="H1317" s="191">
        <f>H1318+H1329+H1335</f>
        <v>387380.6</v>
      </c>
      <c r="I1317" s="192">
        <f t="shared" si="102"/>
        <v>38.799999999988358</v>
      </c>
    </row>
    <row r="1318" spans="1:9" x14ac:dyDescent="0.2">
      <c r="A1318" s="189" t="s">
        <v>637</v>
      </c>
      <c r="B1318" s="190"/>
      <c r="C1318" s="189" t="s">
        <v>617</v>
      </c>
      <c r="D1318" s="189" t="s">
        <v>498</v>
      </c>
      <c r="E1318" s="189" t="s">
        <v>636</v>
      </c>
      <c r="F1318" s="190"/>
      <c r="G1318" s="191">
        <f>G1319+G1323+G1326</f>
        <v>129764</v>
      </c>
      <c r="H1318" s="191">
        <f>H1319+H1323+H1326</f>
        <v>127797.8</v>
      </c>
      <c r="I1318" s="192">
        <f t="shared" si="102"/>
        <v>-1966.1999999999971</v>
      </c>
    </row>
    <row r="1319" spans="1:9" x14ac:dyDescent="0.2">
      <c r="A1319" s="189" t="s">
        <v>622</v>
      </c>
      <c r="B1319" s="190"/>
      <c r="C1319" s="189" t="s">
        <v>617</v>
      </c>
      <c r="D1319" s="189" t="s">
        <v>498</v>
      </c>
      <c r="E1319" s="189" t="s">
        <v>635</v>
      </c>
      <c r="F1319" s="190"/>
      <c r="G1319" s="191">
        <f>G1320</f>
        <v>13787.8</v>
      </c>
      <c r="H1319" s="191">
        <f>H1320</f>
        <v>11821.599999999999</v>
      </c>
      <c r="I1319" s="192">
        <f t="shared" si="102"/>
        <v>-1966.2000000000007</v>
      </c>
    </row>
    <row r="1320" spans="1:9" ht="24" x14ac:dyDescent="0.2">
      <c r="A1320" s="189" t="s">
        <v>547</v>
      </c>
      <c r="B1320" s="190"/>
      <c r="C1320" s="189" t="s">
        <v>617</v>
      </c>
      <c r="D1320" s="189" t="s">
        <v>498</v>
      </c>
      <c r="E1320" s="189" t="s">
        <v>635</v>
      </c>
      <c r="F1320" s="190" t="s">
        <v>519</v>
      </c>
      <c r="G1320" s="191">
        <f>G1321+G1322</f>
        <v>13787.8</v>
      </c>
      <c r="H1320" s="191">
        <f>H1321+H1322</f>
        <v>11821.599999999999</v>
      </c>
      <c r="I1320" s="192">
        <f t="shared" si="102"/>
        <v>-1966.2000000000007</v>
      </c>
    </row>
    <row r="1321" spans="1:9" x14ac:dyDescent="0.2">
      <c r="A1321" s="189" t="s">
        <v>571</v>
      </c>
      <c r="B1321" s="190"/>
      <c r="C1321" s="189" t="s">
        <v>617</v>
      </c>
      <c r="D1321" s="189" t="s">
        <v>498</v>
      </c>
      <c r="E1321" s="189" t="s">
        <v>635</v>
      </c>
      <c r="F1321" s="190" t="s">
        <v>522</v>
      </c>
      <c r="G1321" s="191">
        <f>11250+400-50+231.8-1254</f>
        <v>10577.8</v>
      </c>
      <c r="H1321" s="191">
        <f>11250+400-50+231.8-1254-460-125-270.9+150-0.1-0.2-1200-105+260-230</f>
        <v>8596.5999999999985</v>
      </c>
      <c r="I1321" s="192">
        <f t="shared" si="102"/>
        <v>-1981.2000000000007</v>
      </c>
    </row>
    <row r="1322" spans="1:9" x14ac:dyDescent="0.2">
      <c r="A1322" s="189" t="s">
        <v>546</v>
      </c>
      <c r="B1322" s="190"/>
      <c r="C1322" s="189" t="s">
        <v>617</v>
      </c>
      <c r="D1322" s="189" t="s">
        <v>498</v>
      </c>
      <c r="E1322" s="189" t="s">
        <v>635</v>
      </c>
      <c r="F1322" s="190" t="s">
        <v>544</v>
      </c>
      <c r="G1322" s="191">
        <f>3200+50-40</f>
        <v>3210</v>
      </c>
      <c r="H1322" s="191">
        <f>3200+50-40+460-675+230</f>
        <v>3225</v>
      </c>
      <c r="I1322" s="192">
        <f t="shared" si="102"/>
        <v>15</v>
      </c>
    </row>
    <row r="1323" spans="1:9" ht="24" x14ac:dyDescent="0.2">
      <c r="A1323" s="189" t="s">
        <v>634</v>
      </c>
      <c r="B1323" s="190"/>
      <c r="C1323" s="189" t="s">
        <v>617</v>
      </c>
      <c r="D1323" s="189" t="s">
        <v>498</v>
      </c>
      <c r="E1323" s="189" t="s">
        <v>633</v>
      </c>
      <c r="F1323" s="190"/>
      <c r="G1323" s="191">
        <f>G1324</f>
        <v>109258.4</v>
      </c>
      <c r="H1323" s="191">
        <f>H1324</f>
        <v>109258.4</v>
      </c>
      <c r="I1323" s="192">
        <f t="shared" si="102"/>
        <v>0</v>
      </c>
    </row>
    <row r="1324" spans="1:9" ht="24" x14ac:dyDescent="0.2">
      <c r="A1324" s="189" t="s">
        <v>547</v>
      </c>
      <c r="B1324" s="190"/>
      <c r="C1324" s="189" t="s">
        <v>617</v>
      </c>
      <c r="D1324" s="189" t="s">
        <v>498</v>
      </c>
      <c r="E1324" s="189" t="s">
        <v>633</v>
      </c>
      <c r="F1324" s="190" t="s">
        <v>519</v>
      </c>
      <c r="G1324" s="191">
        <f>G1325</f>
        <v>109258.4</v>
      </c>
      <c r="H1324" s="191">
        <f>H1325</f>
        <v>109258.4</v>
      </c>
      <c r="I1324" s="192">
        <f t="shared" si="102"/>
        <v>0</v>
      </c>
    </row>
    <row r="1325" spans="1:9" x14ac:dyDescent="0.2">
      <c r="A1325" s="189" t="s">
        <v>571</v>
      </c>
      <c r="B1325" s="190"/>
      <c r="C1325" s="189" t="s">
        <v>617</v>
      </c>
      <c r="D1325" s="189" t="s">
        <v>498</v>
      </c>
      <c r="E1325" s="189" t="s">
        <v>633</v>
      </c>
      <c r="F1325" s="190" t="s">
        <v>522</v>
      </c>
      <c r="G1325" s="191">
        <f>109479.5-221.1</f>
        <v>109258.4</v>
      </c>
      <c r="H1325" s="191">
        <f>109479.5-221.1</f>
        <v>109258.4</v>
      </c>
      <c r="I1325" s="192">
        <f t="shared" si="102"/>
        <v>0</v>
      </c>
    </row>
    <row r="1326" spans="1:9" ht="36" x14ac:dyDescent="0.2">
      <c r="A1326" s="189" t="s">
        <v>632</v>
      </c>
      <c r="B1326" s="190"/>
      <c r="C1326" s="189" t="s">
        <v>617</v>
      </c>
      <c r="D1326" s="189" t="s">
        <v>498</v>
      </c>
      <c r="E1326" s="189" t="s">
        <v>631</v>
      </c>
      <c r="F1326" s="190"/>
      <c r="G1326" s="191">
        <f>G1327</f>
        <v>6717.8</v>
      </c>
      <c r="H1326" s="191">
        <f>H1327</f>
        <v>6717.8</v>
      </c>
      <c r="I1326" s="192">
        <f t="shared" si="102"/>
        <v>0</v>
      </c>
    </row>
    <row r="1327" spans="1:9" ht="24" x14ac:dyDescent="0.2">
      <c r="A1327" s="189" t="s">
        <v>547</v>
      </c>
      <c r="B1327" s="190"/>
      <c r="C1327" s="189" t="s">
        <v>617</v>
      </c>
      <c r="D1327" s="189" t="s">
        <v>498</v>
      </c>
      <c r="E1327" s="189" t="s">
        <v>631</v>
      </c>
      <c r="F1327" s="190" t="s">
        <v>519</v>
      </c>
      <c r="G1327" s="191">
        <f>G1328</f>
        <v>6717.8</v>
      </c>
      <c r="H1327" s="191">
        <f>H1328</f>
        <v>6717.8</v>
      </c>
      <c r="I1327" s="192">
        <f t="shared" si="102"/>
        <v>0</v>
      </c>
    </row>
    <row r="1328" spans="1:9" x14ac:dyDescent="0.2">
      <c r="A1328" s="189" t="s">
        <v>571</v>
      </c>
      <c r="B1328" s="190"/>
      <c r="C1328" s="189" t="s">
        <v>617</v>
      </c>
      <c r="D1328" s="189" t="s">
        <v>498</v>
      </c>
      <c r="E1328" s="189" t="s">
        <v>631</v>
      </c>
      <c r="F1328" s="190" t="s">
        <v>522</v>
      </c>
      <c r="G1328" s="191">
        <f>4199-0.4+2519.2</f>
        <v>6717.8</v>
      </c>
      <c r="H1328" s="191">
        <f>4199-0.4+2519.2</f>
        <v>6717.8</v>
      </c>
      <c r="I1328" s="192">
        <f t="shared" si="102"/>
        <v>0</v>
      </c>
    </row>
    <row r="1329" spans="1:9" ht="24" x14ac:dyDescent="0.2">
      <c r="A1329" s="189" t="s">
        <v>630</v>
      </c>
      <c r="B1329" s="190"/>
      <c r="C1329" s="189" t="s">
        <v>617</v>
      </c>
      <c r="D1329" s="189" t="s">
        <v>498</v>
      </c>
      <c r="E1329" s="189" t="s">
        <v>629</v>
      </c>
      <c r="F1329" s="190"/>
      <c r="G1329" s="191">
        <f>G1331+G1333</f>
        <v>290</v>
      </c>
      <c r="H1329" s="191">
        <f>H1331+H1333</f>
        <v>290</v>
      </c>
      <c r="I1329" s="192">
        <f t="shared" si="102"/>
        <v>0</v>
      </c>
    </row>
    <row r="1330" spans="1:9" x14ac:dyDescent="0.2">
      <c r="A1330" s="189" t="s">
        <v>628</v>
      </c>
      <c r="B1330" s="190"/>
      <c r="C1330" s="189" t="s">
        <v>617</v>
      </c>
      <c r="D1330" s="189" t="s">
        <v>498</v>
      </c>
      <c r="E1330" s="189" t="s">
        <v>627</v>
      </c>
      <c r="F1330" s="190"/>
      <c r="G1330" s="191">
        <f>G1331+G1333</f>
        <v>290</v>
      </c>
      <c r="H1330" s="191">
        <f>H1331+H1333</f>
        <v>290</v>
      </c>
      <c r="I1330" s="192">
        <f t="shared" si="102"/>
        <v>0</v>
      </c>
    </row>
    <row r="1331" spans="1:9" x14ac:dyDescent="0.2">
      <c r="A1331" s="189" t="s">
        <v>1347</v>
      </c>
      <c r="B1331" s="190"/>
      <c r="C1331" s="189" t="s">
        <v>617</v>
      </c>
      <c r="D1331" s="189" t="s">
        <v>498</v>
      </c>
      <c r="E1331" s="189" t="s">
        <v>627</v>
      </c>
      <c r="F1331" s="190" t="s">
        <v>535</v>
      </c>
      <c r="G1331" s="191">
        <f>G1332</f>
        <v>25</v>
      </c>
      <c r="H1331" s="191">
        <f>H1332</f>
        <v>25</v>
      </c>
      <c r="I1331" s="192">
        <f t="shared" si="102"/>
        <v>0</v>
      </c>
    </row>
    <row r="1332" spans="1:9" ht="24" x14ac:dyDescent="0.2">
      <c r="A1332" s="189" t="s">
        <v>534</v>
      </c>
      <c r="B1332" s="190"/>
      <c r="C1332" s="189" t="s">
        <v>617</v>
      </c>
      <c r="D1332" s="189" t="s">
        <v>498</v>
      </c>
      <c r="E1332" s="189" t="s">
        <v>627</v>
      </c>
      <c r="F1332" s="190" t="s">
        <v>529</v>
      </c>
      <c r="G1332" s="191">
        <v>25</v>
      </c>
      <c r="H1332" s="191">
        <v>25</v>
      </c>
      <c r="I1332" s="192">
        <f t="shared" si="102"/>
        <v>0</v>
      </c>
    </row>
    <row r="1333" spans="1:9" x14ac:dyDescent="0.2">
      <c r="A1333" s="189" t="s">
        <v>553</v>
      </c>
      <c r="B1333" s="190"/>
      <c r="C1333" s="189" t="s">
        <v>617</v>
      </c>
      <c r="D1333" s="189" t="s">
        <v>498</v>
      </c>
      <c r="E1333" s="189" t="s">
        <v>627</v>
      </c>
      <c r="F1333" s="190" t="s">
        <v>552</v>
      </c>
      <c r="G1333" s="191">
        <f>G1334</f>
        <v>265</v>
      </c>
      <c r="H1333" s="191">
        <f>H1334</f>
        <v>265</v>
      </c>
      <c r="I1333" s="192">
        <f t="shared" si="102"/>
        <v>0</v>
      </c>
    </row>
    <row r="1334" spans="1:9" x14ac:dyDescent="0.2">
      <c r="A1334" s="189" t="s">
        <v>621</v>
      </c>
      <c r="B1334" s="190"/>
      <c r="C1334" s="189" t="s">
        <v>617</v>
      </c>
      <c r="D1334" s="189" t="s">
        <v>498</v>
      </c>
      <c r="E1334" s="189" t="s">
        <v>627</v>
      </c>
      <c r="F1334" s="190" t="s">
        <v>619</v>
      </c>
      <c r="G1334" s="191">
        <v>265</v>
      </c>
      <c r="H1334" s="191">
        <v>265</v>
      </c>
      <c r="I1334" s="192">
        <f t="shared" si="102"/>
        <v>0</v>
      </c>
    </row>
    <row r="1335" spans="1:9" x14ac:dyDescent="0.2">
      <c r="A1335" s="189" t="s">
        <v>1357</v>
      </c>
      <c r="B1335" s="190"/>
      <c r="C1335" s="189" t="s">
        <v>617</v>
      </c>
      <c r="D1335" s="189" t="s">
        <v>498</v>
      </c>
      <c r="E1335" s="189" t="s">
        <v>1358</v>
      </c>
      <c r="F1335" s="190"/>
      <c r="G1335" s="191">
        <f>G1336</f>
        <v>257287.8</v>
      </c>
      <c r="H1335" s="191">
        <f>H1336</f>
        <v>259292.79999999999</v>
      </c>
      <c r="I1335" s="192">
        <f t="shared" si="102"/>
        <v>2005</v>
      </c>
    </row>
    <row r="1336" spans="1:9" ht="24" x14ac:dyDescent="0.2">
      <c r="A1336" s="189" t="s">
        <v>625</v>
      </c>
      <c r="B1336" s="190"/>
      <c r="C1336" s="189" t="s">
        <v>617</v>
      </c>
      <c r="D1336" s="189" t="s">
        <v>498</v>
      </c>
      <c r="E1336" s="189" t="s">
        <v>1359</v>
      </c>
      <c r="F1336" s="190"/>
      <c r="G1336" s="191">
        <f>G1337</f>
        <v>257287.8</v>
      </c>
      <c r="H1336" s="191">
        <f>H1337</f>
        <v>259292.79999999999</v>
      </c>
      <c r="I1336" s="192">
        <f t="shared" si="102"/>
        <v>2005</v>
      </c>
    </row>
    <row r="1337" spans="1:9" ht="24" x14ac:dyDescent="0.2">
      <c r="A1337" s="189" t="s">
        <v>547</v>
      </c>
      <c r="B1337" s="190"/>
      <c r="C1337" s="189" t="s">
        <v>617</v>
      </c>
      <c r="D1337" s="189" t="s">
        <v>498</v>
      </c>
      <c r="E1337" s="189" t="s">
        <v>1359</v>
      </c>
      <c r="F1337" s="190" t="s">
        <v>519</v>
      </c>
      <c r="G1337" s="191">
        <f>G1338+G1339</f>
        <v>257287.8</v>
      </c>
      <c r="H1337" s="191">
        <f>H1338+H1339</f>
        <v>259292.79999999999</v>
      </c>
      <c r="I1337" s="192">
        <f t="shared" si="102"/>
        <v>2005</v>
      </c>
    </row>
    <row r="1338" spans="1:9" x14ac:dyDescent="0.2">
      <c r="A1338" s="189" t="s">
        <v>571</v>
      </c>
      <c r="B1338" s="190"/>
      <c r="C1338" s="189" t="s">
        <v>617</v>
      </c>
      <c r="D1338" s="189" t="s">
        <v>498</v>
      </c>
      <c r="E1338" s="189" t="s">
        <v>1359</v>
      </c>
      <c r="F1338" s="190" t="s">
        <v>522</v>
      </c>
      <c r="G1338" s="191">
        <f>178063+698.4+550-501.1</f>
        <v>178810.3</v>
      </c>
      <c r="H1338" s="191">
        <f>178063+698.4+550-501.1-15652.6+125+200+600+105</f>
        <v>164187.69999999998</v>
      </c>
      <c r="I1338" s="192">
        <f t="shared" si="102"/>
        <v>-14622.600000000006</v>
      </c>
    </row>
    <row r="1339" spans="1:9" x14ac:dyDescent="0.2">
      <c r="A1339" s="189" t="s">
        <v>546</v>
      </c>
      <c r="B1339" s="190"/>
      <c r="C1339" s="189" t="s">
        <v>617</v>
      </c>
      <c r="D1339" s="189" t="s">
        <v>498</v>
      </c>
      <c r="E1339" s="189" t="s">
        <v>1359</v>
      </c>
      <c r="F1339" s="190" t="s">
        <v>544</v>
      </c>
      <c r="G1339" s="191">
        <f>76471+2036.5-30</f>
        <v>78477.5</v>
      </c>
      <c r="H1339" s="191">
        <f>76471+2036.5-30+15652.6+300+675</f>
        <v>95105.1</v>
      </c>
      <c r="I1339" s="192">
        <f t="shared" si="102"/>
        <v>16627.600000000006</v>
      </c>
    </row>
    <row r="1340" spans="1:9" x14ac:dyDescent="0.2">
      <c r="A1340" s="189" t="s">
        <v>602</v>
      </c>
      <c r="B1340" s="190"/>
      <c r="C1340" s="189" t="s">
        <v>617</v>
      </c>
      <c r="D1340" s="189" t="s">
        <v>498</v>
      </c>
      <c r="E1340" s="189" t="s">
        <v>624</v>
      </c>
      <c r="F1340" s="190"/>
      <c r="G1340" s="191">
        <f>G1341</f>
        <v>4078.2</v>
      </c>
      <c r="H1340" s="191">
        <f>H1341</f>
        <v>3664</v>
      </c>
      <c r="I1340" s="192">
        <f t="shared" si="102"/>
        <v>-414.19999999999982</v>
      </c>
    </row>
    <row r="1341" spans="1:9" ht="24" x14ac:dyDescent="0.2">
      <c r="A1341" s="189" t="s">
        <v>600</v>
      </c>
      <c r="B1341" s="190"/>
      <c r="C1341" s="189" t="s">
        <v>617</v>
      </c>
      <c r="D1341" s="189" t="s">
        <v>498</v>
      </c>
      <c r="E1341" s="189" t="s">
        <v>623</v>
      </c>
      <c r="F1341" s="190"/>
      <c r="G1341" s="191">
        <f>G1342</f>
        <v>4078.2</v>
      </c>
      <c r="H1341" s="191">
        <f>H1342</f>
        <v>3664</v>
      </c>
      <c r="I1341" s="192">
        <f t="shared" si="102"/>
        <v>-414.19999999999982</v>
      </c>
    </row>
    <row r="1342" spans="1:9" x14ac:dyDescent="0.2">
      <c r="A1342" s="189" t="s">
        <v>622</v>
      </c>
      <c r="B1342" s="190"/>
      <c r="C1342" s="189" t="s">
        <v>617</v>
      </c>
      <c r="D1342" s="189" t="s">
        <v>498</v>
      </c>
      <c r="E1342" s="189" t="s">
        <v>620</v>
      </c>
      <c r="F1342" s="190"/>
      <c r="G1342" s="191">
        <f>G1343+G1345</f>
        <v>4078.2</v>
      </c>
      <c r="H1342" s="191">
        <f>H1343+H1345</f>
        <v>3664</v>
      </c>
      <c r="I1342" s="192">
        <f t="shared" si="102"/>
        <v>-414.19999999999982</v>
      </c>
    </row>
    <row r="1343" spans="1:9" x14ac:dyDescent="0.2">
      <c r="A1343" s="189" t="s">
        <v>1347</v>
      </c>
      <c r="B1343" s="190"/>
      <c r="C1343" s="189" t="s">
        <v>617</v>
      </c>
      <c r="D1343" s="189" t="s">
        <v>498</v>
      </c>
      <c r="E1343" s="189" t="s">
        <v>620</v>
      </c>
      <c r="F1343" s="190" t="s">
        <v>535</v>
      </c>
      <c r="G1343" s="191">
        <f>G1344</f>
        <v>1718.2</v>
      </c>
      <c r="H1343" s="191">
        <f>H1344</f>
        <v>1288.2</v>
      </c>
      <c r="I1343" s="192">
        <f t="shared" si="102"/>
        <v>-430</v>
      </c>
    </row>
    <row r="1344" spans="1:9" ht="24" x14ac:dyDescent="0.2">
      <c r="A1344" s="189" t="s">
        <v>534</v>
      </c>
      <c r="B1344" s="190"/>
      <c r="C1344" s="189" t="s">
        <v>617</v>
      </c>
      <c r="D1344" s="189" t="s">
        <v>498</v>
      </c>
      <c r="E1344" s="189" t="s">
        <v>620</v>
      </c>
      <c r="F1344" s="190" t="s">
        <v>529</v>
      </c>
      <c r="G1344" s="191">
        <f>2350-400-181.8-50</f>
        <v>1718.2</v>
      </c>
      <c r="H1344" s="191">
        <f>2350-400-181.8-50-154.2-15.8-260</f>
        <v>1288.2</v>
      </c>
      <c r="I1344" s="192">
        <f t="shared" si="102"/>
        <v>-430</v>
      </c>
    </row>
    <row r="1345" spans="1:9" x14ac:dyDescent="0.2">
      <c r="A1345" s="189" t="s">
        <v>553</v>
      </c>
      <c r="B1345" s="190"/>
      <c r="C1345" s="189" t="s">
        <v>617</v>
      </c>
      <c r="D1345" s="189" t="s">
        <v>498</v>
      </c>
      <c r="E1345" s="189" t="s">
        <v>620</v>
      </c>
      <c r="F1345" s="190" t="s">
        <v>552</v>
      </c>
      <c r="G1345" s="191">
        <f>G1346</f>
        <v>2360</v>
      </c>
      <c r="H1345" s="191">
        <f>H1346</f>
        <v>2375.8000000000002</v>
      </c>
      <c r="I1345" s="192">
        <f t="shared" si="102"/>
        <v>15.800000000000182</v>
      </c>
    </row>
    <row r="1346" spans="1:9" x14ac:dyDescent="0.2">
      <c r="A1346" s="189" t="s">
        <v>621</v>
      </c>
      <c r="B1346" s="190"/>
      <c r="C1346" s="189" t="s">
        <v>617</v>
      </c>
      <c r="D1346" s="189" t="s">
        <v>498</v>
      </c>
      <c r="E1346" s="189" t="s">
        <v>620</v>
      </c>
      <c r="F1346" s="190" t="s">
        <v>619</v>
      </c>
      <c r="G1346" s="191">
        <v>2360</v>
      </c>
      <c r="H1346" s="191">
        <f>2360+15.8</f>
        <v>2375.8000000000002</v>
      </c>
      <c r="I1346" s="192">
        <f t="shared" si="102"/>
        <v>15.800000000000182</v>
      </c>
    </row>
    <row r="1347" spans="1:9" x14ac:dyDescent="0.2">
      <c r="A1347" s="189" t="s">
        <v>568</v>
      </c>
      <c r="B1347" s="190"/>
      <c r="C1347" s="189" t="s">
        <v>617</v>
      </c>
      <c r="D1347" s="189" t="s">
        <v>498</v>
      </c>
      <c r="E1347" s="189" t="s">
        <v>567</v>
      </c>
      <c r="F1347" s="190"/>
      <c r="G1347" s="191">
        <f>G1353</f>
        <v>332.5</v>
      </c>
      <c r="H1347" s="191">
        <f>H1353+H1348</f>
        <v>1369.2</v>
      </c>
      <c r="I1347" s="192">
        <f t="shared" si="102"/>
        <v>1036.7</v>
      </c>
    </row>
    <row r="1348" spans="1:9" s="418" customFormat="1" x14ac:dyDescent="0.2">
      <c r="A1348" s="189" t="s">
        <v>855</v>
      </c>
      <c r="B1348" s="189"/>
      <c r="C1348" s="189" t="s">
        <v>617</v>
      </c>
      <c r="D1348" s="189" t="s">
        <v>498</v>
      </c>
      <c r="E1348" s="189" t="s">
        <v>854</v>
      </c>
      <c r="F1348" s="189"/>
      <c r="G1348" s="191">
        <f t="shared" ref="G1348:H1351" si="105">G1349</f>
        <v>0</v>
      </c>
      <c r="H1348" s="191">
        <f t="shared" si="105"/>
        <v>1036.7</v>
      </c>
      <c r="I1348" s="192">
        <f t="shared" si="102"/>
        <v>1036.7</v>
      </c>
    </row>
    <row r="1349" spans="1:9" s="418" customFormat="1" x14ac:dyDescent="0.2">
      <c r="A1349" s="189" t="s">
        <v>1617</v>
      </c>
      <c r="B1349" s="189"/>
      <c r="C1349" s="189" t="s">
        <v>617</v>
      </c>
      <c r="D1349" s="189" t="s">
        <v>498</v>
      </c>
      <c r="E1349" s="189" t="s">
        <v>1618</v>
      </c>
      <c r="F1349" s="189"/>
      <c r="G1349" s="191">
        <f t="shared" si="105"/>
        <v>0</v>
      </c>
      <c r="H1349" s="191">
        <f t="shared" si="105"/>
        <v>1036.7</v>
      </c>
      <c r="I1349" s="192">
        <f t="shared" si="102"/>
        <v>1036.7</v>
      </c>
    </row>
    <row r="1350" spans="1:9" s="418" customFormat="1" ht="24" x14ac:dyDescent="0.2">
      <c r="A1350" s="189" t="s">
        <v>1619</v>
      </c>
      <c r="B1350" s="189"/>
      <c r="C1350" s="189" t="s">
        <v>617</v>
      </c>
      <c r="D1350" s="189" t="s">
        <v>498</v>
      </c>
      <c r="E1350" s="189" t="s">
        <v>1620</v>
      </c>
      <c r="F1350" s="189"/>
      <c r="G1350" s="191">
        <f t="shared" si="105"/>
        <v>0</v>
      </c>
      <c r="H1350" s="191">
        <f t="shared" si="105"/>
        <v>1036.7</v>
      </c>
      <c r="I1350" s="192">
        <f t="shared" si="102"/>
        <v>1036.7</v>
      </c>
    </row>
    <row r="1351" spans="1:9" s="418" customFormat="1" ht="24" x14ac:dyDescent="0.2">
      <c r="A1351" s="189" t="s">
        <v>547</v>
      </c>
      <c r="B1351" s="189"/>
      <c r="C1351" s="189" t="s">
        <v>617</v>
      </c>
      <c r="D1351" s="189" t="s">
        <v>498</v>
      </c>
      <c r="E1351" s="189" t="s">
        <v>1620</v>
      </c>
      <c r="F1351" s="189" t="s">
        <v>519</v>
      </c>
      <c r="G1351" s="191">
        <f t="shared" si="105"/>
        <v>0</v>
      </c>
      <c r="H1351" s="191">
        <f t="shared" si="105"/>
        <v>1036.7</v>
      </c>
      <c r="I1351" s="192">
        <f t="shared" si="102"/>
        <v>1036.7</v>
      </c>
    </row>
    <row r="1352" spans="1:9" s="418" customFormat="1" x14ac:dyDescent="0.2">
      <c r="A1352" s="189" t="s">
        <v>571</v>
      </c>
      <c r="B1352" s="189"/>
      <c r="C1352" s="189" t="s">
        <v>617</v>
      </c>
      <c r="D1352" s="189" t="s">
        <v>498</v>
      </c>
      <c r="E1352" s="189" t="s">
        <v>1620</v>
      </c>
      <c r="F1352" s="189" t="s">
        <v>522</v>
      </c>
      <c r="G1352" s="191">
        <v>0</v>
      </c>
      <c r="H1352" s="191">
        <v>1036.7</v>
      </c>
      <c r="I1352" s="192">
        <f t="shared" si="102"/>
        <v>1036.7</v>
      </c>
    </row>
    <row r="1353" spans="1:9" x14ac:dyDescent="0.2">
      <c r="A1353" s="189" t="s">
        <v>566</v>
      </c>
      <c r="B1353" s="190"/>
      <c r="C1353" s="189" t="s">
        <v>617</v>
      </c>
      <c r="D1353" s="189" t="s">
        <v>498</v>
      </c>
      <c r="E1353" s="189" t="s">
        <v>565</v>
      </c>
      <c r="F1353" s="190"/>
      <c r="G1353" s="191">
        <f>G1354+G1358</f>
        <v>332.5</v>
      </c>
      <c r="H1353" s="191">
        <f>H1354+H1358</f>
        <v>332.5</v>
      </c>
      <c r="I1353" s="192">
        <f t="shared" si="102"/>
        <v>0</v>
      </c>
    </row>
    <row r="1354" spans="1:9" ht="24" x14ac:dyDescent="0.2">
      <c r="A1354" s="189" t="s">
        <v>1387</v>
      </c>
      <c r="B1354" s="190"/>
      <c r="C1354" s="189" t="s">
        <v>617</v>
      </c>
      <c r="D1354" s="189" t="s">
        <v>498</v>
      </c>
      <c r="E1354" s="189" t="s">
        <v>578</v>
      </c>
      <c r="F1354" s="190"/>
      <c r="G1354" s="191">
        <f t="shared" ref="G1354:H1356" si="106">G1355</f>
        <v>285</v>
      </c>
      <c r="H1354" s="191">
        <f t="shared" si="106"/>
        <v>285</v>
      </c>
      <c r="I1354" s="192">
        <f t="shared" si="102"/>
        <v>0</v>
      </c>
    </row>
    <row r="1355" spans="1:9" ht="36" x14ac:dyDescent="0.2">
      <c r="A1355" s="189" t="s">
        <v>1388</v>
      </c>
      <c r="B1355" s="190"/>
      <c r="C1355" s="189" t="s">
        <v>617</v>
      </c>
      <c r="D1355" s="189" t="s">
        <v>498</v>
      </c>
      <c r="E1355" s="189" t="s">
        <v>577</v>
      </c>
      <c r="F1355" s="190"/>
      <c r="G1355" s="191">
        <f t="shared" si="106"/>
        <v>285</v>
      </c>
      <c r="H1355" s="191">
        <f t="shared" si="106"/>
        <v>285</v>
      </c>
      <c r="I1355" s="192">
        <f t="shared" si="102"/>
        <v>0</v>
      </c>
    </row>
    <row r="1356" spans="1:9" ht="24" x14ac:dyDescent="0.2">
      <c r="A1356" s="189" t="s">
        <v>547</v>
      </c>
      <c r="B1356" s="190"/>
      <c r="C1356" s="189" t="s">
        <v>617</v>
      </c>
      <c r="D1356" s="189" t="s">
        <v>498</v>
      </c>
      <c r="E1356" s="189" t="s">
        <v>577</v>
      </c>
      <c r="F1356" s="190" t="s">
        <v>519</v>
      </c>
      <c r="G1356" s="191">
        <f t="shared" si="106"/>
        <v>285</v>
      </c>
      <c r="H1356" s="191">
        <f t="shared" si="106"/>
        <v>285</v>
      </c>
      <c r="I1356" s="192">
        <f t="shared" ref="I1356:I1416" si="107">H1356-G1356</f>
        <v>0</v>
      </c>
    </row>
    <row r="1357" spans="1:9" s="303" customFormat="1" x14ac:dyDescent="0.2">
      <c r="A1357" s="189" t="s">
        <v>546</v>
      </c>
      <c r="B1357" s="190"/>
      <c r="C1357" s="189" t="s">
        <v>617</v>
      </c>
      <c r="D1357" s="189" t="s">
        <v>498</v>
      </c>
      <c r="E1357" s="189" t="s">
        <v>577</v>
      </c>
      <c r="F1357" s="190">
        <v>620</v>
      </c>
      <c r="G1357" s="191">
        <v>285</v>
      </c>
      <c r="H1357" s="191">
        <v>285</v>
      </c>
      <c r="I1357" s="192">
        <f t="shared" si="107"/>
        <v>0</v>
      </c>
    </row>
    <row r="1358" spans="1:9" ht="24" x14ac:dyDescent="0.2">
      <c r="A1358" s="189" t="s">
        <v>564</v>
      </c>
      <c r="B1358" s="190"/>
      <c r="C1358" s="189" t="s">
        <v>617</v>
      </c>
      <c r="D1358" s="189" t="s">
        <v>498</v>
      </c>
      <c r="E1358" s="189" t="s">
        <v>563</v>
      </c>
      <c r="F1358" s="190"/>
      <c r="G1358" s="191">
        <f t="shared" ref="G1358:H1360" si="108">G1359</f>
        <v>47.5</v>
      </c>
      <c r="H1358" s="191">
        <f t="shared" si="108"/>
        <v>47.5</v>
      </c>
      <c r="I1358" s="192">
        <f t="shared" si="107"/>
        <v>0</v>
      </c>
    </row>
    <row r="1359" spans="1:9" ht="36" x14ac:dyDescent="0.2">
      <c r="A1359" s="189" t="s">
        <v>562</v>
      </c>
      <c r="B1359" s="190"/>
      <c r="C1359" s="189" t="s">
        <v>617</v>
      </c>
      <c r="D1359" s="189" t="s">
        <v>498</v>
      </c>
      <c r="E1359" s="189" t="s">
        <v>561</v>
      </c>
      <c r="F1359" s="190"/>
      <c r="G1359" s="191">
        <f t="shared" si="108"/>
        <v>47.5</v>
      </c>
      <c r="H1359" s="191">
        <f t="shared" si="108"/>
        <v>47.5</v>
      </c>
      <c r="I1359" s="192">
        <f t="shared" si="107"/>
        <v>0</v>
      </c>
    </row>
    <row r="1360" spans="1:9" ht="24" x14ac:dyDescent="0.2">
      <c r="A1360" s="189" t="s">
        <v>547</v>
      </c>
      <c r="B1360" s="190"/>
      <c r="C1360" s="189" t="s">
        <v>617</v>
      </c>
      <c r="D1360" s="189" t="s">
        <v>498</v>
      </c>
      <c r="E1360" s="189" t="s">
        <v>561</v>
      </c>
      <c r="F1360" s="190" t="s">
        <v>519</v>
      </c>
      <c r="G1360" s="191">
        <f t="shared" si="108"/>
        <v>47.5</v>
      </c>
      <c r="H1360" s="191">
        <f t="shared" si="108"/>
        <v>47.5</v>
      </c>
      <c r="I1360" s="192">
        <f t="shared" si="107"/>
        <v>0</v>
      </c>
    </row>
    <row r="1361" spans="1:9" s="303" customFormat="1" x14ac:dyDescent="0.2">
      <c r="A1361" s="189" t="s">
        <v>546</v>
      </c>
      <c r="B1361" s="190"/>
      <c r="C1361" s="189" t="s">
        <v>617</v>
      </c>
      <c r="D1361" s="189" t="s">
        <v>498</v>
      </c>
      <c r="E1361" s="189" t="s">
        <v>561</v>
      </c>
      <c r="F1361" s="190">
        <v>620</v>
      </c>
      <c r="G1361" s="191">
        <v>47.5</v>
      </c>
      <c r="H1361" s="191">
        <v>47.5</v>
      </c>
      <c r="I1361" s="192">
        <f t="shared" si="107"/>
        <v>0</v>
      </c>
    </row>
    <row r="1362" spans="1:9" x14ac:dyDescent="0.2">
      <c r="A1362" s="181" t="s">
        <v>616</v>
      </c>
      <c r="B1362" s="182" t="s">
        <v>610</v>
      </c>
      <c r="C1362" s="181"/>
      <c r="D1362" s="181"/>
      <c r="E1362" s="181"/>
      <c r="F1362" s="182"/>
      <c r="G1362" s="183">
        <f>G1363+G1378+G1387</f>
        <v>72528.099999999991</v>
      </c>
      <c r="H1362" s="183">
        <f>H1363+H1378+H1387</f>
        <v>72528.099999999991</v>
      </c>
      <c r="I1362" s="184">
        <f t="shared" si="107"/>
        <v>0</v>
      </c>
    </row>
    <row r="1363" spans="1:9" s="78" customFormat="1" x14ac:dyDescent="0.2">
      <c r="A1363" s="185" t="s">
        <v>606</v>
      </c>
      <c r="B1363" s="186"/>
      <c r="C1363" s="185" t="s">
        <v>498</v>
      </c>
      <c r="D1363" s="185"/>
      <c r="E1363" s="185"/>
      <c r="F1363" s="186"/>
      <c r="G1363" s="187">
        <f>G1364+G1373</f>
        <v>885.40000000000009</v>
      </c>
      <c r="H1363" s="187">
        <f>H1364+H1373</f>
        <v>885.40000000000009</v>
      </c>
      <c r="I1363" s="188">
        <f t="shared" si="107"/>
        <v>0</v>
      </c>
    </row>
    <row r="1364" spans="1:9" ht="24" x14ac:dyDescent="0.2">
      <c r="A1364" s="189" t="s">
        <v>605</v>
      </c>
      <c r="B1364" s="190"/>
      <c r="C1364" s="189" t="s">
        <v>498</v>
      </c>
      <c r="D1364" s="189" t="s">
        <v>507</v>
      </c>
      <c r="E1364" s="189"/>
      <c r="F1364" s="190"/>
      <c r="G1364" s="191">
        <f t="shared" ref="G1364:H1367" si="109">G1365</f>
        <v>585.40000000000009</v>
      </c>
      <c r="H1364" s="191">
        <f t="shared" si="109"/>
        <v>585.40000000000009</v>
      </c>
      <c r="I1364" s="192">
        <f t="shared" si="107"/>
        <v>0</v>
      </c>
    </row>
    <row r="1365" spans="1:9" x14ac:dyDescent="0.2">
      <c r="A1365" s="189" t="s">
        <v>604</v>
      </c>
      <c r="B1365" s="190"/>
      <c r="C1365" s="189" t="s">
        <v>498</v>
      </c>
      <c r="D1365" s="189" t="s">
        <v>507</v>
      </c>
      <c r="E1365" s="189" t="s">
        <v>603</v>
      </c>
      <c r="F1365" s="190"/>
      <c r="G1365" s="191">
        <f t="shared" si="109"/>
        <v>585.40000000000009</v>
      </c>
      <c r="H1365" s="191">
        <f t="shared" si="109"/>
        <v>585.40000000000009</v>
      </c>
      <c r="I1365" s="192">
        <f t="shared" si="107"/>
        <v>0</v>
      </c>
    </row>
    <row r="1366" spans="1:9" x14ac:dyDescent="0.2">
      <c r="A1366" s="189" t="s">
        <v>602</v>
      </c>
      <c r="B1366" s="190"/>
      <c r="C1366" s="189" t="s">
        <v>498</v>
      </c>
      <c r="D1366" s="189" t="s">
        <v>507</v>
      </c>
      <c r="E1366" s="189" t="s">
        <v>601</v>
      </c>
      <c r="F1366" s="190"/>
      <c r="G1366" s="191">
        <f t="shared" si="109"/>
        <v>585.40000000000009</v>
      </c>
      <c r="H1366" s="191">
        <f t="shared" si="109"/>
        <v>585.40000000000009</v>
      </c>
      <c r="I1366" s="192">
        <f t="shared" si="107"/>
        <v>0</v>
      </c>
    </row>
    <row r="1367" spans="1:9" ht="24" x14ac:dyDescent="0.2">
      <c r="A1367" s="189" t="s">
        <v>600</v>
      </c>
      <c r="B1367" s="190"/>
      <c r="C1367" s="189" t="s">
        <v>498</v>
      </c>
      <c r="D1367" s="189" t="s">
        <v>507</v>
      </c>
      <c r="E1367" s="189" t="s">
        <v>599</v>
      </c>
      <c r="F1367" s="190"/>
      <c r="G1367" s="191">
        <f t="shared" si="109"/>
        <v>585.40000000000009</v>
      </c>
      <c r="H1367" s="191">
        <f t="shared" si="109"/>
        <v>585.40000000000009</v>
      </c>
      <c r="I1367" s="192">
        <f t="shared" si="107"/>
        <v>0</v>
      </c>
    </row>
    <row r="1368" spans="1:9" x14ac:dyDescent="0.2">
      <c r="A1368" s="189" t="s">
        <v>598</v>
      </c>
      <c r="B1368" s="190"/>
      <c r="C1368" s="189" t="s">
        <v>498</v>
      </c>
      <c r="D1368" s="189" t="s">
        <v>507</v>
      </c>
      <c r="E1368" s="189" t="s">
        <v>597</v>
      </c>
      <c r="F1368" s="190"/>
      <c r="G1368" s="191">
        <f>G1369+G1371</f>
        <v>585.40000000000009</v>
      </c>
      <c r="H1368" s="191">
        <f>H1369+H1371</f>
        <v>585.40000000000009</v>
      </c>
      <c r="I1368" s="192">
        <f t="shared" si="107"/>
        <v>0</v>
      </c>
    </row>
    <row r="1369" spans="1:9" x14ac:dyDescent="0.2">
      <c r="A1369" s="189" t="s">
        <v>1347</v>
      </c>
      <c r="B1369" s="190"/>
      <c r="C1369" s="189" t="s">
        <v>498</v>
      </c>
      <c r="D1369" s="189" t="s">
        <v>507</v>
      </c>
      <c r="E1369" s="189" t="s">
        <v>597</v>
      </c>
      <c r="F1369" s="190" t="s">
        <v>535</v>
      </c>
      <c r="G1369" s="191">
        <f>G1370</f>
        <v>582.20000000000005</v>
      </c>
      <c r="H1369" s="191">
        <f>H1370</f>
        <v>582.20000000000005</v>
      </c>
      <c r="I1369" s="192">
        <f t="shared" si="107"/>
        <v>0</v>
      </c>
    </row>
    <row r="1370" spans="1:9" ht="24" x14ac:dyDescent="0.2">
      <c r="A1370" s="189" t="s">
        <v>534</v>
      </c>
      <c r="B1370" s="190"/>
      <c r="C1370" s="189" t="s">
        <v>498</v>
      </c>
      <c r="D1370" s="189" t="s">
        <v>507</v>
      </c>
      <c r="E1370" s="189" t="s">
        <v>597</v>
      </c>
      <c r="F1370" s="190" t="s">
        <v>529</v>
      </c>
      <c r="G1370" s="191">
        <f>732.2-150</f>
        <v>582.20000000000005</v>
      </c>
      <c r="H1370" s="191">
        <f>732.2-150</f>
        <v>582.20000000000005</v>
      </c>
      <c r="I1370" s="192">
        <f t="shared" si="107"/>
        <v>0</v>
      </c>
    </row>
    <row r="1371" spans="1:9" x14ac:dyDescent="0.2">
      <c r="A1371" s="189" t="s">
        <v>615</v>
      </c>
      <c r="B1371" s="190"/>
      <c r="C1371" s="189" t="s">
        <v>498</v>
      </c>
      <c r="D1371" s="189" t="s">
        <v>507</v>
      </c>
      <c r="E1371" s="189" t="s">
        <v>597</v>
      </c>
      <c r="F1371" s="190" t="s">
        <v>509</v>
      </c>
      <c r="G1371" s="191">
        <f>G1372</f>
        <v>3.2</v>
      </c>
      <c r="H1371" s="191">
        <f>H1372</f>
        <v>3.2</v>
      </c>
      <c r="I1371" s="192">
        <f t="shared" si="107"/>
        <v>0</v>
      </c>
    </row>
    <row r="1372" spans="1:9" x14ac:dyDescent="0.2">
      <c r="A1372" s="189" t="s">
        <v>614</v>
      </c>
      <c r="B1372" s="190"/>
      <c r="C1372" s="189" t="s">
        <v>498</v>
      </c>
      <c r="D1372" s="189" t="s">
        <v>507</v>
      </c>
      <c r="E1372" s="189" t="s">
        <v>597</v>
      </c>
      <c r="F1372" s="190" t="s">
        <v>613</v>
      </c>
      <c r="G1372" s="191">
        <v>3.2</v>
      </c>
      <c r="H1372" s="191">
        <v>3.2</v>
      </c>
      <c r="I1372" s="192">
        <f t="shared" si="107"/>
        <v>0</v>
      </c>
    </row>
    <row r="1373" spans="1:9" x14ac:dyDescent="0.2">
      <c r="A1373" s="189" t="s">
        <v>596</v>
      </c>
      <c r="B1373" s="190"/>
      <c r="C1373" s="189" t="s">
        <v>498</v>
      </c>
      <c r="D1373" s="189" t="s">
        <v>592</v>
      </c>
      <c r="E1373" s="189"/>
      <c r="F1373" s="190"/>
      <c r="G1373" s="191">
        <f t="shared" ref="G1373:H1376" si="110">G1374</f>
        <v>300</v>
      </c>
      <c r="H1373" s="191">
        <f t="shared" si="110"/>
        <v>300</v>
      </c>
      <c r="I1373" s="192">
        <f t="shared" si="107"/>
        <v>0</v>
      </c>
    </row>
    <row r="1374" spans="1:9" x14ac:dyDescent="0.2">
      <c r="A1374" s="189" t="s">
        <v>595</v>
      </c>
      <c r="B1374" s="190"/>
      <c r="C1374" s="189" t="s">
        <v>498</v>
      </c>
      <c r="D1374" s="189" t="s">
        <v>592</v>
      </c>
      <c r="E1374" s="189" t="s">
        <v>594</v>
      </c>
      <c r="F1374" s="190"/>
      <c r="G1374" s="191">
        <f t="shared" si="110"/>
        <v>300</v>
      </c>
      <c r="H1374" s="191">
        <f t="shared" si="110"/>
        <v>300</v>
      </c>
      <c r="I1374" s="192">
        <f t="shared" si="107"/>
        <v>0</v>
      </c>
    </row>
    <row r="1375" spans="1:9" ht="24" x14ac:dyDescent="0.2">
      <c r="A1375" s="189" t="s">
        <v>593</v>
      </c>
      <c r="B1375" s="190"/>
      <c r="C1375" s="189" t="s">
        <v>498</v>
      </c>
      <c r="D1375" s="189" t="s">
        <v>592</v>
      </c>
      <c r="E1375" s="189" t="s">
        <v>591</v>
      </c>
      <c r="F1375" s="190"/>
      <c r="G1375" s="191">
        <f t="shared" si="110"/>
        <v>300</v>
      </c>
      <c r="H1375" s="191">
        <f t="shared" si="110"/>
        <v>300</v>
      </c>
      <c r="I1375" s="192">
        <f t="shared" si="107"/>
        <v>0</v>
      </c>
    </row>
    <row r="1376" spans="1:9" x14ac:dyDescent="0.2">
      <c r="A1376" s="189" t="s">
        <v>1347</v>
      </c>
      <c r="B1376" s="190"/>
      <c r="C1376" s="189" t="s">
        <v>498</v>
      </c>
      <c r="D1376" s="189" t="s">
        <v>592</v>
      </c>
      <c r="E1376" s="189" t="s">
        <v>591</v>
      </c>
      <c r="F1376" s="190" t="s">
        <v>535</v>
      </c>
      <c r="G1376" s="191">
        <f t="shared" si="110"/>
        <v>300</v>
      </c>
      <c r="H1376" s="191">
        <f t="shared" si="110"/>
        <v>300</v>
      </c>
      <c r="I1376" s="192">
        <f t="shared" si="107"/>
        <v>0</v>
      </c>
    </row>
    <row r="1377" spans="1:9" ht="24" x14ac:dyDescent="0.2">
      <c r="A1377" s="189" t="s">
        <v>534</v>
      </c>
      <c r="B1377" s="190"/>
      <c r="C1377" s="189" t="s">
        <v>498</v>
      </c>
      <c r="D1377" s="189" t="s">
        <v>592</v>
      </c>
      <c r="E1377" s="189" t="s">
        <v>591</v>
      </c>
      <c r="F1377" s="190" t="s">
        <v>529</v>
      </c>
      <c r="G1377" s="191">
        <f>500-200</f>
        <v>300</v>
      </c>
      <c r="H1377" s="191">
        <f>500-200</f>
        <v>300</v>
      </c>
      <c r="I1377" s="192">
        <f t="shared" si="107"/>
        <v>0</v>
      </c>
    </row>
    <row r="1378" spans="1:9" s="78" customFormat="1" x14ac:dyDescent="0.2">
      <c r="A1378" s="185" t="s">
        <v>590</v>
      </c>
      <c r="B1378" s="186"/>
      <c r="C1378" s="185" t="s">
        <v>507</v>
      </c>
      <c r="D1378" s="185"/>
      <c r="E1378" s="185"/>
      <c r="F1378" s="186"/>
      <c r="G1378" s="187">
        <f t="shared" ref="G1378:H1383" si="111">G1379</f>
        <v>498</v>
      </c>
      <c r="H1378" s="187">
        <f t="shared" si="111"/>
        <v>498</v>
      </c>
      <c r="I1378" s="188">
        <f t="shared" si="107"/>
        <v>0</v>
      </c>
    </row>
    <row r="1379" spans="1:9" x14ac:dyDescent="0.2">
      <c r="A1379" s="189" t="s">
        <v>589</v>
      </c>
      <c r="B1379" s="190"/>
      <c r="C1379" s="189" t="s">
        <v>507</v>
      </c>
      <c r="D1379" s="189" t="s">
        <v>498</v>
      </c>
      <c r="E1379" s="189"/>
      <c r="F1379" s="190"/>
      <c r="G1379" s="191">
        <f t="shared" si="111"/>
        <v>498</v>
      </c>
      <c r="H1379" s="191">
        <f t="shared" si="111"/>
        <v>498</v>
      </c>
      <c r="I1379" s="192">
        <f t="shared" si="107"/>
        <v>0</v>
      </c>
    </row>
    <row r="1380" spans="1:9" ht="24" x14ac:dyDescent="0.2">
      <c r="A1380" s="189" t="s">
        <v>588</v>
      </c>
      <c r="B1380" s="190"/>
      <c r="C1380" s="189" t="s">
        <v>507</v>
      </c>
      <c r="D1380" s="189" t="s">
        <v>498</v>
      </c>
      <c r="E1380" s="189" t="s">
        <v>587</v>
      </c>
      <c r="F1380" s="190"/>
      <c r="G1380" s="191">
        <f t="shared" si="111"/>
        <v>498</v>
      </c>
      <c r="H1380" s="191">
        <f t="shared" si="111"/>
        <v>498</v>
      </c>
      <c r="I1380" s="192">
        <f t="shared" si="107"/>
        <v>0</v>
      </c>
    </row>
    <row r="1381" spans="1:9" x14ac:dyDescent="0.2">
      <c r="A1381" s="189" t="s">
        <v>586</v>
      </c>
      <c r="B1381" s="190"/>
      <c r="C1381" s="189" t="s">
        <v>507</v>
      </c>
      <c r="D1381" s="189" t="s">
        <v>498</v>
      </c>
      <c r="E1381" s="189" t="s">
        <v>585</v>
      </c>
      <c r="F1381" s="190"/>
      <c r="G1381" s="191">
        <f t="shared" si="111"/>
        <v>498</v>
      </c>
      <c r="H1381" s="191">
        <f t="shared" si="111"/>
        <v>498</v>
      </c>
      <c r="I1381" s="192">
        <f t="shared" si="107"/>
        <v>0</v>
      </c>
    </row>
    <row r="1382" spans="1:9" ht="36" x14ac:dyDescent="0.2">
      <c r="A1382" s="189" t="s">
        <v>584</v>
      </c>
      <c r="B1382" s="190"/>
      <c r="C1382" s="189" t="s">
        <v>507</v>
      </c>
      <c r="D1382" s="189" t="s">
        <v>498</v>
      </c>
      <c r="E1382" s="189" t="s">
        <v>583</v>
      </c>
      <c r="F1382" s="190"/>
      <c r="G1382" s="191">
        <f t="shared" si="111"/>
        <v>498</v>
      </c>
      <c r="H1382" s="191">
        <f t="shared" si="111"/>
        <v>498</v>
      </c>
      <c r="I1382" s="192">
        <f t="shared" si="107"/>
        <v>0</v>
      </c>
    </row>
    <row r="1383" spans="1:9" ht="24" x14ac:dyDescent="0.2">
      <c r="A1383" s="189" t="s">
        <v>582</v>
      </c>
      <c r="B1383" s="190"/>
      <c r="C1383" s="189" t="s">
        <v>507</v>
      </c>
      <c r="D1383" s="189" t="s">
        <v>498</v>
      </c>
      <c r="E1383" s="189" t="s">
        <v>581</v>
      </c>
      <c r="F1383" s="190"/>
      <c r="G1383" s="191">
        <f t="shared" si="111"/>
        <v>498</v>
      </c>
      <c r="H1383" s="191">
        <f t="shared" si="111"/>
        <v>498</v>
      </c>
      <c r="I1383" s="192">
        <f t="shared" si="107"/>
        <v>0</v>
      </c>
    </row>
    <row r="1384" spans="1:9" ht="24" x14ac:dyDescent="0.2">
      <c r="A1384" s="189" t="s">
        <v>547</v>
      </c>
      <c r="B1384" s="190"/>
      <c r="C1384" s="189" t="s">
        <v>507</v>
      </c>
      <c r="D1384" s="189" t="s">
        <v>498</v>
      </c>
      <c r="E1384" s="189" t="s">
        <v>581</v>
      </c>
      <c r="F1384" s="190" t="s">
        <v>519</v>
      </c>
      <c r="G1384" s="191">
        <f>G1385+G1386</f>
        <v>498</v>
      </c>
      <c r="H1384" s="191">
        <f>H1385+H1386</f>
        <v>498</v>
      </c>
      <c r="I1384" s="192">
        <f t="shared" si="107"/>
        <v>0</v>
      </c>
    </row>
    <row r="1385" spans="1:9" x14ac:dyDescent="0.2">
      <c r="A1385" s="189" t="s">
        <v>571</v>
      </c>
      <c r="B1385" s="190"/>
      <c r="C1385" s="189" t="s">
        <v>507</v>
      </c>
      <c r="D1385" s="189" t="s">
        <v>498</v>
      </c>
      <c r="E1385" s="189" t="s">
        <v>581</v>
      </c>
      <c r="F1385" s="190" t="s">
        <v>522</v>
      </c>
      <c r="G1385" s="191">
        <f>314.3+17.7+157.2+8.8</f>
        <v>498</v>
      </c>
      <c r="H1385" s="191">
        <f>314.3+17.7+157.2+8.8</f>
        <v>498</v>
      </c>
      <c r="I1385" s="192">
        <f t="shared" si="107"/>
        <v>0</v>
      </c>
    </row>
    <row r="1386" spans="1:9" x14ac:dyDescent="0.2">
      <c r="A1386" s="189" t="s">
        <v>546</v>
      </c>
      <c r="B1386" s="190"/>
      <c r="C1386" s="189" t="s">
        <v>507</v>
      </c>
      <c r="D1386" s="189" t="s">
        <v>498</v>
      </c>
      <c r="E1386" s="189" t="s">
        <v>581</v>
      </c>
      <c r="F1386" s="190" t="s">
        <v>544</v>
      </c>
      <c r="G1386" s="191">
        <f>157.2+8.8-157.2-8.8</f>
        <v>0</v>
      </c>
      <c r="H1386" s="191">
        <f>157.2+8.8-157.2-8.8</f>
        <v>0</v>
      </c>
      <c r="I1386" s="192">
        <f t="shared" si="107"/>
        <v>0</v>
      </c>
    </row>
    <row r="1387" spans="1:9" s="78" customFormat="1" x14ac:dyDescent="0.2">
      <c r="A1387" s="185" t="s">
        <v>612</v>
      </c>
      <c r="B1387" s="186"/>
      <c r="C1387" s="185" t="s">
        <v>609</v>
      </c>
      <c r="D1387" s="185"/>
      <c r="E1387" s="185"/>
      <c r="F1387" s="186"/>
      <c r="G1387" s="187">
        <f>G1388</f>
        <v>71144.7</v>
      </c>
      <c r="H1387" s="187">
        <f>H1388</f>
        <v>71144.7</v>
      </c>
      <c r="I1387" s="188">
        <f t="shared" si="107"/>
        <v>0</v>
      </c>
    </row>
    <row r="1388" spans="1:9" x14ac:dyDescent="0.2">
      <c r="A1388" s="189" t="s">
        <v>1356</v>
      </c>
      <c r="B1388" s="190"/>
      <c r="C1388" s="189" t="s">
        <v>609</v>
      </c>
      <c r="D1388" s="189" t="s">
        <v>609</v>
      </c>
      <c r="E1388" s="189"/>
      <c r="F1388" s="190"/>
      <c r="G1388" s="191">
        <f>G1389+G1395</f>
        <v>71144.7</v>
      </c>
      <c r="H1388" s="191">
        <f>H1389+H1395</f>
        <v>71144.7</v>
      </c>
      <c r="I1388" s="192">
        <f t="shared" si="107"/>
        <v>0</v>
      </c>
    </row>
    <row r="1389" spans="1:9" x14ac:dyDescent="0.2">
      <c r="A1389" s="189" t="s">
        <v>568</v>
      </c>
      <c r="B1389" s="190"/>
      <c r="C1389" s="189" t="s">
        <v>609</v>
      </c>
      <c r="D1389" s="189" t="s">
        <v>609</v>
      </c>
      <c r="E1389" s="189" t="s">
        <v>567</v>
      </c>
      <c r="F1389" s="190"/>
      <c r="G1389" s="191">
        <f t="shared" ref="G1389:H1393" si="112">G1390</f>
        <v>57</v>
      </c>
      <c r="H1389" s="191">
        <f t="shared" si="112"/>
        <v>57</v>
      </c>
      <c r="I1389" s="192">
        <f t="shared" si="107"/>
        <v>0</v>
      </c>
    </row>
    <row r="1390" spans="1:9" x14ac:dyDescent="0.2">
      <c r="A1390" s="189" t="s">
        <v>566</v>
      </c>
      <c r="B1390" s="190"/>
      <c r="C1390" s="189" t="s">
        <v>609</v>
      </c>
      <c r="D1390" s="189" t="s">
        <v>609</v>
      </c>
      <c r="E1390" s="189" t="s">
        <v>565</v>
      </c>
      <c r="F1390" s="190"/>
      <c r="G1390" s="191">
        <f t="shared" si="112"/>
        <v>57</v>
      </c>
      <c r="H1390" s="191">
        <f t="shared" si="112"/>
        <v>57</v>
      </c>
      <c r="I1390" s="192">
        <f t="shared" si="107"/>
        <v>0</v>
      </c>
    </row>
    <row r="1391" spans="1:9" ht="24" x14ac:dyDescent="0.2">
      <c r="A1391" s="189" t="s">
        <v>1387</v>
      </c>
      <c r="B1391" s="190"/>
      <c r="C1391" s="189" t="s">
        <v>609</v>
      </c>
      <c r="D1391" s="189" t="s">
        <v>609</v>
      </c>
      <c r="E1391" s="189" t="s">
        <v>578</v>
      </c>
      <c r="F1391" s="190"/>
      <c r="G1391" s="191">
        <f t="shared" si="112"/>
        <v>57</v>
      </c>
      <c r="H1391" s="191">
        <f t="shared" si="112"/>
        <v>57</v>
      </c>
      <c r="I1391" s="192">
        <f t="shared" si="107"/>
        <v>0</v>
      </c>
    </row>
    <row r="1392" spans="1:9" ht="36" x14ac:dyDescent="0.2">
      <c r="A1392" s="189" t="s">
        <v>1388</v>
      </c>
      <c r="B1392" s="190"/>
      <c r="C1392" s="189" t="s">
        <v>609</v>
      </c>
      <c r="D1392" s="189" t="s">
        <v>609</v>
      </c>
      <c r="E1392" s="189" t="s">
        <v>577</v>
      </c>
      <c r="F1392" s="190"/>
      <c r="G1392" s="191">
        <f t="shared" si="112"/>
        <v>57</v>
      </c>
      <c r="H1392" s="191">
        <f t="shared" si="112"/>
        <v>57</v>
      </c>
      <c r="I1392" s="192">
        <f t="shared" si="107"/>
        <v>0</v>
      </c>
    </row>
    <row r="1393" spans="1:9" ht="24" x14ac:dyDescent="0.2">
      <c r="A1393" s="189" t="s">
        <v>547</v>
      </c>
      <c r="B1393" s="190"/>
      <c r="C1393" s="189" t="s">
        <v>609</v>
      </c>
      <c r="D1393" s="189" t="s">
        <v>609</v>
      </c>
      <c r="E1393" s="189" t="s">
        <v>577</v>
      </c>
      <c r="F1393" s="190" t="s">
        <v>519</v>
      </c>
      <c r="G1393" s="191">
        <f t="shared" si="112"/>
        <v>57</v>
      </c>
      <c r="H1393" s="191">
        <f t="shared" si="112"/>
        <v>57</v>
      </c>
      <c r="I1393" s="192">
        <f t="shared" si="107"/>
        <v>0</v>
      </c>
    </row>
    <row r="1394" spans="1:9" x14ac:dyDescent="0.2">
      <c r="A1394" s="189" t="s">
        <v>571</v>
      </c>
      <c r="B1394" s="190"/>
      <c r="C1394" s="189" t="s">
        <v>609</v>
      </c>
      <c r="D1394" s="189" t="s">
        <v>609</v>
      </c>
      <c r="E1394" s="189" t="s">
        <v>577</v>
      </c>
      <c r="F1394" s="190" t="s">
        <v>522</v>
      </c>
      <c r="G1394" s="191">
        <v>57</v>
      </c>
      <c r="H1394" s="191">
        <v>57</v>
      </c>
      <c r="I1394" s="192">
        <f t="shared" si="107"/>
        <v>0</v>
      </c>
    </row>
    <row r="1395" spans="1:9" ht="24" x14ac:dyDescent="0.2">
      <c r="A1395" s="189" t="s">
        <v>588</v>
      </c>
      <c r="B1395" s="190"/>
      <c r="C1395" s="189" t="s">
        <v>609</v>
      </c>
      <c r="D1395" s="189" t="s">
        <v>609</v>
      </c>
      <c r="E1395" s="189" t="s">
        <v>587</v>
      </c>
      <c r="F1395" s="190"/>
      <c r="G1395" s="191">
        <f>G1396</f>
        <v>71087.7</v>
      </c>
      <c r="H1395" s="191">
        <f>H1396</f>
        <v>71087.7</v>
      </c>
      <c r="I1395" s="192">
        <f t="shared" si="107"/>
        <v>0</v>
      </c>
    </row>
    <row r="1396" spans="1:9" x14ac:dyDescent="0.2">
      <c r="A1396" s="189" t="s">
        <v>586</v>
      </c>
      <c r="B1396" s="190"/>
      <c r="C1396" s="189" t="s">
        <v>609</v>
      </c>
      <c r="D1396" s="189" t="s">
        <v>609</v>
      </c>
      <c r="E1396" s="189" t="s">
        <v>585</v>
      </c>
      <c r="F1396" s="190"/>
      <c r="G1396" s="191">
        <f>G1397</f>
        <v>71087.7</v>
      </c>
      <c r="H1396" s="191">
        <f>H1397</f>
        <v>71087.7</v>
      </c>
      <c r="I1396" s="192">
        <f t="shared" si="107"/>
        <v>0</v>
      </c>
    </row>
    <row r="1397" spans="1:9" ht="36" x14ac:dyDescent="0.2">
      <c r="A1397" s="189" t="s">
        <v>584</v>
      </c>
      <c r="B1397" s="190"/>
      <c r="C1397" s="189" t="s">
        <v>609</v>
      </c>
      <c r="D1397" s="189" t="s">
        <v>609</v>
      </c>
      <c r="E1397" s="189" t="s">
        <v>583</v>
      </c>
      <c r="F1397" s="190"/>
      <c r="G1397" s="191">
        <f>G1398+G1404</f>
        <v>71087.7</v>
      </c>
      <c r="H1397" s="191">
        <f>H1398+H1404</f>
        <v>71087.7</v>
      </c>
      <c r="I1397" s="192">
        <f t="shared" si="107"/>
        <v>0</v>
      </c>
    </row>
    <row r="1398" spans="1:9" ht="24" x14ac:dyDescent="0.2">
      <c r="A1398" s="189" t="s">
        <v>582</v>
      </c>
      <c r="B1398" s="190"/>
      <c r="C1398" s="189" t="s">
        <v>609</v>
      </c>
      <c r="D1398" s="189" t="s">
        <v>609</v>
      </c>
      <c r="E1398" s="189" t="s">
        <v>581</v>
      </c>
      <c r="F1398" s="190"/>
      <c r="G1398" s="191">
        <f>G1399+G1401</f>
        <v>1882.9</v>
      </c>
      <c r="H1398" s="191">
        <f>H1399+H1401</f>
        <v>1882.9</v>
      </c>
      <c r="I1398" s="192">
        <f t="shared" si="107"/>
        <v>0</v>
      </c>
    </row>
    <row r="1399" spans="1:9" x14ac:dyDescent="0.2">
      <c r="A1399" s="189" t="s">
        <v>1347</v>
      </c>
      <c r="B1399" s="190"/>
      <c r="C1399" s="189" t="s">
        <v>609</v>
      </c>
      <c r="D1399" s="189" t="s">
        <v>609</v>
      </c>
      <c r="E1399" s="189" t="s">
        <v>581</v>
      </c>
      <c r="F1399" s="190" t="s">
        <v>535</v>
      </c>
      <c r="G1399" s="191">
        <f>G1400</f>
        <v>1392.9</v>
      </c>
      <c r="H1399" s="191">
        <f>H1400</f>
        <v>1392.9</v>
      </c>
      <c r="I1399" s="192">
        <f t="shared" si="107"/>
        <v>0</v>
      </c>
    </row>
    <row r="1400" spans="1:9" ht="24" x14ac:dyDescent="0.2">
      <c r="A1400" s="189" t="s">
        <v>534</v>
      </c>
      <c r="B1400" s="190"/>
      <c r="C1400" s="189" t="s">
        <v>609</v>
      </c>
      <c r="D1400" s="189" t="s">
        <v>609</v>
      </c>
      <c r="E1400" s="189" t="s">
        <v>581</v>
      </c>
      <c r="F1400" s="190" t="s">
        <v>529</v>
      </c>
      <c r="G1400" s="191">
        <f>1592.9-200</f>
        <v>1392.9</v>
      </c>
      <c r="H1400" s="191">
        <f>1592.9-200</f>
        <v>1392.9</v>
      </c>
      <c r="I1400" s="192">
        <f t="shared" si="107"/>
        <v>0</v>
      </c>
    </row>
    <row r="1401" spans="1:9" ht="24" x14ac:dyDescent="0.2">
      <c r="A1401" s="395" t="s">
        <v>547</v>
      </c>
      <c r="B1401" s="396"/>
      <c r="C1401" s="395" t="s">
        <v>609</v>
      </c>
      <c r="D1401" s="395" t="s">
        <v>609</v>
      </c>
      <c r="E1401" s="395" t="s">
        <v>581</v>
      </c>
      <c r="F1401" s="396" t="s">
        <v>519</v>
      </c>
      <c r="G1401" s="397">
        <f>G1402+G1403</f>
        <v>490</v>
      </c>
      <c r="H1401" s="397">
        <f>H1402+H1403</f>
        <v>490</v>
      </c>
      <c r="I1401" s="398">
        <f t="shared" si="107"/>
        <v>0</v>
      </c>
    </row>
    <row r="1402" spans="1:9" x14ac:dyDescent="0.2">
      <c r="A1402" s="395" t="s">
        <v>571</v>
      </c>
      <c r="B1402" s="396"/>
      <c r="C1402" s="395" t="s">
        <v>609</v>
      </c>
      <c r="D1402" s="395" t="s">
        <v>609</v>
      </c>
      <c r="E1402" s="395" t="s">
        <v>581</v>
      </c>
      <c r="F1402" s="396" t="s">
        <v>522</v>
      </c>
      <c r="G1402" s="397">
        <f>500+80-90</f>
        <v>490</v>
      </c>
      <c r="H1402" s="397">
        <f>500+80-90</f>
        <v>490</v>
      </c>
      <c r="I1402" s="398">
        <f t="shared" si="107"/>
        <v>0</v>
      </c>
    </row>
    <row r="1403" spans="1:9" x14ac:dyDescent="0.2">
      <c r="A1403" s="189" t="s">
        <v>546</v>
      </c>
      <c r="B1403" s="190"/>
      <c r="C1403" s="189" t="s">
        <v>609</v>
      </c>
      <c r="D1403" s="189" t="s">
        <v>609</v>
      </c>
      <c r="E1403" s="189" t="s">
        <v>581</v>
      </c>
      <c r="F1403" s="190" t="s">
        <v>544</v>
      </c>
      <c r="G1403" s="191">
        <f>80-80</f>
        <v>0</v>
      </c>
      <c r="H1403" s="191">
        <f>80-80</f>
        <v>0</v>
      </c>
      <c r="I1403" s="192">
        <f t="shared" si="107"/>
        <v>0</v>
      </c>
    </row>
    <row r="1404" spans="1:9" ht="24" x14ac:dyDescent="0.2">
      <c r="A1404" s="189" t="s">
        <v>611</v>
      </c>
      <c r="B1404" s="190"/>
      <c r="C1404" s="189" t="s">
        <v>609</v>
      </c>
      <c r="D1404" s="189" t="s">
        <v>609</v>
      </c>
      <c r="E1404" s="189" t="s">
        <v>608</v>
      </c>
      <c r="F1404" s="190"/>
      <c r="G1404" s="191">
        <f>G1405</f>
        <v>69204.800000000003</v>
      </c>
      <c r="H1404" s="191">
        <f>H1405</f>
        <v>69204.800000000003</v>
      </c>
      <c r="I1404" s="192">
        <f t="shared" si="107"/>
        <v>0</v>
      </c>
    </row>
    <row r="1405" spans="1:9" ht="24" x14ac:dyDescent="0.2">
      <c r="A1405" s="189" t="s">
        <v>547</v>
      </c>
      <c r="B1405" s="190"/>
      <c r="C1405" s="189" t="s">
        <v>609</v>
      </c>
      <c r="D1405" s="189" t="s">
        <v>609</v>
      </c>
      <c r="E1405" s="189" t="s">
        <v>608</v>
      </c>
      <c r="F1405" s="190" t="s">
        <v>519</v>
      </c>
      <c r="G1405" s="191">
        <f>G1406+G1407</f>
        <v>69204.800000000003</v>
      </c>
      <c r="H1405" s="191">
        <f>H1406+H1407</f>
        <v>69204.800000000003</v>
      </c>
      <c r="I1405" s="192">
        <f t="shared" si="107"/>
        <v>0</v>
      </c>
    </row>
    <row r="1406" spans="1:9" x14ac:dyDescent="0.2">
      <c r="A1406" s="189" t="s">
        <v>571</v>
      </c>
      <c r="B1406" s="190"/>
      <c r="C1406" s="189" t="s">
        <v>609</v>
      </c>
      <c r="D1406" s="189" t="s">
        <v>609</v>
      </c>
      <c r="E1406" s="189" t="s">
        <v>608</v>
      </c>
      <c r="F1406" s="190" t="s">
        <v>522</v>
      </c>
      <c r="G1406" s="191">
        <f>44527.9+18357.7+200</f>
        <v>63085.600000000006</v>
      </c>
      <c r="H1406" s="191">
        <f>44527.9+18357.7+200</f>
        <v>63085.600000000006</v>
      </c>
      <c r="I1406" s="192">
        <f t="shared" si="107"/>
        <v>0</v>
      </c>
    </row>
    <row r="1407" spans="1:9" x14ac:dyDescent="0.2">
      <c r="A1407" s="189" t="s">
        <v>546</v>
      </c>
      <c r="B1407" s="190"/>
      <c r="C1407" s="189" t="s">
        <v>609</v>
      </c>
      <c r="D1407" s="189" t="s">
        <v>609</v>
      </c>
      <c r="E1407" s="189" t="s">
        <v>608</v>
      </c>
      <c r="F1407" s="190" t="s">
        <v>544</v>
      </c>
      <c r="G1407" s="191">
        <f>24476.9+200-18357.7-200</f>
        <v>6119.2000000000007</v>
      </c>
      <c r="H1407" s="191">
        <f>24476.9+200-18357.7-200</f>
        <v>6119.2000000000007</v>
      </c>
      <c r="I1407" s="192">
        <f t="shared" si="107"/>
        <v>0</v>
      </c>
    </row>
    <row r="1408" spans="1:9" x14ac:dyDescent="0.2">
      <c r="A1408" s="181" t="s">
        <v>607</v>
      </c>
      <c r="B1408" s="182" t="s">
        <v>533</v>
      </c>
      <c r="C1408" s="181"/>
      <c r="D1408" s="181"/>
      <c r="E1408" s="181"/>
      <c r="F1408" s="182"/>
      <c r="G1408" s="183">
        <f>G1409+G1417+G1426</f>
        <v>435752.3</v>
      </c>
      <c r="H1408" s="183">
        <f>H1409+H1417+H1426</f>
        <v>435752.3</v>
      </c>
      <c r="I1408" s="184">
        <f t="shared" si="107"/>
        <v>0</v>
      </c>
    </row>
    <row r="1409" spans="1:9" s="78" customFormat="1" x14ac:dyDescent="0.2">
      <c r="A1409" s="185" t="s">
        <v>606</v>
      </c>
      <c r="B1409" s="186"/>
      <c r="C1409" s="185" t="s">
        <v>498</v>
      </c>
      <c r="D1409" s="185"/>
      <c r="E1409" s="185"/>
      <c r="F1409" s="186"/>
      <c r="G1409" s="187">
        <f>G1410</f>
        <v>849.3</v>
      </c>
      <c r="H1409" s="187">
        <f>H1410</f>
        <v>849.3</v>
      </c>
      <c r="I1409" s="188">
        <f t="shared" si="107"/>
        <v>0</v>
      </c>
    </row>
    <row r="1410" spans="1:9" ht="24" x14ac:dyDescent="0.2">
      <c r="A1410" s="189" t="s">
        <v>605</v>
      </c>
      <c r="B1410" s="190"/>
      <c r="C1410" s="189" t="s">
        <v>498</v>
      </c>
      <c r="D1410" s="189" t="s">
        <v>507</v>
      </c>
      <c r="E1410" s="189"/>
      <c r="F1410" s="190"/>
      <c r="G1410" s="191">
        <f t="shared" ref="G1410:H1415" si="113">G1411</f>
        <v>849.3</v>
      </c>
      <c r="H1410" s="191">
        <f t="shared" si="113"/>
        <v>849.3</v>
      </c>
      <c r="I1410" s="192">
        <f t="shared" si="107"/>
        <v>0</v>
      </c>
    </row>
    <row r="1411" spans="1:9" x14ac:dyDescent="0.2">
      <c r="A1411" s="189" t="s">
        <v>604</v>
      </c>
      <c r="B1411" s="190"/>
      <c r="C1411" s="189" t="s">
        <v>498</v>
      </c>
      <c r="D1411" s="189" t="s">
        <v>507</v>
      </c>
      <c r="E1411" s="189" t="s">
        <v>603</v>
      </c>
      <c r="F1411" s="190"/>
      <c r="G1411" s="191">
        <f t="shared" si="113"/>
        <v>849.3</v>
      </c>
      <c r="H1411" s="191">
        <f t="shared" si="113"/>
        <v>849.3</v>
      </c>
      <c r="I1411" s="192">
        <f t="shared" si="107"/>
        <v>0</v>
      </c>
    </row>
    <row r="1412" spans="1:9" x14ac:dyDescent="0.2">
      <c r="A1412" s="189" t="s">
        <v>602</v>
      </c>
      <c r="B1412" s="190"/>
      <c r="C1412" s="189" t="s">
        <v>498</v>
      </c>
      <c r="D1412" s="189" t="s">
        <v>507</v>
      </c>
      <c r="E1412" s="189" t="s">
        <v>601</v>
      </c>
      <c r="F1412" s="190"/>
      <c r="G1412" s="191">
        <f t="shared" si="113"/>
        <v>849.3</v>
      </c>
      <c r="H1412" s="191">
        <f t="shared" si="113"/>
        <v>849.3</v>
      </c>
      <c r="I1412" s="192">
        <f t="shared" si="107"/>
        <v>0</v>
      </c>
    </row>
    <row r="1413" spans="1:9" ht="24" x14ac:dyDescent="0.2">
      <c r="A1413" s="189" t="s">
        <v>600</v>
      </c>
      <c r="B1413" s="190"/>
      <c r="C1413" s="189" t="s">
        <v>498</v>
      </c>
      <c r="D1413" s="189" t="s">
        <v>507</v>
      </c>
      <c r="E1413" s="189" t="s">
        <v>599</v>
      </c>
      <c r="F1413" s="190"/>
      <c r="G1413" s="191">
        <f t="shared" si="113"/>
        <v>849.3</v>
      </c>
      <c r="H1413" s="191">
        <f t="shared" si="113"/>
        <v>849.3</v>
      </c>
      <c r="I1413" s="192">
        <f t="shared" si="107"/>
        <v>0</v>
      </c>
    </row>
    <row r="1414" spans="1:9" x14ac:dyDescent="0.2">
      <c r="A1414" s="189" t="s">
        <v>598</v>
      </c>
      <c r="B1414" s="190"/>
      <c r="C1414" s="189" t="s">
        <v>498</v>
      </c>
      <c r="D1414" s="189" t="s">
        <v>507</v>
      </c>
      <c r="E1414" s="189" t="s">
        <v>597</v>
      </c>
      <c r="F1414" s="190"/>
      <c r="G1414" s="191">
        <f t="shared" si="113"/>
        <v>849.3</v>
      </c>
      <c r="H1414" s="191">
        <f t="shared" si="113"/>
        <v>849.3</v>
      </c>
      <c r="I1414" s="192">
        <f t="shared" si="107"/>
        <v>0</v>
      </c>
    </row>
    <row r="1415" spans="1:9" x14ac:dyDescent="0.2">
      <c r="A1415" s="189" t="s">
        <v>1347</v>
      </c>
      <c r="B1415" s="190"/>
      <c r="C1415" s="189" t="s">
        <v>498</v>
      </c>
      <c r="D1415" s="189" t="s">
        <v>507</v>
      </c>
      <c r="E1415" s="189" t="s">
        <v>597</v>
      </c>
      <c r="F1415" s="190" t="s">
        <v>535</v>
      </c>
      <c r="G1415" s="191">
        <f t="shared" si="113"/>
        <v>849.3</v>
      </c>
      <c r="H1415" s="191">
        <f t="shared" si="113"/>
        <v>849.3</v>
      </c>
      <c r="I1415" s="192">
        <f t="shared" si="107"/>
        <v>0</v>
      </c>
    </row>
    <row r="1416" spans="1:9" ht="24" x14ac:dyDescent="0.2">
      <c r="A1416" s="189" t="s">
        <v>534</v>
      </c>
      <c r="B1416" s="190"/>
      <c r="C1416" s="189" t="s">
        <v>498</v>
      </c>
      <c r="D1416" s="189" t="s">
        <v>507</v>
      </c>
      <c r="E1416" s="189" t="s">
        <v>597</v>
      </c>
      <c r="F1416" s="190" t="s">
        <v>529</v>
      </c>
      <c r="G1416" s="191">
        <v>849.3</v>
      </c>
      <c r="H1416" s="191">
        <v>849.3</v>
      </c>
      <c r="I1416" s="192">
        <f t="shared" si="107"/>
        <v>0</v>
      </c>
    </row>
    <row r="1417" spans="1:9" s="78" customFormat="1" x14ac:dyDescent="0.2">
      <c r="A1417" s="185" t="s">
        <v>590</v>
      </c>
      <c r="B1417" s="186"/>
      <c r="C1417" s="185" t="s">
        <v>507</v>
      </c>
      <c r="D1417" s="185"/>
      <c r="E1417" s="185"/>
      <c r="F1417" s="186"/>
      <c r="G1417" s="187">
        <f t="shared" ref="G1417:H1422" si="114">G1418</f>
        <v>390.59999999999997</v>
      </c>
      <c r="H1417" s="187">
        <f t="shared" si="114"/>
        <v>390.59999999999997</v>
      </c>
      <c r="I1417" s="188">
        <f t="shared" ref="I1417:I1477" si="115">H1417-G1417</f>
        <v>0</v>
      </c>
    </row>
    <row r="1418" spans="1:9" x14ac:dyDescent="0.2">
      <c r="A1418" s="189" t="s">
        <v>589</v>
      </c>
      <c r="B1418" s="190"/>
      <c r="C1418" s="189" t="s">
        <v>507</v>
      </c>
      <c r="D1418" s="189" t="s">
        <v>498</v>
      </c>
      <c r="E1418" s="189"/>
      <c r="F1418" s="190"/>
      <c r="G1418" s="191">
        <f t="shared" si="114"/>
        <v>390.59999999999997</v>
      </c>
      <c r="H1418" s="191">
        <f t="shared" si="114"/>
        <v>390.59999999999997</v>
      </c>
      <c r="I1418" s="192">
        <f t="shared" si="115"/>
        <v>0</v>
      </c>
    </row>
    <row r="1419" spans="1:9" ht="24" x14ac:dyDescent="0.2">
      <c r="A1419" s="189" t="s">
        <v>588</v>
      </c>
      <c r="B1419" s="190"/>
      <c r="C1419" s="189" t="s">
        <v>507</v>
      </c>
      <c r="D1419" s="189" t="s">
        <v>498</v>
      </c>
      <c r="E1419" s="189" t="s">
        <v>587</v>
      </c>
      <c r="F1419" s="190"/>
      <c r="G1419" s="191">
        <f t="shared" si="114"/>
        <v>390.59999999999997</v>
      </c>
      <c r="H1419" s="191">
        <f t="shared" si="114"/>
        <v>390.59999999999997</v>
      </c>
      <c r="I1419" s="192">
        <f t="shared" si="115"/>
        <v>0</v>
      </c>
    </row>
    <row r="1420" spans="1:9" x14ac:dyDescent="0.2">
      <c r="A1420" s="189" t="s">
        <v>586</v>
      </c>
      <c r="B1420" s="190"/>
      <c r="C1420" s="189" t="s">
        <v>507</v>
      </c>
      <c r="D1420" s="189" t="s">
        <v>498</v>
      </c>
      <c r="E1420" s="189" t="s">
        <v>585</v>
      </c>
      <c r="F1420" s="190"/>
      <c r="G1420" s="191">
        <f t="shared" si="114"/>
        <v>390.59999999999997</v>
      </c>
      <c r="H1420" s="191">
        <f t="shared" si="114"/>
        <v>390.59999999999997</v>
      </c>
      <c r="I1420" s="192">
        <f t="shared" si="115"/>
        <v>0</v>
      </c>
    </row>
    <row r="1421" spans="1:9" ht="36" x14ac:dyDescent="0.2">
      <c r="A1421" s="189" t="s">
        <v>584</v>
      </c>
      <c r="B1421" s="190"/>
      <c r="C1421" s="189" t="s">
        <v>507</v>
      </c>
      <c r="D1421" s="189" t="s">
        <v>498</v>
      </c>
      <c r="E1421" s="189" t="s">
        <v>583</v>
      </c>
      <c r="F1421" s="190"/>
      <c r="G1421" s="191">
        <f t="shared" si="114"/>
        <v>390.59999999999997</v>
      </c>
      <c r="H1421" s="191">
        <f t="shared" si="114"/>
        <v>390.59999999999997</v>
      </c>
      <c r="I1421" s="192">
        <f t="shared" si="115"/>
        <v>0</v>
      </c>
    </row>
    <row r="1422" spans="1:9" ht="24" x14ac:dyDescent="0.2">
      <c r="A1422" s="189" t="s">
        <v>582</v>
      </c>
      <c r="B1422" s="190"/>
      <c r="C1422" s="189" t="s">
        <v>507</v>
      </c>
      <c r="D1422" s="189" t="s">
        <v>498</v>
      </c>
      <c r="E1422" s="189" t="s">
        <v>581</v>
      </c>
      <c r="F1422" s="190"/>
      <c r="G1422" s="191">
        <f t="shared" si="114"/>
        <v>390.59999999999997</v>
      </c>
      <c r="H1422" s="191">
        <f t="shared" si="114"/>
        <v>390.59999999999997</v>
      </c>
      <c r="I1422" s="192">
        <f t="shared" si="115"/>
        <v>0</v>
      </c>
    </row>
    <row r="1423" spans="1:9" ht="24" x14ac:dyDescent="0.2">
      <c r="A1423" s="189" t="s">
        <v>547</v>
      </c>
      <c r="B1423" s="190"/>
      <c r="C1423" s="189" t="s">
        <v>507</v>
      </c>
      <c r="D1423" s="189" t="s">
        <v>498</v>
      </c>
      <c r="E1423" s="189" t="s">
        <v>581</v>
      </c>
      <c r="F1423" s="190" t="s">
        <v>519</v>
      </c>
      <c r="G1423" s="191">
        <f>G1424+G1425</f>
        <v>390.59999999999997</v>
      </c>
      <c r="H1423" s="191">
        <f>H1424+H1425</f>
        <v>390.59999999999997</v>
      </c>
      <c r="I1423" s="192">
        <f t="shared" si="115"/>
        <v>0</v>
      </c>
    </row>
    <row r="1424" spans="1:9" x14ac:dyDescent="0.2">
      <c r="A1424" s="189" t="s">
        <v>571</v>
      </c>
      <c r="B1424" s="190"/>
      <c r="C1424" s="189" t="s">
        <v>507</v>
      </c>
      <c r="D1424" s="189" t="s">
        <v>498</v>
      </c>
      <c r="E1424" s="189" t="s">
        <v>581</v>
      </c>
      <c r="F1424" s="190" t="s">
        <v>522</v>
      </c>
      <c r="G1424" s="191">
        <f>138.7-41</f>
        <v>97.699999999999989</v>
      </c>
      <c r="H1424" s="191">
        <f>138.7-41</f>
        <v>97.699999999999989</v>
      </c>
      <c r="I1424" s="192">
        <f t="shared" si="115"/>
        <v>0</v>
      </c>
    </row>
    <row r="1425" spans="1:9" x14ac:dyDescent="0.2">
      <c r="A1425" s="189" t="s">
        <v>546</v>
      </c>
      <c r="B1425" s="190"/>
      <c r="C1425" s="189" t="s">
        <v>507</v>
      </c>
      <c r="D1425" s="189" t="s">
        <v>498</v>
      </c>
      <c r="E1425" s="189" t="s">
        <v>581</v>
      </c>
      <c r="F1425" s="190" t="s">
        <v>544</v>
      </c>
      <c r="G1425" s="191">
        <f>369.7-76.8</f>
        <v>292.89999999999998</v>
      </c>
      <c r="H1425" s="191">
        <f>369.7-76.8</f>
        <v>292.89999999999998</v>
      </c>
      <c r="I1425" s="192">
        <f t="shared" si="115"/>
        <v>0</v>
      </c>
    </row>
    <row r="1426" spans="1:9" s="78" customFormat="1" x14ac:dyDescent="0.2">
      <c r="A1426" s="185" t="s">
        <v>580</v>
      </c>
      <c r="B1426" s="186"/>
      <c r="C1426" s="185" t="s">
        <v>532</v>
      </c>
      <c r="D1426" s="185"/>
      <c r="E1426" s="185"/>
      <c r="F1426" s="186"/>
      <c r="G1426" s="187">
        <f>G1427+G1451+G1473</f>
        <v>434512.39999999997</v>
      </c>
      <c r="H1426" s="187">
        <f>H1427+H1451+H1473</f>
        <v>434512.39999999997</v>
      </c>
      <c r="I1426" s="188">
        <f t="shared" si="115"/>
        <v>0</v>
      </c>
    </row>
    <row r="1427" spans="1:9" x14ac:dyDescent="0.2">
      <c r="A1427" s="189" t="s">
        <v>579</v>
      </c>
      <c r="B1427" s="190"/>
      <c r="C1427" s="189" t="s">
        <v>532</v>
      </c>
      <c r="D1427" s="189" t="s">
        <v>498</v>
      </c>
      <c r="E1427" s="189"/>
      <c r="F1427" s="190"/>
      <c r="G1427" s="191">
        <f>G1428+G1435</f>
        <v>386582.39999999997</v>
      </c>
      <c r="H1427" s="191">
        <f>H1428+H1435</f>
        <v>392128.89999999997</v>
      </c>
      <c r="I1427" s="192">
        <f t="shared" si="115"/>
        <v>5546.5</v>
      </c>
    </row>
    <row r="1428" spans="1:9" x14ac:dyDescent="0.2">
      <c r="A1428" s="189" t="s">
        <v>568</v>
      </c>
      <c r="B1428" s="190"/>
      <c r="C1428" s="189" t="s">
        <v>532</v>
      </c>
      <c r="D1428" s="189" t="s">
        <v>498</v>
      </c>
      <c r="E1428" s="189" t="s">
        <v>567</v>
      </c>
      <c r="F1428" s="190"/>
      <c r="G1428" s="191">
        <f t="shared" ref="G1428:H1431" si="116">G1429</f>
        <v>459.3</v>
      </c>
      <c r="H1428" s="191">
        <f t="shared" si="116"/>
        <v>459.3</v>
      </c>
      <c r="I1428" s="192">
        <f t="shared" si="115"/>
        <v>0</v>
      </c>
    </row>
    <row r="1429" spans="1:9" x14ac:dyDescent="0.2">
      <c r="A1429" s="189" t="s">
        <v>566</v>
      </c>
      <c r="B1429" s="190"/>
      <c r="C1429" s="189" t="s">
        <v>532</v>
      </c>
      <c r="D1429" s="189" t="s">
        <v>498</v>
      </c>
      <c r="E1429" s="189" t="s">
        <v>565</v>
      </c>
      <c r="F1429" s="190"/>
      <c r="G1429" s="191">
        <f t="shared" si="116"/>
        <v>459.3</v>
      </c>
      <c r="H1429" s="191">
        <f t="shared" si="116"/>
        <v>459.3</v>
      </c>
      <c r="I1429" s="192">
        <f t="shared" si="115"/>
        <v>0</v>
      </c>
    </row>
    <row r="1430" spans="1:9" ht="24" x14ac:dyDescent="0.2">
      <c r="A1430" s="189" t="s">
        <v>1387</v>
      </c>
      <c r="B1430" s="190"/>
      <c r="C1430" s="189" t="s">
        <v>532</v>
      </c>
      <c r="D1430" s="189" t="s">
        <v>498</v>
      </c>
      <c r="E1430" s="189" t="s">
        <v>578</v>
      </c>
      <c r="F1430" s="190"/>
      <c r="G1430" s="191">
        <f t="shared" si="116"/>
        <v>459.3</v>
      </c>
      <c r="H1430" s="191">
        <f t="shared" si="116"/>
        <v>459.3</v>
      </c>
      <c r="I1430" s="192">
        <f t="shared" si="115"/>
        <v>0</v>
      </c>
    </row>
    <row r="1431" spans="1:9" ht="36" x14ac:dyDescent="0.2">
      <c r="A1431" s="189" t="s">
        <v>1388</v>
      </c>
      <c r="B1431" s="190"/>
      <c r="C1431" s="189" t="s">
        <v>532</v>
      </c>
      <c r="D1431" s="189" t="s">
        <v>498</v>
      </c>
      <c r="E1431" s="189" t="s">
        <v>577</v>
      </c>
      <c r="F1431" s="190"/>
      <c r="G1431" s="191">
        <f t="shared" si="116"/>
        <v>459.3</v>
      </c>
      <c r="H1431" s="191">
        <f t="shared" si="116"/>
        <v>459.3</v>
      </c>
      <c r="I1431" s="192">
        <f t="shared" si="115"/>
        <v>0</v>
      </c>
    </row>
    <row r="1432" spans="1:9" ht="24" x14ac:dyDescent="0.2">
      <c r="A1432" s="189" t="s">
        <v>547</v>
      </c>
      <c r="B1432" s="190"/>
      <c r="C1432" s="189" t="s">
        <v>532</v>
      </c>
      <c r="D1432" s="189" t="s">
        <v>498</v>
      </c>
      <c r="E1432" s="189" t="s">
        <v>577</v>
      </c>
      <c r="F1432" s="190" t="s">
        <v>519</v>
      </c>
      <c r="G1432" s="191">
        <f>G1433+G1434</f>
        <v>459.3</v>
      </c>
      <c r="H1432" s="191">
        <f>H1433+H1434</f>
        <v>459.3</v>
      </c>
      <c r="I1432" s="192">
        <f t="shared" si="115"/>
        <v>0</v>
      </c>
    </row>
    <row r="1433" spans="1:9" x14ac:dyDescent="0.2">
      <c r="A1433" s="189" t="s">
        <v>571</v>
      </c>
      <c r="B1433" s="190"/>
      <c r="C1433" s="189" t="s">
        <v>532</v>
      </c>
      <c r="D1433" s="189" t="s">
        <v>498</v>
      </c>
      <c r="E1433" s="189" t="s">
        <v>577</v>
      </c>
      <c r="F1433" s="190" t="s">
        <v>522</v>
      </c>
      <c r="G1433" s="191">
        <v>50</v>
      </c>
      <c r="H1433" s="191">
        <v>50</v>
      </c>
      <c r="I1433" s="192">
        <f t="shared" si="115"/>
        <v>0</v>
      </c>
    </row>
    <row r="1434" spans="1:9" x14ac:dyDescent="0.2">
      <c r="A1434" s="189" t="s">
        <v>546</v>
      </c>
      <c r="B1434" s="190"/>
      <c r="C1434" s="189" t="s">
        <v>532</v>
      </c>
      <c r="D1434" s="189" t="s">
        <v>498</v>
      </c>
      <c r="E1434" s="189" t="s">
        <v>577</v>
      </c>
      <c r="F1434" s="190" t="s">
        <v>544</v>
      </c>
      <c r="G1434" s="191">
        <v>409.3</v>
      </c>
      <c r="H1434" s="191">
        <v>409.3</v>
      </c>
      <c r="I1434" s="192">
        <f t="shared" si="115"/>
        <v>0</v>
      </c>
    </row>
    <row r="1435" spans="1:9" x14ac:dyDescent="0.2">
      <c r="A1435" s="189" t="s">
        <v>542</v>
      </c>
      <c r="B1435" s="190"/>
      <c r="C1435" s="189" t="s">
        <v>532</v>
      </c>
      <c r="D1435" s="189" t="s">
        <v>498</v>
      </c>
      <c r="E1435" s="189" t="s">
        <v>541</v>
      </c>
      <c r="F1435" s="190"/>
      <c r="G1435" s="191">
        <f>G1436+G1445</f>
        <v>386123.1</v>
      </c>
      <c r="H1435" s="191">
        <f>H1436+H1445</f>
        <v>391669.6</v>
      </c>
      <c r="I1435" s="192">
        <f t="shared" si="115"/>
        <v>5546.5</v>
      </c>
    </row>
    <row r="1436" spans="1:9" x14ac:dyDescent="0.2">
      <c r="A1436" s="189" t="s">
        <v>560</v>
      </c>
      <c r="B1436" s="190"/>
      <c r="C1436" s="189" t="s">
        <v>532</v>
      </c>
      <c r="D1436" s="189" t="s">
        <v>498</v>
      </c>
      <c r="E1436" s="189" t="s">
        <v>559</v>
      </c>
      <c r="F1436" s="190"/>
      <c r="G1436" s="191">
        <f>G1437</f>
        <v>205721</v>
      </c>
      <c r="H1436" s="191">
        <f>H1437</f>
        <v>211267.5</v>
      </c>
      <c r="I1436" s="192">
        <f t="shared" si="115"/>
        <v>5546.5</v>
      </c>
    </row>
    <row r="1437" spans="1:9" ht="24" x14ac:dyDescent="0.2">
      <c r="A1437" s="189" t="s">
        <v>558</v>
      </c>
      <c r="B1437" s="190"/>
      <c r="C1437" s="189" t="s">
        <v>532</v>
      </c>
      <c r="D1437" s="189" t="s">
        <v>498</v>
      </c>
      <c r="E1437" s="189" t="s">
        <v>557</v>
      </c>
      <c r="F1437" s="190"/>
      <c r="G1437" s="191">
        <f>G1438+G1441</f>
        <v>205721</v>
      </c>
      <c r="H1437" s="191">
        <f>H1438+H1441</f>
        <v>211267.5</v>
      </c>
      <c r="I1437" s="192">
        <f t="shared" si="115"/>
        <v>5546.5</v>
      </c>
    </row>
    <row r="1438" spans="1:9" ht="24" x14ac:dyDescent="0.2">
      <c r="A1438" s="189" t="s">
        <v>576</v>
      </c>
      <c r="B1438" s="190"/>
      <c r="C1438" s="189" t="s">
        <v>532</v>
      </c>
      <c r="D1438" s="189" t="s">
        <v>498</v>
      </c>
      <c r="E1438" s="189" t="s">
        <v>575</v>
      </c>
      <c r="F1438" s="190"/>
      <c r="G1438" s="191">
        <f>G1439</f>
        <v>4335</v>
      </c>
      <c r="H1438" s="191">
        <f>H1439</f>
        <v>4335</v>
      </c>
      <c r="I1438" s="192">
        <f t="shared" si="115"/>
        <v>0</v>
      </c>
    </row>
    <row r="1439" spans="1:9" ht="24" x14ac:dyDescent="0.2">
      <c r="A1439" s="189" t="s">
        <v>547</v>
      </c>
      <c r="B1439" s="190"/>
      <c r="C1439" s="189" t="s">
        <v>532</v>
      </c>
      <c r="D1439" s="189" t="s">
        <v>498</v>
      </c>
      <c r="E1439" s="189" t="s">
        <v>575</v>
      </c>
      <c r="F1439" s="190" t="s">
        <v>519</v>
      </c>
      <c r="G1439" s="191">
        <f>G1440</f>
        <v>4335</v>
      </c>
      <c r="H1439" s="191">
        <f>H1440</f>
        <v>4335</v>
      </c>
      <c r="I1439" s="192">
        <f t="shared" si="115"/>
        <v>0</v>
      </c>
    </row>
    <row r="1440" spans="1:9" x14ac:dyDescent="0.2">
      <c r="A1440" s="189" t="s">
        <v>546</v>
      </c>
      <c r="B1440" s="190"/>
      <c r="C1440" s="189" t="s">
        <v>532</v>
      </c>
      <c r="D1440" s="189" t="s">
        <v>498</v>
      </c>
      <c r="E1440" s="189" t="s">
        <v>575</v>
      </c>
      <c r="F1440" s="190" t="s">
        <v>544</v>
      </c>
      <c r="G1440" s="191">
        <v>4335</v>
      </c>
      <c r="H1440" s="191">
        <v>4335</v>
      </c>
      <c r="I1440" s="192">
        <f t="shared" si="115"/>
        <v>0</v>
      </c>
    </row>
    <row r="1441" spans="1:9" ht="24" x14ac:dyDescent="0.2">
      <c r="A1441" s="189" t="s">
        <v>548</v>
      </c>
      <c r="B1441" s="190"/>
      <c r="C1441" s="189" t="s">
        <v>532</v>
      </c>
      <c r="D1441" s="189" t="s">
        <v>498</v>
      </c>
      <c r="E1441" s="189" t="s">
        <v>545</v>
      </c>
      <c r="F1441" s="190"/>
      <c r="G1441" s="191">
        <f>G1442</f>
        <v>201386</v>
      </c>
      <c r="H1441" s="191">
        <f>H1442</f>
        <v>206932.5</v>
      </c>
      <c r="I1441" s="192">
        <f t="shared" si="115"/>
        <v>5546.5</v>
      </c>
    </row>
    <row r="1442" spans="1:9" ht="24" x14ac:dyDescent="0.2">
      <c r="A1442" s="189" t="s">
        <v>547</v>
      </c>
      <c r="B1442" s="190"/>
      <c r="C1442" s="189" t="s">
        <v>532</v>
      </c>
      <c r="D1442" s="189" t="s">
        <v>498</v>
      </c>
      <c r="E1442" s="189" t="s">
        <v>545</v>
      </c>
      <c r="F1442" s="190" t="s">
        <v>519</v>
      </c>
      <c r="G1442" s="191">
        <f>G1443+G1444</f>
        <v>201386</v>
      </c>
      <c r="H1442" s="191">
        <f>H1443+H1444</f>
        <v>206932.5</v>
      </c>
      <c r="I1442" s="192">
        <f t="shared" si="115"/>
        <v>5546.5</v>
      </c>
    </row>
    <row r="1443" spans="1:9" x14ac:dyDescent="0.2">
      <c r="A1443" s="189" t="s">
        <v>571</v>
      </c>
      <c r="B1443" s="190"/>
      <c r="C1443" s="189" t="s">
        <v>532</v>
      </c>
      <c r="D1443" s="189" t="s">
        <v>498</v>
      </c>
      <c r="E1443" s="189" t="s">
        <v>545</v>
      </c>
      <c r="F1443" s="190" t="s">
        <v>522</v>
      </c>
      <c r="G1443" s="191">
        <f>15000-106</f>
        <v>14894</v>
      </c>
      <c r="H1443" s="191">
        <f>15000-106</f>
        <v>14894</v>
      </c>
      <c r="I1443" s="192">
        <f t="shared" si="115"/>
        <v>0</v>
      </c>
    </row>
    <row r="1444" spans="1:9" x14ac:dyDescent="0.2">
      <c r="A1444" s="189" t="s">
        <v>546</v>
      </c>
      <c r="B1444" s="190"/>
      <c r="C1444" s="189" t="s">
        <v>532</v>
      </c>
      <c r="D1444" s="189" t="s">
        <v>498</v>
      </c>
      <c r="E1444" s="189" t="s">
        <v>545</v>
      </c>
      <c r="F1444" s="190" t="s">
        <v>544</v>
      </c>
      <c r="G1444" s="191">
        <f>187000-508</f>
        <v>186492</v>
      </c>
      <c r="H1444" s="191">
        <f>187000-508+5546.5</f>
        <v>192038.5</v>
      </c>
      <c r="I1444" s="192">
        <f t="shared" si="115"/>
        <v>5546.5</v>
      </c>
    </row>
    <row r="1445" spans="1:9" x14ac:dyDescent="0.2">
      <c r="A1445" s="189" t="s">
        <v>540</v>
      </c>
      <c r="B1445" s="190"/>
      <c r="C1445" s="189" t="s">
        <v>532</v>
      </c>
      <c r="D1445" s="189" t="s">
        <v>498</v>
      </c>
      <c r="E1445" s="189" t="s">
        <v>539</v>
      </c>
      <c r="F1445" s="190"/>
      <c r="G1445" s="191">
        <f t="shared" ref="G1445:H1447" si="117">G1446</f>
        <v>180402.1</v>
      </c>
      <c r="H1445" s="191">
        <f t="shared" si="117"/>
        <v>180402.1</v>
      </c>
      <c r="I1445" s="192">
        <f t="shared" si="115"/>
        <v>0</v>
      </c>
    </row>
    <row r="1446" spans="1:9" x14ac:dyDescent="0.2">
      <c r="A1446" s="189" t="s">
        <v>574</v>
      </c>
      <c r="B1446" s="190"/>
      <c r="C1446" s="189" t="s">
        <v>532</v>
      </c>
      <c r="D1446" s="189" t="s">
        <v>498</v>
      </c>
      <c r="E1446" s="189" t="s">
        <v>573</v>
      </c>
      <c r="F1446" s="190"/>
      <c r="G1446" s="191">
        <f t="shared" si="117"/>
        <v>180402.1</v>
      </c>
      <c r="H1446" s="191">
        <f t="shared" si="117"/>
        <v>180402.1</v>
      </c>
      <c r="I1446" s="192">
        <f t="shared" si="115"/>
        <v>0</v>
      </c>
    </row>
    <row r="1447" spans="1:9" ht="24" x14ac:dyDescent="0.2">
      <c r="A1447" s="189" t="s">
        <v>572</v>
      </c>
      <c r="B1447" s="190"/>
      <c r="C1447" s="189" t="s">
        <v>532</v>
      </c>
      <c r="D1447" s="189" t="s">
        <v>498</v>
      </c>
      <c r="E1447" s="189" t="s">
        <v>570</v>
      </c>
      <c r="F1447" s="190"/>
      <c r="G1447" s="191">
        <f t="shared" si="117"/>
        <v>180402.1</v>
      </c>
      <c r="H1447" s="191">
        <f t="shared" si="117"/>
        <v>180402.1</v>
      </c>
      <c r="I1447" s="192">
        <f t="shared" si="115"/>
        <v>0</v>
      </c>
    </row>
    <row r="1448" spans="1:9" ht="24" x14ac:dyDescent="0.2">
      <c r="A1448" s="189" t="s">
        <v>547</v>
      </c>
      <c r="B1448" s="190"/>
      <c r="C1448" s="189" t="s">
        <v>532</v>
      </c>
      <c r="D1448" s="189" t="s">
        <v>498</v>
      </c>
      <c r="E1448" s="189" t="s">
        <v>570</v>
      </c>
      <c r="F1448" s="190" t="s">
        <v>519</v>
      </c>
      <c r="G1448" s="191">
        <f>G1449+G1450</f>
        <v>180402.1</v>
      </c>
      <c r="H1448" s="191">
        <f>H1449+H1450</f>
        <v>180402.1</v>
      </c>
      <c r="I1448" s="192">
        <f t="shared" si="115"/>
        <v>0</v>
      </c>
    </row>
    <row r="1449" spans="1:9" x14ac:dyDescent="0.2">
      <c r="A1449" s="189" t="s">
        <v>571</v>
      </c>
      <c r="B1449" s="190"/>
      <c r="C1449" s="189" t="s">
        <v>532</v>
      </c>
      <c r="D1449" s="189" t="s">
        <v>498</v>
      </c>
      <c r="E1449" s="189" t="s">
        <v>570</v>
      </c>
      <c r="F1449" s="190" t="s">
        <v>522</v>
      </c>
      <c r="G1449" s="191">
        <f>129000-600+500-996.2</f>
        <v>127903.8</v>
      </c>
      <c r="H1449" s="191">
        <f>129000-600+500-996.2</f>
        <v>127903.8</v>
      </c>
      <c r="I1449" s="192">
        <f t="shared" si="115"/>
        <v>0</v>
      </c>
    </row>
    <row r="1450" spans="1:9" x14ac:dyDescent="0.2">
      <c r="A1450" s="189" t="s">
        <v>546</v>
      </c>
      <c r="B1450" s="190"/>
      <c r="C1450" s="189" t="s">
        <v>532</v>
      </c>
      <c r="D1450" s="189" t="s">
        <v>498</v>
      </c>
      <c r="E1450" s="189" t="s">
        <v>570</v>
      </c>
      <c r="F1450" s="190" t="s">
        <v>544</v>
      </c>
      <c r="G1450" s="191">
        <f>52700-201.7</f>
        <v>52498.3</v>
      </c>
      <c r="H1450" s="191">
        <f>52700-201.7</f>
        <v>52498.3</v>
      </c>
      <c r="I1450" s="192">
        <f t="shared" si="115"/>
        <v>0</v>
      </c>
    </row>
    <row r="1451" spans="1:9" x14ac:dyDescent="0.2">
      <c r="A1451" s="189" t="s">
        <v>569</v>
      </c>
      <c r="B1451" s="190"/>
      <c r="C1451" s="189" t="s">
        <v>532</v>
      </c>
      <c r="D1451" s="189" t="s">
        <v>502</v>
      </c>
      <c r="E1451" s="189"/>
      <c r="F1451" s="190"/>
      <c r="G1451" s="191">
        <f>G1452+G1460</f>
        <v>46330</v>
      </c>
      <c r="H1451" s="191">
        <f>H1452+H1460</f>
        <v>40783.5</v>
      </c>
      <c r="I1451" s="192">
        <f t="shared" si="115"/>
        <v>-5546.5</v>
      </c>
    </row>
    <row r="1452" spans="1:9" x14ac:dyDescent="0.2">
      <c r="A1452" s="189" t="s">
        <v>568</v>
      </c>
      <c r="B1452" s="190"/>
      <c r="C1452" s="189" t="s">
        <v>532</v>
      </c>
      <c r="D1452" s="189" t="s">
        <v>502</v>
      </c>
      <c r="E1452" s="189" t="s">
        <v>567</v>
      </c>
      <c r="F1452" s="190"/>
      <c r="G1452" s="191">
        <f t="shared" ref="G1452:H1454" si="118">G1453</f>
        <v>315</v>
      </c>
      <c r="H1452" s="191">
        <f t="shared" si="118"/>
        <v>315</v>
      </c>
      <c r="I1452" s="192">
        <f t="shared" si="115"/>
        <v>0</v>
      </c>
    </row>
    <row r="1453" spans="1:9" x14ac:dyDescent="0.2">
      <c r="A1453" s="189" t="s">
        <v>566</v>
      </c>
      <c r="B1453" s="190"/>
      <c r="C1453" s="189" t="s">
        <v>532</v>
      </c>
      <c r="D1453" s="189" t="s">
        <v>502</v>
      </c>
      <c r="E1453" s="189" t="s">
        <v>565</v>
      </c>
      <c r="F1453" s="190"/>
      <c r="G1453" s="191">
        <f t="shared" si="118"/>
        <v>315</v>
      </c>
      <c r="H1453" s="191">
        <f t="shared" si="118"/>
        <v>315</v>
      </c>
      <c r="I1453" s="192">
        <f t="shared" si="115"/>
        <v>0</v>
      </c>
    </row>
    <row r="1454" spans="1:9" ht="24" x14ac:dyDescent="0.2">
      <c r="A1454" s="189" t="s">
        <v>564</v>
      </c>
      <c r="B1454" s="190"/>
      <c r="C1454" s="189" t="s">
        <v>532</v>
      </c>
      <c r="D1454" s="189" t="s">
        <v>502</v>
      </c>
      <c r="E1454" s="189" t="s">
        <v>563</v>
      </c>
      <c r="F1454" s="190"/>
      <c r="G1454" s="191">
        <f t="shared" si="118"/>
        <v>315</v>
      </c>
      <c r="H1454" s="191">
        <f t="shared" si="118"/>
        <v>315</v>
      </c>
      <c r="I1454" s="192">
        <f t="shared" si="115"/>
        <v>0</v>
      </c>
    </row>
    <row r="1455" spans="1:9" ht="36" x14ac:dyDescent="0.2">
      <c r="A1455" s="189" t="s">
        <v>562</v>
      </c>
      <c r="B1455" s="190"/>
      <c r="C1455" s="189" t="s">
        <v>532</v>
      </c>
      <c r="D1455" s="189" t="s">
        <v>502</v>
      </c>
      <c r="E1455" s="189" t="s">
        <v>561</v>
      </c>
      <c r="F1455" s="190"/>
      <c r="G1455" s="191">
        <f>G1456+G1458</f>
        <v>315</v>
      </c>
      <c r="H1455" s="191">
        <f>H1456+H1458</f>
        <v>315</v>
      </c>
      <c r="I1455" s="192">
        <f t="shared" si="115"/>
        <v>0</v>
      </c>
    </row>
    <row r="1456" spans="1:9" ht="36" x14ac:dyDescent="0.2">
      <c r="A1456" s="189" t="s">
        <v>1348</v>
      </c>
      <c r="B1456" s="190"/>
      <c r="C1456" s="189" t="s">
        <v>532</v>
      </c>
      <c r="D1456" s="189" t="s">
        <v>502</v>
      </c>
      <c r="E1456" s="189" t="s">
        <v>561</v>
      </c>
      <c r="F1456" s="190" t="s">
        <v>556</v>
      </c>
      <c r="G1456" s="191">
        <f>G1457</f>
        <v>135</v>
      </c>
      <c r="H1456" s="191">
        <f>H1457</f>
        <v>135</v>
      </c>
      <c r="I1456" s="192">
        <f t="shared" si="115"/>
        <v>0</v>
      </c>
    </row>
    <row r="1457" spans="1:9" x14ac:dyDescent="0.2">
      <c r="A1457" s="189" t="s">
        <v>555</v>
      </c>
      <c r="B1457" s="190"/>
      <c r="C1457" s="189" t="s">
        <v>532</v>
      </c>
      <c r="D1457" s="189" t="s">
        <v>502</v>
      </c>
      <c r="E1457" s="189" t="s">
        <v>561</v>
      </c>
      <c r="F1457" s="190" t="s">
        <v>554</v>
      </c>
      <c r="G1457" s="191">
        <v>135</v>
      </c>
      <c r="H1457" s="191">
        <v>135</v>
      </c>
      <c r="I1457" s="192">
        <f t="shared" si="115"/>
        <v>0</v>
      </c>
    </row>
    <row r="1458" spans="1:9" x14ac:dyDescent="0.2">
      <c r="A1458" s="189" t="s">
        <v>1347</v>
      </c>
      <c r="B1458" s="190"/>
      <c r="C1458" s="189" t="s">
        <v>532</v>
      </c>
      <c r="D1458" s="189" t="s">
        <v>502</v>
      </c>
      <c r="E1458" s="189" t="s">
        <v>561</v>
      </c>
      <c r="F1458" s="190" t="s">
        <v>535</v>
      </c>
      <c r="G1458" s="191">
        <f>G1459</f>
        <v>180</v>
      </c>
      <c r="H1458" s="191">
        <f>H1459</f>
        <v>180</v>
      </c>
      <c r="I1458" s="192">
        <f t="shared" si="115"/>
        <v>0</v>
      </c>
    </row>
    <row r="1459" spans="1:9" ht="24" x14ac:dyDescent="0.2">
      <c r="A1459" s="189" t="s">
        <v>534</v>
      </c>
      <c r="B1459" s="190"/>
      <c r="C1459" s="189" t="s">
        <v>532</v>
      </c>
      <c r="D1459" s="189" t="s">
        <v>502</v>
      </c>
      <c r="E1459" s="189" t="s">
        <v>561</v>
      </c>
      <c r="F1459" s="190" t="s">
        <v>529</v>
      </c>
      <c r="G1459" s="191">
        <v>180</v>
      </c>
      <c r="H1459" s="191">
        <v>180</v>
      </c>
      <c r="I1459" s="192">
        <f t="shared" si="115"/>
        <v>0</v>
      </c>
    </row>
    <row r="1460" spans="1:9" x14ac:dyDescent="0.2">
      <c r="A1460" s="189" t="s">
        <v>542</v>
      </c>
      <c r="B1460" s="190"/>
      <c r="C1460" s="189" t="s">
        <v>532</v>
      </c>
      <c r="D1460" s="189" t="s">
        <v>502</v>
      </c>
      <c r="E1460" s="189" t="s">
        <v>541</v>
      </c>
      <c r="F1460" s="190"/>
      <c r="G1460" s="191">
        <f>G1461</f>
        <v>46015</v>
      </c>
      <c r="H1460" s="191">
        <f>H1461</f>
        <v>40468.5</v>
      </c>
      <c r="I1460" s="192">
        <f t="shared" si="115"/>
        <v>-5546.5</v>
      </c>
    </row>
    <row r="1461" spans="1:9" x14ac:dyDescent="0.2">
      <c r="A1461" s="189" t="s">
        <v>560</v>
      </c>
      <c r="B1461" s="190"/>
      <c r="C1461" s="189" t="s">
        <v>532</v>
      </c>
      <c r="D1461" s="189" t="s">
        <v>502</v>
      </c>
      <c r="E1461" s="189" t="s">
        <v>559</v>
      </c>
      <c r="F1461" s="190"/>
      <c r="G1461" s="191">
        <f>G1462</f>
        <v>46015</v>
      </c>
      <c r="H1461" s="191">
        <f>H1462</f>
        <v>40468.5</v>
      </c>
      <c r="I1461" s="192">
        <f t="shared" si="115"/>
        <v>-5546.5</v>
      </c>
    </row>
    <row r="1462" spans="1:9" ht="24" x14ac:dyDescent="0.2">
      <c r="A1462" s="189" t="s">
        <v>558</v>
      </c>
      <c r="B1462" s="190"/>
      <c r="C1462" s="189" t="s">
        <v>532</v>
      </c>
      <c r="D1462" s="189" t="s">
        <v>502</v>
      </c>
      <c r="E1462" s="189" t="s">
        <v>557</v>
      </c>
      <c r="F1462" s="190"/>
      <c r="G1462" s="191">
        <f>G1463+G1470</f>
        <v>46015</v>
      </c>
      <c r="H1462" s="191">
        <f>H1463+H1470</f>
        <v>40468.5</v>
      </c>
      <c r="I1462" s="192">
        <f t="shared" si="115"/>
        <v>-5546.5</v>
      </c>
    </row>
    <row r="1463" spans="1:9" ht="24" x14ac:dyDescent="0.2">
      <c r="A1463" s="189" t="s">
        <v>1641</v>
      </c>
      <c r="B1463" s="190"/>
      <c r="C1463" s="189" t="s">
        <v>532</v>
      </c>
      <c r="D1463" s="189" t="s">
        <v>502</v>
      </c>
      <c r="E1463" s="189" t="s">
        <v>550</v>
      </c>
      <c r="F1463" s="190"/>
      <c r="G1463" s="191">
        <f>G1464+G1466+G1468</f>
        <v>3465</v>
      </c>
      <c r="H1463" s="191">
        <f>H1464+H1466+H1468</f>
        <v>3465</v>
      </c>
      <c r="I1463" s="192">
        <f t="shared" si="115"/>
        <v>0</v>
      </c>
    </row>
    <row r="1464" spans="1:9" ht="36" x14ac:dyDescent="0.2">
      <c r="A1464" s="189" t="s">
        <v>1348</v>
      </c>
      <c r="B1464" s="190"/>
      <c r="C1464" s="189" t="s">
        <v>532</v>
      </c>
      <c r="D1464" s="189" t="s">
        <v>502</v>
      </c>
      <c r="E1464" s="189" t="s">
        <v>550</v>
      </c>
      <c r="F1464" s="190" t="s">
        <v>556</v>
      </c>
      <c r="G1464" s="191">
        <f>G1465</f>
        <v>1015</v>
      </c>
      <c r="H1464" s="191">
        <f>H1465</f>
        <v>1015</v>
      </c>
      <c r="I1464" s="192">
        <f t="shared" si="115"/>
        <v>0</v>
      </c>
    </row>
    <row r="1465" spans="1:9" x14ac:dyDescent="0.2">
      <c r="A1465" s="189" t="s">
        <v>555</v>
      </c>
      <c r="B1465" s="190"/>
      <c r="C1465" s="189" t="s">
        <v>532</v>
      </c>
      <c r="D1465" s="189" t="s">
        <v>502</v>
      </c>
      <c r="E1465" s="189" t="s">
        <v>550</v>
      </c>
      <c r="F1465" s="190" t="s">
        <v>554</v>
      </c>
      <c r="G1465" s="191">
        <v>1015</v>
      </c>
      <c r="H1465" s="191">
        <v>1015</v>
      </c>
      <c r="I1465" s="192">
        <f t="shared" si="115"/>
        <v>0</v>
      </c>
    </row>
    <row r="1466" spans="1:9" x14ac:dyDescent="0.2">
      <c r="A1466" s="189" t="s">
        <v>1347</v>
      </c>
      <c r="B1466" s="190"/>
      <c r="C1466" s="189" t="s">
        <v>532</v>
      </c>
      <c r="D1466" s="189" t="s">
        <v>502</v>
      </c>
      <c r="E1466" s="189" t="s">
        <v>550</v>
      </c>
      <c r="F1466" s="190" t="s">
        <v>535</v>
      </c>
      <c r="G1466" s="191">
        <f>G1467</f>
        <v>1550</v>
      </c>
      <c r="H1466" s="191">
        <f>H1467</f>
        <v>1550</v>
      </c>
      <c r="I1466" s="192">
        <f t="shared" si="115"/>
        <v>0</v>
      </c>
    </row>
    <row r="1467" spans="1:9" ht="24" x14ac:dyDescent="0.2">
      <c r="A1467" s="189" t="s">
        <v>534</v>
      </c>
      <c r="B1467" s="190"/>
      <c r="C1467" s="189" t="s">
        <v>532</v>
      </c>
      <c r="D1467" s="189" t="s">
        <v>502</v>
      </c>
      <c r="E1467" s="189" t="s">
        <v>550</v>
      </c>
      <c r="F1467" s="190" t="s">
        <v>529</v>
      </c>
      <c r="G1467" s="191">
        <v>1550</v>
      </c>
      <c r="H1467" s="191">
        <v>1550</v>
      </c>
      <c r="I1467" s="192">
        <f t="shared" si="115"/>
        <v>0</v>
      </c>
    </row>
    <row r="1468" spans="1:9" x14ac:dyDescent="0.2">
      <c r="A1468" s="189" t="s">
        <v>553</v>
      </c>
      <c r="B1468" s="190"/>
      <c r="C1468" s="189" t="s">
        <v>532</v>
      </c>
      <c r="D1468" s="189" t="s">
        <v>502</v>
      </c>
      <c r="E1468" s="189" t="s">
        <v>550</v>
      </c>
      <c r="F1468" s="190" t="s">
        <v>552</v>
      </c>
      <c r="G1468" s="191">
        <f>G1469</f>
        <v>900</v>
      </c>
      <c r="H1468" s="191">
        <f>H1469</f>
        <v>900</v>
      </c>
      <c r="I1468" s="192">
        <f t="shared" si="115"/>
        <v>0</v>
      </c>
    </row>
    <row r="1469" spans="1:9" x14ac:dyDescent="0.2">
      <c r="A1469" s="189" t="s">
        <v>551</v>
      </c>
      <c r="B1469" s="190"/>
      <c r="C1469" s="189" t="s">
        <v>532</v>
      </c>
      <c r="D1469" s="189" t="s">
        <v>502</v>
      </c>
      <c r="E1469" s="189" t="s">
        <v>550</v>
      </c>
      <c r="F1469" s="190" t="s">
        <v>549</v>
      </c>
      <c r="G1469" s="191">
        <v>900</v>
      </c>
      <c r="H1469" s="191">
        <v>900</v>
      </c>
      <c r="I1469" s="192">
        <f t="shared" si="115"/>
        <v>0</v>
      </c>
    </row>
    <row r="1470" spans="1:9" ht="24" x14ac:dyDescent="0.2">
      <c r="A1470" s="189" t="s">
        <v>548</v>
      </c>
      <c r="B1470" s="190"/>
      <c r="C1470" s="189" t="s">
        <v>532</v>
      </c>
      <c r="D1470" s="189" t="s">
        <v>502</v>
      </c>
      <c r="E1470" s="189" t="s">
        <v>545</v>
      </c>
      <c r="F1470" s="190"/>
      <c r="G1470" s="191">
        <f>G1471</f>
        <v>42550</v>
      </c>
      <c r="H1470" s="191">
        <f>H1471</f>
        <v>37003.5</v>
      </c>
      <c r="I1470" s="192">
        <f t="shared" si="115"/>
        <v>-5546.5</v>
      </c>
    </row>
    <row r="1471" spans="1:9" ht="24" x14ac:dyDescent="0.2">
      <c r="A1471" s="189" t="s">
        <v>547</v>
      </c>
      <c r="B1471" s="190"/>
      <c r="C1471" s="189" t="s">
        <v>532</v>
      </c>
      <c r="D1471" s="189" t="s">
        <v>502</v>
      </c>
      <c r="E1471" s="189" t="s">
        <v>545</v>
      </c>
      <c r="F1471" s="190" t="s">
        <v>519</v>
      </c>
      <c r="G1471" s="191">
        <f>G1472</f>
        <v>42550</v>
      </c>
      <c r="H1471" s="191">
        <f>H1472</f>
        <v>37003.5</v>
      </c>
      <c r="I1471" s="192">
        <f t="shared" si="115"/>
        <v>-5546.5</v>
      </c>
    </row>
    <row r="1472" spans="1:9" x14ac:dyDescent="0.2">
      <c r="A1472" s="189" t="s">
        <v>546</v>
      </c>
      <c r="B1472" s="190"/>
      <c r="C1472" s="189" t="s">
        <v>532</v>
      </c>
      <c r="D1472" s="189" t="s">
        <v>502</v>
      </c>
      <c r="E1472" s="189" t="s">
        <v>545</v>
      </c>
      <c r="F1472" s="190" t="s">
        <v>544</v>
      </c>
      <c r="G1472" s="191">
        <f>42700-150</f>
        <v>42550</v>
      </c>
      <c r="H1472" s="191">
        <f>42700-150-5546.5</f>
        <v>37003.5</v>
      </c>
      <c r="I1472" s="192">
        <f t="shared" si="115"/>
        <v>-5546.5</v>
      </c>
    </row>
    <row r="1473" spans="1:9" x14ac:dyDescent="0.2">
      <c r="A1473" s="189" t="s">
        <v>543</v>
      </c>
      <c r="B1473" s="190"/>
      <c r="C1473" s="189" t="s">
        <v>532</v>
      </c>
      <c r="D1473" s="189" t="s">
        <v>531</v>
      </c>
      <c r="E1473" s="189"/>
      <c r="F1473" s="190"/>
      <c r="G1473" s="191">
        <f t="shared" ref="G1473:H1476" si="119">G1474</f>
        <v>1600</v>
      </c>
      <c r="H1473" s="191">
        <f t="shared" si="119"/>
        <v>1600</v>
      </c>
      <c r="I1473" s="192">
        <f t="shared" si="115"/>
        <v>0</v>
      </c>
    </row>
    <row r="1474" spans="1:9" x14ac:dyDescent="0.2">
      <c r="A1474" s="189" t="s">
        <v>542</v>
      </c>
      <c r="B1474" s="190"/>
      <c r="C1474" s="189" t="s">
        <v>532</v>
      </c>
      <c r="D1474" s="189" t="s">
        <v>531</v>
      </c>
      <c r="E1474" s="189" t="s">
        <v>541</v>
      </c>
      <c r="F1474" s="190"/>
      <c r="G1474" s="191">
        <f t="shared" si="119"/>
        <v>1600</v>
      </c>
      <c r="H1474" s="191">
        <f t="shared" si="119"/>
        <v>1600</v>
      </c>
      <c r="I1474" s="192">
        <f t="shared" si="115"/>
        <v>0</v>
      </c>
    </row>
    <row r="1475" spans="1:9" x14ac:dyDescent="0.2">
      <c r="A1475" s="189" t="s">
        <v>540</v>
      </c>
      <c r="B1475" s="190"/>
      <c r="C1475" s="189" t="s">
        <v>532</v>
      </c>
      <c r="D1475" s="189" t="s">
        <v>531</v>
      </c>
      <c r="E1475" s="189" t="s">
        <v>539</v>
      </c>
      <c r="F1475" s="190"/>
      <c r="G1475" s="191">
        <f t="shared" si="119"/>
        <v>1600</v>
      </c>
      <c r="H1475" s="191">
        <f t="shared" si="119"/>
        <v>1600</v>
      </c>
      <c r="I1475" s="192">
        <f t="shared" si="115"/>
        <v>0</v>
      </c>
    </row>
    <row r="1476" spans="1:9" x14ac:dyDescent="0.2">
      <c r="A1476" s="189" t="s">
        <v>538</v>
      </c>
      <c r="B1476" s="190"/>
      <c r="C1476" s="189" t="s">
        <v>532</v>
      </c>
      <c r="D1476" s="189" t="s">
        <v>531</v>
      </c>
      <c r="E1476" s="189" t="s">
        <v>537</v>
      </c>
      <c r="F1476" s="190"/>
      <c r="G1476" s="191">
        <f t="shared" si="119"/>
        <v>1600</v>
      </c>
      <c r="H1476" s="191">
        <f t="shared" si="119"/>
        <v>1600</v>
      </c>
      <c r="I1476" s="192">
        <f t="shared" si="115"/>
        <v>0</v>
      </c>
    </row>
    <row r="1477" spans="1:9" ht="24" x14ac:dyDescent="0.2">
      <c r="A1477" s="189" t="s">
        <v>536</v>
      </c>
      <c r="B1477" s="190"/>
      <c r="C1477" s="189" t="s">
        <v>532</v>
      </c>
      <c r="D1477" s="189" t="s">
        <v>531</v>
      </c>
      <c r="E1477" s="189" t="s">
        <v>530</v>
      </c>
      <c r="F1477" s="190"/>
      <c r="G1477" s="191">
        <f>G1478</f>
        <v>1600</v>
      </c>
      <c r="H1477" s="191">
        <f>H1478</f>
        <v>1600</v>
      </c>
      <c r="I1477" s="192">
        <f t="shared" si="115"/>
        <v>0</v>
      </c>
    </row>
    <row r="1478" spans="1:9" s="301" customFormat="1" ht="24" x14ac:dyDescent="0.2">
      <c r="A1478" s="189" t="s">
        <v>547</v>
      </c>
      <c r="B1478" s="190"/>
      <c r="C1478" s="189" t="s">
        <v>532</v>
      </c>
      <c r="D1478" s="189" t="s">
        <v>531</v>
      </c>
      <c r="E1478" s="189" t="s">
        <v>530</v>
      </c>
      <c r="F1478" s="190">
        <v>600</v>
      </c>
      <c r="G1478" s="191">
        <f>G1479</f>
        <v>1600</v>
      </c>
      <c r="H1478" s="191">
        <f>H1479</f>
        <v>1600</v>
      </c>
      <c r="I1478" s="192">
        <f t="shared" ref="I1478:I1480" si="120">H1478-G1478</f>
        <v>0</v>
      </c>
    </row>
    <row r="1479" spans="1:9" s="301" customFormat="1" x14ac:dyDescent="0.2">
      <c r="A1479" s="189" t="s">
        <v>571</v>
      </c>
      <c r="B1479" s="190"/>
      <c r="C1479" s="189" t="s">
        <v>532</v>
      </c>
      <c r="D1479" s="189" t="s">
        <v>531</v>
      </c>
      <c r="E1479" s="189" t="s">
        <v>530</v>
      </c>
      <c r="F1479" s="190">
        <v>610</v>
      </c>
      <c r="G1479" s="191">
        <f>1000+600</f>
        <v>1600</v>
      </c>
      <c r="H1479" s="191">
        <f>1000+600</f>
        <v>1600</v>
      </c>
      <c r="I1479" s="192">
        <f t="shared" si="120"/>
        <v>0</v>
      </c>
    </row>
    <row r="1480" spans="1:9" x14ac:dyDescent="0.2">
      <c r="A1480" s="181" t="s">
        <v>528</v>
      </c>
      <c r="B1480" s="182"/>
      <c r="C1480" s="181"/>
      <c r="D1480" s="181"/>
      <c r="E1480" s="181"/>
      <c r="F1480" s="182"/>
      <c r="G1480" s="183">
        <f>G11+G1072+G1086+G1099+G1116+G1286+G1362+G1408</f>
        <v>11624593.9</v>
      </c>
      <c r="H1480" s="183">
        <f>H11+H1072+H1086+H1099+H1116+H1286+H1362+H1408</f>
        <v>11745008.950000003</v>
      </c>
      <c r="I1480" s="184">
        <f t="shared" si="120"/>
        <v>120415.05000000261</v>
      </c>
    </row>
    <row r="1481" spans="1:9" x14ac:dyDescent="0.2">
      <c r="G1481" s="144"/>
    </row>
    <row r="1482" spans="1:9" x14ac:dyDescent="0.2">
      <c r="G1482" s="144"/>
    </row>
    <row r="1483" spans="1:9" x14ac:dyDescent="0.2">
      <c r="A1483" s="75" t="s">
        <v>1279</v>
      </c>
      <c r="G1483" s="82">
        <f>G102+G767+G948+G966+G1285</f>
        <v>126170</v>
      </c>
      <c r="H1483" s="82">
        <f>H102+H767+H948+H966+H1285</f>
        <v>108574</v>
      </c>
      <c r="I1483" s="411">
        <f t="shared" ref="I1483" si="121">H1483-G1483</f>
        <v>-17596</v>
      </c>
    </row>
  </sheetData>
  <mergeCells count="4">
    <mergeCell ref="F1:I1"/>
    <mergeCell ref="E2:I2"/>
    <mergeCell ref="D3:I3"/>
    <mergeCell ref="A5:I6"/>
  </mergeCells>
  <pageMargins left="0.74803149606299213" right="0.39370078740157483" top="0.74803149606299213" bottom="0.78740157480314965" header="0" footer="0"/>
  <pageSetup paperSize="9" scale="60" firstPageNumber="23" fitToHeight="0" orientation="portrait" useFirstPageNumber="1" r:id="rId1"/>
  <headerFooter>
    <oddFooter>Страница &amp;P</oddFooter>
    <evenHeader>&amp;LФинансовое управление Администрации городского округа Мытищи</evenHeader>
    <evenFooter>&amp;L 11.11.2019 8:58:07&amp;R&amp;P/&amp;N</evenFooter>
    <firstHeader>&amp;LФинансовое управление Администрации городского округа Мытищи</firstHeader>
    <firstFooter>&amp;L 11.11.2019 8:58:07&amp;R&amp;P/&amp;N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1"/>
  <sheetViews>
    <sheetView zoomScale="130" zoomScaleNormal="130" workbookViewId="0">
      <selection activeCell="I3" sqref="I3:L3"/>
    </sheetView>
  </sheetViews>
  <sheetFormatPr defaultColWidth="9" defaultRowHeight="12" x14ac:dyDescent="0.2"/>
  <cols>
    <col min="1" max="1" width="66.5703125" style="146" customWidth="1"/>
    <col min="2" max="2" width="6.28515625" style="80" customWidth="1"/>
    <col min="3" max="4" width="4.42578125" style="80" customWidth="1"/>
    <col min="5" max="5" width="13.5703125" style="79" customWidth="1"/>
    <col min="6" max="6" width="4.42578125" style="80" customWidth="1"/>
    <col min="7" max="7" width="15.42578125" style="146" customWidth="1"/>
    <col min="8" max="9" width="15.42578125" style="210" customWidth="1"/>
    <col min="10" max="10" width="16" style="146" customWidth="1"/>
    <col min="11" max="11" width="14.5703125" style="146" customWidth="1"/>
    <col min="12" max="12" width="14" style="146" customWidth="1"/>
    <col min="13" max="16384" width="9" style="146"/>
  </cols>
  <sheetData>
    <row r="1" spans="1:12" x14ac:dyDescent="0.2">
      <c r="A1" s="145"/>
      <c r="G1" s="232"/>
      <c r="H1" s="232"/>
      <c r="I1" s="462" t="s">
        <v>1283</v>
      </c>
      <c r="J1" s="463"/>
      <c r="K1" s="463"/>
      <c r="L1" s="463"/>
    </row>
    <row r="2" spans="1:12" x14ac:dyDescent="0.2">
      <c r="A2" s="77"/>
      <c r="B2" s="84"/>
      <c r="C2" s="84"/>
      <c r="D2" s="84"/>
      <c r="E2" s="83"/>
      <c r="F2" s="84"/>
      <c r="G2" s="233"/>
      <c r="H2" s="233"/>
      <c r="I2" s="462" t="s">
        <v>1</v>
      </c>
      <c r="J2" s="463"/>
      <c r="K2" s="463"/>
      <c r="L2" s="463"/>
    </row>
    <row r="3" spans="1:12" x14ac:dyDescent="0.2">
      <c r="A3" s="77"/>
      <c r="B3" s="84"/>
      <c r="C3" s="84"/>
      <c r="D3" s="84"/>
      <c r="E3" s="83"/>
      <c r="F3" s="84"/>
      <c r="G3" s="233"/>
      <c r="H3" s="233"/>
      <c r="I3" s="464" t="s">
        <v>1738</v>
      </c>
      <c r="J3" s="463"/>
      <c r="K3" s="463"/>
      <c r="L3" s="463"/>
    </row>
    <row r="4" spans="1:12" x14ac:dyDescent="0.2">
      <c r="A4" s="85"/>
    </row>
    <row r="5" spans="1:12" ht="14.25" x14ac:dyDescent="0.2">
      <c r="A5" s="473" t="s">
        <v>1284</v>
      </c>
      <c r="B5" s="474"/>
      <c r="C5" s="474"/>
      <c r="D5" s="474"/>
      <c r="E5" s="474"/>
      <c r="F5" s="474"/>
      <c r="G5" s="474"/>
      <c r="H5" s="474"/>
      <c r="I5" s="474"/>
      <c r="J5" s="474"/>
      <c r="K5" s="463"/>
      <c r="L5" s="463"/>
    </row>
    <row r="6" spans="1:12" x14ac:dyDescent="0.2">
      <c r="A6" s="145"/>
    </row>
    <row r="7" spans="1:12" x14ac:dyDescent="0.2">
      <c r="A7" s="145"/>
    </row>
    <row r="8" spans="1:12" x14ac:dyDescent="0.2">
      <c r="A8" s="465"/>
      <c r="B8" s="466"/>
      <c r="C8" s="466"/>
      <c r="K8" s="471" t="s">
        <v>1280</v>
      </c>
      <c r="L8" s="472"/>
    </row>
    <row r="9" spans="1:12" x14ac:dyDescent="0.2">
      <c r="A9" s="90" t="s">
        <v>1276</v>
      </c>
      <c r="B9" s="90" t="s">
        <v>1275</v>
      </c>
      <c r="C9" s="90" t="s">
        <v>1274</v>
      </c>
      <c r="D9" s="90" t="s">
        <v>1273</v>
      </c>
      <c r="E9" s="119" t="s">
        <v>1272</v>
      </c>
      <c r="F9" s="90" t="s">
        <v>1271</v>
      </c>
      <c r="G9" s="467" t="s">
        <v>28</v>
      </c>
      <c r="H9" s="468"/>
      <c r="I9" s="468"/>
      <c r="J9" s="469" t="s">
        <v>62</v>
      </c>
      <c r="K9" s="470"/>
      <c r="L9" s="470"/>
    </row>
    <row r="10" spans="1:12" s="210" customFormat="1" ht="24" x14ac:dyDescent="0.2">
      <c r="A10" s="90"/>
      <c r="B10" s="90"/>
      <c r="C10" s="90"/>
      <c r="D10" s="90"/>
      <c r="E10" s="119"/>
      <c r="F10" s="90"/>
      <c r="G10" s="119" t="s">
        <v>1376</v>
      </c>
      <c r="H10" s="90" t="s">
        <v>5</v>
      </c>
      <c r="I10" s="119" t="s">
        <v>1372</v>
      </c>
      <c r="J10" s="119" t="s">
        <v>1376</v>
      </c>
      <c r="K10" s="90" t="s">
        <v>5</v>
      </c>
      <c r="L10" s="119" t="s">
        <v>1372</v>
      </c>
    </row>
    <row r="11" spans="1:12" x14ac:dyDescent="0.2">
      <c r="A11" s="90">
        <v>1</v>
      </c>
      <c r="B11" s="90">
        <v>2</v>
      </c>
      <c r="C11" s="90">
        <v>3</v>
      </c>
      <c r="D11" s="90">
        <v>4</v>
      </c>
      <c r="E11" s="119">
        <v>5</v>
      </c>
      <c r="F11" s="90">
        <v>6</v>
      </c>
      <c r="G11" s="90">
        <v>7</v>
      </c>
      <c r="H11" s="90">
        <v>8</v>
      </c>
      <c r="I11" s="90">
        <v>9</v>
      </c>
      <c r="J11" s="234">
        <v>10</v>
      </c>
      <c r="K11" s="234">
        <v>11</v>
      </c>
      <c r="L11" s="235">
        <v>12</v>
      </c>
    </row>
    <row r="12" spans="1:12" x14ac:dyDescent="0.2">
      <c r="A12" s="181" t="s">
        <v>1361</v>
      </c>
      <c r="B12" s="181" t="s">
        <v>506</v>
      </c>
      <c r="C12" s="181"/>
      <c r="D12" s="181"/>
      <c r="E12" s="181"/>
      <c r="F12" s="181"/>
      <c r="G12" s="243">
        <f>G13+G174+G246+G439+G661+G688+G752+G775+G852+G860+G910</f>
        <v>6702012.7999999998</v>
      </c>
      <c r="H12" s="243">
        <f>H13+H174+H246+H439+H661+H688+H752+H775+H852+H860+H910</f>
        <v>5672734.1000000006</v>
      </c>
      <c r="I12" s="244">
        <f>H12-G12</f>
        <v>-1029278.6999999993</v>
      </c>
      <c r="J12" s="183">
        <f>J13+J174+J246+J439+J661+J688+J752+J775+J852+J860+J910</f>
        <v>6564571</v>
      </c>
      <c r="K12" s="243">
        <f>K13+K174+K246+K439+K661+K688+K752+K775+K852+K860+K910</f>
        <v>7614434.9000000004</v>
      </c>
      <c r="L12" s="244">
        <f>K12-J12</f>
        <v>1049863.9000000004</v>
      </c>
    </row>
    <row r="13" spans="1:12" s="78" customFormat="1" x14ac:dyDescent="0.2">
      <c r="A13" s="185" t="s">
        <v>606</v>
      </c>
      <c r="B13" s="185"/>
      <c r="C13" s="185" t="s">
        <v>498</v>
      </c>
      <c r="D13" s="185"/>
      <c r="E13" s="185"/>
      <c r="F13" s="185"/>
      <c r="G13" s="245">
        <f>G14+G21+G95+G103</f>
        <v>1540847.5</v>
      </c>
      <c r="H13" s="245">
        <f>H14+H21+H95+H103</f>
        <v>1449140.7000000002</v>
      </c>
      <c r="I13" s="246">
        <f t="shared" ref="I13:I85" si="0">H13-G13</f>
        <v>-91706.799999999814</v>
      </c>
      <c r="J13" s="187">
        <f>J14+J21+J95+J103</f>
        <v>1215149.3999999999</v>
      </c>
      <c r="K13" s="245">
        <f>K14+K21+K95+K103</f>
        <v>1208949.3999999999</v>
      </c>
      <c r="L13" s="286">
        <f t="shared" ref="L13:L85" si="1">K13-J13</f>
        <v>-6200</v>
      </c>
    </row>
    <row r="14" spans="1:12" ht="24" x14ac:dyDescent="0.2">
      <c r="A14" s="189" t="s">
        <v>1270</v>
      </c>
      <c r="B14" s="189"/>
      <c r="C14" s="189" t="s">
        <v>498</v>
      </c>
      <c r="D14" s="189" t="s">
        <v>502</v>
      </c>
      <c r="E14" s="189"/>
      <c r="F14" s="189"/>
      <c r="G14" s="247">
        <v>3683.1</v>
      </c>
      <c r="H14" s="247">
        <v>3683.1</v>
      </c>
      <c r="I14" s="248">
        <f t="shared" si="0"/>
        <v>0</v>
      </c>
      <c r="J14" s="191">
        <f t="shared" ref="J14:K19" si="2">J15</f>
        <v>3328.1</v>
      </c>
      <c r="K14" s="247">
        <f t="shared" si="2"/>
        <v>3328.1</v>
      </c>
      <c r="L14" s="287">
        <f t="shared" si="1"/>
        <v>0</v>
      </c>
    </row>
    <row r="15" spans="1:12" ht="24" x14ac:dyDescent="0.2">
      <c r="A15" s="189" t="s">
        <v>604</v>
      </c>
      <c r="B15" s="189"/>
      <c r="C15" s="189" t="s">
        <v>498</v>
      </c>
      <c r="D15" s="189" t="s">
        <v>502</v>
      </c>
      <c r="E15" s="189" t="s">
        <v>603</v>
      </c>
      <c r="F15" s="189"/>
      <c r="G15" s="247">
        <v>3683.1</v>
      </c>
      <c r="H15" s="247">
        <v>3683.1</v>
      </c>
      <c r="I15" s="248">
        <f t="shared" si="0"/>
        <v>0</v>
      </c>
      <c r="J15" s="191">
        <f t="shared" si="2"/>
        <v>3328.1</v>
      </c>
      <c r="K15" s="247">
        <f t="shared" si="2"/>
        <v>3328.1</v>
      </c>
      <c r="L15" s="287">
        <f t="shared" si="1"/>
        <v>0</v>
      </c>
    </row>
    <row r="16" spans="1:12" x14ac:dyDescent="0.2">
      <c r="A16" s="189" t="s">
        <v>602</v>
      </c>
      <c r="B16" s="189"/>
      <c r="C16" s="189" t="s">
        <v>498</v>
      </c>
      <c r="D16" s="189" t="s">
        <v>502</v>
      </c>
      <c r="E16" s="189" t="s">
        <v>601</v>
      </c>
      <c r="F16" s="189"/>
      <c r="G16" s="247">
        <v>3683.1</v>
      </c>
      <c r="H16" s="247">
        <v>3683.1</v>
      </c>
      <c r="I16" s="248">
        <f t="shared" si="0"/>
        <v>0</v>
      </c>
      <c r="J16" s="191">
        <f t="shared" si="2"/>
        <v>3328.1</v>
      </c>
      <c r="K16" s="247">
        <f t="shared" si="2"/>
        <v>3328.1</v>
      </c>
      <c r="L16" s="287">
        <f t="shared" si="1"/>
        <v>0</v>
      </c>
    </row>
    <row r="17" spans="1:12" ht="24" x14ac:dyDescent="0.2">
      <c r="A17" s="189" t="s">
        <v>600</v>
      </c>
      <c r="B17" s="189"/>
      <c r="C17" s="189" t="s">
        <v>498</v>
      </c>
      <c r="D17" s="189" t="s">
        <v>502</v>
      </c>
      <c r="E17" s="189" t="s">
        <v>599</v>
      </c>
      <c r="F17" s="189"/>
      <c r="G17" s="247">
        <v>3683.1</v>
      </c>
      <c r="H17" s="247">
        <v>3683.1</v>
      </c>
      <c r="I17" s="248">
        <f t="shared" si="0"/>
        <v>0</v>
      </c>
      <c r="J17" s="191">
        <f t="shared" si="2"/>
        <v>3328.1</v>
      </c>
      <c r="K17" s="247">
        <f t="shared" si="2"/>
        <v>3328.1</v>
      </c>
      <c r="L17" s="287">
        <f t="shared" si="1"/>
        <v>0</v>
      </c>
    </row>
    <row r="18" spans="1:12" x14ac:dyDescent="0.2">
      <c r="A18" s="189" t="s">
        <v>1269</v>
      </c>
      <c r="B18" s="189"/>
      <c r="C18" s="189" t="s">
        <v>498</v>
      </c>
      <c r="D18" s="189" t="s">
        <v>502</v>
      </c>
      <c r="E18" s="189" t="s">
        <v>1268</v>
      </c>
      <c r="F18" s="189"/>
      <c r="G18" s="247">
        <v>3683.1</v>
      </c>
      <c r="H18" s="247">
        <v>3683.1</v>
      </c>
      <c r="I18" s="248">
        <f t="shared" si="0"/>
        <v>0</v>
      </c>
      <c r="J18" s="191">
        <f t="shared" si="2"/>
        <v>3328.1</v>
      </c>
      <c r="K18" s="247">
        <f t="shared" si="2"/>
        <v>3328.1</v>
      </c>
      <c r="L18" s="287">
        <f t="shared" si="1"/>
        <v>0</v>
      </c>
    </row>
    <row r="19" spans="1:12" ht="36" x14ac:dyDescent="0.2">
      <c r="A19" s="189" t="s">
        <v>1348</v>
      </c>
      <c r="B19" s="189"/>
      <c r="C19" s="189" t="s">
        <v>498</v>
      </c>
      <c r="D19" s="189" t="s">
        <v>502</v>
      </c>
      <c r="E19" s="189" t="s">
        <v>1268</v>
      </c>
      <c r="F19" s="189" t="s">
        <v>556</v>
      </c>
      <c r="G19" s="247">
        <v>3683.1</v>
      </c>
      <c r="H19" s="247">
        <v>3683.1</v>
      </c>
      <c r="I19" s="248">
        <f t="shared" si="0"/>
        <v>0</v>
      </c>
      <c r="J19" s="191">
        <f t="shared" si="2"/>
        <v>3328.1</v>
      </c>
      <c r="K19" s="247">
        <f t="shared" si="2"/>
        <v>3328.1</v>
      </c>
      <c r="L19" s="287">
        <f t="shared" si="1"/>
        <v>0</v>
      </c>
    </row>
    <row r="20" spans="1:12" x14ac:dyDescent="0.2">
      <c r="A20" s="189" t="s">
        <v>749</v>
      </c>
      <c r="B20" s="189"/>
      <c r="C20" s="189" t="s">
        <v>498</v>
      </c>
      <c r="D20" s="189" t="s">
        <v>502</v>
      </c>
      <c r="E20" s="189" t="s">
        <v>1268</v>
      </c>
      <c r="F20" s="189" t="s">
        <v>745</v>
      </c>
      <c r="G20" s="247">
        <v>3683.1</v>
      </c>
      <c r="H20" s="247">
        <v>3683.1</v>
      </c>
      <c r="I20" s="248">
        <f t="shared" si="0"/>
        <v>0</v>
      </c>
      <c r="J20" s="191">
        <f>3683.1-355</f>
        <v>3328.1</v>
      </c>
      <c r="K20" s="247">
        <f>3683.1-355</f>
        <v>3328.1</v>
      </c>
      <c r="L20" s="287">
        <f t="shared" si="1"/>
        <v>0</v>
      </c>
    </row>
    <row r="21" spans="1:12" ht="36" x14ac:dyDescent="0.2">
      <c r="A21" s="189" t="s">
        <v>605</v>
      </c>
      <c r="B21" s="189"/>
      <c r="C21" s="189" t="s">
        <v>498</v>
      </c>
      <c r="D21" s="189" t="s">
        <v>507</v>
      </c>
      <c r="E21" s="189"/>
      <c r="F21" s="189"/>
      <c r="G21" s="247">
        <f>G22+G43+G51+G59+G67+G75+G91+G35+G85</f>
        <v>670864.80000000005</v>
      </c>
      <c r="H21" s="247">
        <f>H22+H43+H51+H59+H67+H75+H91+H35+H85</f>
        <v>579158</v>
      </c>
      <c r="I21" s="248">
        <f t="shared" si="0"/>
        <v>-91706.800000000047</v>
      </c>
      <c r="J21" s="191">
        <f>J22+J43+J51+J59+J67+J75+J91+J35+J85</f>
        <v>341547.69999999995</v>
      </c>
      <c r="K21" s="247">
        <f>K22+K43+K51+K59+K67+K75+K91+K35+K85</f>
        <v>335347.69999999995</v>
      </c>
      <c r="L21" s="287">
        <f t="shared" si="1"/>
        <v>-6200</v>
      </c>
    </row>
    <row r="22" spans="1:12" x14ac:dyDescent="0.2">
      <c r="A22" s="189" t="s">
        <v>653</v>
      </c>
      <c r="B22" s="189"/>
      <c r="C22" s="189" t="s">
        <v>498</v>
      </c>
      <c r="D22" s="189" t="s">
        <v>507</v>
      </c>
      <c r="E22" s="189" t="s">
        <v>652</v>
      </c>
      <c r="F22" s="189"/>
      <c r="G22" s="247">
        <v>4752</v>
      </c>
      <c r="H22" s="247">
        <v>4752</v>
      </c>
      <c r="I22" s="248">
        <f t="shared" si="0"/>
        <v>0</v>
      </c>
      <c r="J22" s="191">
        <v>4766</v>
      </c>
      <c r="K22" s="247">
        <v>4766</v>
      </c>
      <c r="L22" s="287">
        <f t="shared" si="1"/>
        <v>0</v>
      </c>
    </row>
    <row r="23" spans="1:12" x14ac:dyDescent="0.2">
      <c r="A23" s="189" t="s">
        <v>1267</v>
      </c>
      <c r="B23" s="189"/>
      <c r="C23" s="189" t="s">
        <v>498</v>
      </c>
      <c r="D23" s="189" t="s">
        <v>507</v>
      </c>
      <c r="E23" s="189" t="s">
        <v>1266</v>
      </c>
      <c r="F23" s="189"/>
      <c r="G23" s="247">
        <v>4752</v>
      </c>
      <c r="H23" s="247">
        <v>4752</v>
      </c>
      <c r="I23" s="248">
        <f t="shared" si="0"/>
        <v>0</v>
      </c>
      <c r="J23" s="191">
        <v>4766</v>
      </c>
      <c r="K23" s="247">
        <v>4766</v>
      </c>
      <c r="L23" s="287">
        <f t="shared" si="1"/>
        <v>0</v>
      </c>
    </row>
    <row r="24" spans="1:12" ht="24" x14ac:dyDescent="0.2">
      <c r="A24" s="189" t="s">
        <v>1265</v>
      </c>
      <c r="B24" s="189"/>
      <c r="C24" s="189" t="s">
        <v>498</v>
      </c>
      <c r="D24" s="189" t="s">
        <v>507</v>
      </c>
      <c r="E24" s="189" t="s">
        <v>1264</v>
      </c>
      <c r="F24" s="189"/>
      <c r="G24" s="247">
        <v>400</v>
      </c>
      <c r="H24" s="247">
        <v>400</v>
      </c>
      <c r="I24" s="248">
        <f t="shared" si="0"/>
        <v>0</v>
      </c>
      <c r="J24" s="191">
        <v>400</v>
      </c>
      <c r="K24" s="247">
        <v>400</v>
      </c>
      <c r="L24" s="287">
        <f t="shared" si="1"/>
        <v>0</v>
      </c>
    </row>
    <row r="25" spans="1:12" ht="24" x14ac:dyDescent="0.2">
      <c r="A25" s="189" t="s">
        <v>1263</v>
      </c>
      <c r="B25" s="189"/>
      <c r="C25" s="189" t="s">
        <v>498</v>
      </c>
      <c r="D25" s="189" t="s">
        <v>507</v>
      </c>
      <c r="E25" s="189" t="s">
        <v>1262</v>
      </c>
      <c r="F25" s="189"/>
      <c r="G25" s="247">
        <v>400</v>
      </c>
      <c r="H25" s="247">
        <v>400</v>
      </c>
      <c r="I25" s="248">
        <f t="shared" si="0"/>
        <v>0</v>
      </c>
      <c r="J25" s="191">
        <v>400</v>
      </c>
      <c r="K25" s="247">
        <v>400</v>
      </c>
      <c r="L25" s="287">
        <f t="shared" si="1"/>
        <v>0</v>
      </c>
    </row>
    <row r="26" spans="1:12" ht="24" x14ac:dyDescent="0.2">
      <c r="A26" s="189" t="s">
        <v>1347</v>
      </c>
      <c r="B26" s="189"/>
      <c r="C26" s="189" t="s">
        <v>498</v>
      </c>
      <c r="D26" s="189" t="s">
        <v>507</v>
      </c>
      <c r="E26" s="189" t="s">
        <v>1262</v>
      </c>
      <c r="F26" s="189" t="s">
        <v>535</v>
      </c>
      <c r="G26" s="247">
        <v>400</v>
      </c>
      <c r="H26" s="247">
        <v>400</v>
      </c>
      <c r="I26" s="248">
        <f t="shared" si="0"/>
        <v>0</v>
      </c>
      <c r="J26" s="191">
        <v>400</v>
      </c>
      <c r="K26" s="247">
        <v>400</v>
      </c>
      <c r="L26" s="287">
        <f t="shared" si="1"/>
        <v>0</v>
      </c>
    </row>
    <row r="27" spans="1:12" ht="24" x14ac:dyDescent="0.2">
      <c r="A27" s="189" t="s">
        <v>534</v>
      </c>
      <c r="B27" s="189"/>
      <c r="C27" s="189" t="s">
        <v>498</v>
      </c>
      <c r="D27" s="189" t="s">
        <v>507</v>
      </c>
      <c r="E27" s="189" t="s">
        <v>1262</v>
      </c>
      <c r="F27" s="189" t="s">
        <v>529</v>
      </c>
      <c r="G27" s="247">
        <v>400</v>
      </c>
      <c r="H27" s="247">
        <v>400</v>
      </c>
      <c r="I27" s="248">
        <f t="shared" si="0"/>
        <v>0</v>
      </c>
      <c r="J27" s="191">
        <v>400</v>
      </c>
      <c r="K27" s="247">
        <v>400</v>
      </c>
      <c r="L27" s="287">
        <f t="shared" si="1"/>
        <v>0</v>
      </c>
    </row>
    <row r="28" spans="1:12" ht="36" x14ac:dyDescent="0.2">
      <c r="A28" s="189" t="s">
        <v>1261</v>
      </c>
      <c r="B28" s="189"/>
      <c r="C28" s="189" t="s">
        <v>498</v>
      </c>
      <c r="D28" s="189" t="s">
        <v>507</v>
      </c>
      <c r="E28" s="189" t="s">
        <v>1260</v>
      </c>
      <c r="F28" s="189"/>
      <c r="G28" s="247">
        <v>4352</v>
      </c>
      <c r="H28" s="247">
        <v>4352</v>
      </c>
      <c r="I28" s="248">
        <f t="shared" si="0"/>
        <v>0</v>
      </c>
      <c r="J28" s="191">
        <v>4366</v>
      </c>
      <c r="K28" s="247">
        <v>4366</v>
      </c>
      <c r="L28" s="287">
        <f t="shared" si="1"/>
        <v>0</v>
      </c>
    </row>
    <row r="29" spans="1:12" ht="48" x14ac:dyDescent="0.2">
      <c r="A29" s="189" t="s">
        <v>1259</v>
      </c>
      <c r="B29" s="189"/>
      <c r="C29" s="189" t="s">
        <v>498</v>
      </c>
      <c r="D29" s="189" t="s">
        <v>507</v>
      </c>
      <c r="E29" s="189" t="s">
        <v>1258</v>
      </c>
      <c r="F29" s="189"/>
      <c r="G29" s="247">
        <v>4277</v>
      </c>
      <c r="H29" s="247">
        <v>4277</v>
      </c>
      <c r="I29" s="248">
        <f t="shared" si="0"/>
        <v>0</v>
      </c>
      <c r="J29" s="191">
        <v>4291</v>
      </c>
      <c r="K29" s="247">
        <v>4291</v>
      </c>
      <c r="L29" s="287">
        <f t="shared" si="1"/>
        <v>0</v>
      </c>
    </row>
    <row r="30" spans="1:12" ht="36" x14ac:dyDescent="0.2">
      <c r="A30" s="189" t="s">
        <v>1348</v>
      </c>
      <c r="B30" s="189"/>
      <c r="C30" s="189" t="s">
        <v>498</v>
      </c>
      <c r="D30" s="189" t="s">
        <v>507</v>
      </c>
      <c r="E30" s="189" t="s">
        <v>1258</v>
      </c>
      <c r="F30" s="189" t="s">
        <v>556</v>
      </c>
      <c r="G30" s="247">
        <v>4277</v>
      </c>
      <c r="H30" s="247">
        <v>4277</v>
      </c>
      <c r="I30" s="248">
        <f t="shared" si="0"/>
        <v>0</v>
      </c>
      <c r="J30" s="191">
        <v>4291</v>
      </c>
      <c r="K30" s="247">
        <v>4291</v>
      </c>
      <c r="L30" s="287">
        <f t="shared" si="1"/>
        <v>0</v>
      </c>
    </row>
    <row r="31" spans="1:12" x14ac:dyDescent="0.2">
      <c r="A31" s="189" t="s">
        <v>749</v>
      </c>
      <c r="B31" s="189"/>
      <c r="C31" s="189" t="s">
        <v>498</v>
      </c>
      <c r="D31" s="189" t="s">
        <v>507</v>
      </c>
      <c r="E31" s="189" t="s">
        <v>1258</v>
      </c>
      <c r="F31" s="189" t="s">
        <v>745</v>
      </c>
      <c r="G31" s="247">
        <v>4277</v>
      </c>
      <c r="H31" s="247">
        <v>4277</v>
      </c>
      <c r="I31" s="248">
        <f t="shared" si="0"/>
        <v>0</v>
      </c>
      <c r="J31" s="191">
        <v>4291</v>
      </c>
      <c r="K31" s="247">
        <v>4291</v>
      </c>
      <c r="L31" s="287">
        <f t="shared" si="1"/>
        <v>0</v>
      </c>
    </row>
    <row r="32" spans="1:12" ht="48" x14ac:dyDescent="0.2">
      <c r="A32" s="189" t="s">
        <v>1257</v>
      </c>
      <c r="B32" s="189"/>
      <c r="C32" s="189" t="s">
        <v>498</v>
      </c>
      <c r="D32" s="189" t="s">
        <v>507</v>
      </c>
      <c r="E32" s="189" t="s">
        <v>1256</v>
      </c>
      <c r="F32" s="189"/>
      <c r="G32" s="247">
        <v>75</v>
      </c>
      <c r="H32" s="247">
        <v>75</v>
      </c>
      <c r="I32" s="248">
        <f t="shared" si="0"/>
        <v>0</v>
      </c>
      <c r="J32" s="191">
        <v>75</v>
      </c>
      <c r="K32" s="247">
        <v>75</v>
      </c>
      <c r="L32" s="287">
        <f t="shared" si="1"/>
        <v>0</v>
      </c>
    </row>
    <row r="33" spans="1:12" ht="24" x14ac:dyDescent="0.2">
      <c r="A33" s="189" t="s">
        <v>1347</v>
      </c>
      <c r="B33" s="189"/>
      <c r="C33" s="189" t="s">
        <v>498</v>
      </c>
      <c r="D33" s="189" t="s">
        <v>507</v>
      </c>
      <c r="E33" s="189" t="s">
        <v>1256</v>
      </c>
      <c r="F33" s="189" t="s">
        <v>535</v>
      </c>
      <c r="G33" s="247">
        <v>75</v>
      </c>
      <c r="H33" s="247">
        <v>75</v>
      </c>
      <c r="I33" s="248">
        <f t="shared" si="0"/>
        <v>0</v>
      </c>
      <c r="J33" s="191">
        <v>75</v>
      </c>
      <c r="K33" s="247">
        <v>75</v>
      </c>
      <c r="L33" s="287">
        <f t="shared" si="1"/>
        <v>0</v>
      </c>
    </row>
    <row r="34" spans="1:12" ht="24" x14ac:dyDescent="0.2">
      <c r="A34" s="189" t="s">
        <v>534</v>
      </c>
      <c r="B34" s="189"/>
      <c r="C34" s="189" t="s">
        <v>498</v>
      </c>
      <c r="D34" s="189" t="s">
        <v>507</v>
      </c>
      <c r="E34" s="189" t="s">
        <v>1256</v>
      </c>
      <c r="F34" s="189" t="s">
        <v>529</v>
      </c>
      <c r="G34" s="247">
        <v>75</v>
      </c>
      <c r="H34" s="247">
        <v>75</v>
      </c>
      <c r="I34" s="248">
        <f t="shared" si="0"/>
        <v>0</v>
      </c>
      <c r="J34" s="191">
        <v>75</v>
      </c>
      <c r="K34" s="247">
        <v>75</v>
      </c>
      <c r="L34" s="287">
        <f t="shared" si="1"/>
        <v>0</v>
      </c>
    </row>
    <row r="35" spans="1:12" x14ac:dyDescent="0.2">
      <c r="A35" s="189" t="s">
        <v>666</v>
      </c>
      <c r="B35" s="189"/>
      <c r="C35" s="189" t="s">
        <v>498</v>
      </c>
      <c r="D35" s="189" t="s">
        <v>507</v>
      </c>
      <c r="E35" s="189" t="s">
        <v>665</v>
      </c>
      <c r="F35" s="189"/>
      <c r="G35" s="247">
        <v>10805</v>
      </c>
      <c r="H35" s="247">
        <v>10805</v>
      </c>
      <c r="I35" s="248">
        <f t="shared" si="0"/>
        <v>0</v>
      </c>
      <c r="J35" s="191">
        <v>10805</v>
      </c>
      <c r="K35" s="247">
        <v>10805</v>
      </c>
      <c r="L35" s="287">
        <f t="shared" si="1"/>
        <v>0</v>
      </c>
    </row>
    <row r="36" spans="1:12" x14ac:dyDescent="0.2">
      <c r="A36" s="189" t="s">
        <v>688</v>
      </c>
      <c r="B36" s="189"/>
      <c r="C36" s="189" t="s">
        <v>498</v>
      </c>
      <c r="D36" s="189" t="s">
        <v>507</v>
      </c>
      <c r="E36" s="189" t="s">
        <v>687</v>
      </c>
      <c r="F36" s="189"/>
      <c r="G36" s="247">
        <v>10805</v>
      </c>
      <c r="H36" s="247">
        <v>10805</v>
      </c>
      <c r="I36" s="248">
        <f t="shared" si="0"/>
        <v>0</v>
      </c>
      <c r="J36" s="191">
        <v>10805</v>
      </c>
      <c r="K36" s="247">
        <v>10805</v>
      </c>
      <c r="L36" s="287">
        <f t="shared" si="1"/>
        <v>0</v>
      </c>
    </row>
    <row r="37" spans="1:12" ht="48" x14ac:dyDescent="0.2">
      <c r="A37" s="189" t="s">
        <v>708</v>
      </c>
      <c r="B37" s="189"/>
      <c r="C37" s="189" t="s">
        <v>498</v>
      </c>
      <c r="D37" s="189" t="s">
        <v>507</v>
      </c>
      <c r="E37" s="189" t="s">
        <v>707</v>
      </c>
      <c r="F37" s="189"/>
      <c r="G37" s="247">
        <v>10805</v>
      </c>
      <c r="H37" s="247">
        <v>10805</v>
      </c>
      <c r="I37" s="248">
        <f t="shared" si="0"/>
        <v>0</v>
      </c>
      <c r="J37" s="191">
        <v>10805</v>
      </c>
      <c r="K37" s="247">
        <v>10805</v>
      </c>
      <c r="L37" s="287">
        <f t="shared" si="1"/>
        <v>0</v>
      </c>
    </row>
    <row r="38" spans="1:12" ht="36" x14ac:dyDescent="0.2">
      <c r="A38" s="189" t="s">
        <v>1255</v>
      </c>
      <c r="B38" s="189"/>
      <c r="C38" s="189" t="s">
        <v>498</v>
      </c>
      <c r="D38" s="189" t="s">
        <v>507</v>
      </c>
      <c r="E38" s="189" t="s">
        <v>1254</v>
      </c>
      <c r="F38" s="189"/>
      <c r="G38" s="247">
        <v>10805</v>
      </c>
      <c r="H38" s="247">
        <v>10805</v>
      </c>
      <c r="I38" s="248">
        <f t="shared" si="0"/>
        <v>0</v>
      </c>
      <c r="J38" s="191">
        <v>10805</v>
      </c>
      <c r="K38" s="247">
        <v>10805</v>
      </c>
      <c r="L38" s="287">
        <f t="shared" si="1"/>
        <v>0</v>
      </c>
    </row>
    <row r="39" spans="1:12" ht="36" x14ac:dyDescent="0.2">
      <c r="A39" s="189" t="s">
        <v>1348</v>
      </c>
      <c r="B39" s="189"/>
      <c r="C39" s="189" t="s">
        <v>498</v>
      </c>
      <c r="D39" s="189" t="s">
        <v>507</v>
      </c>
      <c r="E39" s="189" t="s">
        <v>1254</v>
      </c>
      <c r="F39" s="189" t="s">
        <v>556</v>
      </c>
      <c r="G39" s="247">
        <v>10627</v>
      </c>
      <c r="H39" s="247">
        <v>10627</v>
      </c>
      <c r="I39" s="248">
        <f t="shared" si="0"/>
        <v>0</v>
      </c>
      <c r="J39" s="191">
        <v>10627</v>
      </c>
      <c r="K39" s="247">
        <v>10627</v>
      </c>
      <c r="L39" s="287">
        <f t="shared" si="1"/>
        <v>0</v>
      </c>
    </row>
    <row r="40" spans="1:12" x14ac:dyDescent="0.2">
      <c r="A40" s="189" t="s">
        <v>749</v>
      </c>
      <c r="B40" s="189"/>
      <c r="C40" s="189" t="s">
        <v>498</v>
      </c>
      <c r="D40" s="189" t="s">
        <v>507</v>
      </c>
      <c r="E40" s="189" t="s">
        <v>1254</v>
      </c>
      <c r="F40" s="189" t="s">
        <v>745</v>
      </c>
      <c r="G40" s="247">
        <v>10627</v>
      </c>
      <c r="H40" s="247">
        <v>10627</v>
      </c>
      <c r="I40" s="248">
        <f t="shared" si="0"/>
        <v>0</v>
      </c>
      <c r="J40" s="191">
        <v>10627</v>
      </c>
      <c r="K40" s="247">
        <v>10627</v>
      </c>
      <c r="L40" s="287">
        <f t="shared" si="1"/>
        <v>0</v>
      </c>
    </row>
    <row r="41" spans="1:12" ht="24" x14ac:dyDescent="0.2">
      <c r="A41" s="189" t="s">
        <v>1347</v>
      </c>
      <c r="B41" s="189"/>
      <c r="C41" s="189" t="s">
        <v>498</v>
      </c>
      <c r="D41" s="189" t="s">
        <v>507</v>
      </c>
      <c r="E41" s="189" t="s">
        <v>1254</v>
      </c>
      <c r="F41" s="189" t="s">
        <v>535</v>
      </c>
      <c r="G41" s="247">
        <v>178</v>
      </c>
      <c r="H41" s="247">
        <v>178</v>
      </c>
      <c r="I41" s="248">
        <f t="shared" si="0"/>
        <v>0</v>
      </c>
      <c r="J41" s="191">
        <v>178</v>
      </c>
      <c r="K41" s="247">
        <v>178</v>
      </c>
      <c r="L41" s="287">
        <f t="shared" si="1"/>
        <v>0</v>
      </c>
    </row>
    <row r="42" spans="1:12" ht="24" x14ac:dyDescent="0.2">
      <c r="A42" s="189" t="s">
        <v>534</v>
      </c>
      <c r="B42" s="189"/>
      <c r="C42" s="189" t="s">
        <v>498</v>
      </c>
      <c r="D42" s="189" t="s">
        <v>507</v>
      </c>
      <c r="E42" s="189" t="s">
        <v>1254</v>
      </c>
      <c r="F42" s="189" t="s">
        <v>529</v>
      </c>
      <c r="G42" s="247">
        <v>178</v>
      </c>
      <c r="H42" s="247">
        <v>178</v>
      </c>
      <c r="I42" s="248">
        <f t="shared" si="0"/>
        <v>0</v>
      </c>
      <c r="J42" s="191">
        <v>178</v>
      </c>
      <c r="K42" s="247">
        <v>178</v>
      </c>
      <c r="L42" s="287">
        <f t="shared" si="1"/>
        <v>0</v>
      </c>
    </row>
    <row r="43" spans="1:12" x14ac:dyDescent="0.2">
      <c r="A43" s="189" t="s">
        <v>568</v>
      </c>
      <c r="B43" s="189"/>
      <c r="C43" s="189" t="s">
        <v>498</v>
      </c>
      <c r="D43" s="189" t="s">
        <v>507</v>
      </c>
      <c r="E43" s="189" t="s">
        <v>567</v>
      </c>
      <c r="F43" s="189"/>
      <c r="G43" s="247">
        <v>10658</v>
      </c>
      <c r="H43" s="247">
        <v>10658</v>
      </c>
      <c r="I43" s="248">
        <f t="shared" si="0"/>
        <v>0</v>
      </c>
      <c r="J43" s="191">
        <v>10658</v>
      </c>
      <c r="K43" s="247">
        <v>10658</v>
      </c>
      <c r="L43" s="287">
        <f t="shared" si="1"/>
        <v>0</v>
      </c>
    </row>
    <row r="44" spans="1:12" x14ac:dyDescent="0.2">
      <c r="A44" s="189" t="s">
        <v>855</v>
      </c>
      <c r="B44" s="189"/>
      <c r="C44" s="189" t="s">
        <v>498</v>
      </c>
      <c r="D44" s="189" t="s">
        <v>507</v>
      </c>
      <c r="E44" s="189" t="s">
        <v>854</v>
      </c>
      <c r="F44" s="189"/>
      <c r="G44" s="247">
        <v>10658</v>
      </c>
      <c r="H44" s="247">
        <v>10658</v>
      </c>
      <c r="I44" s="248">
        <f t="shared" si="0"/>
        <v>0</v>
      </c>
      <c r="J44" s="191">
        <v>10658</v>
      </c>
      <c r="K44" s="247">
        <v>10658</v>
      </c>
      <c r="L44" s="287">
        <f t="shared" si="1"/>
        <v>0</v>
      </c>
    </row>
    <row r="45" spans="1:12" ht="36" x14ac:dyDescent="0.2">
      <c r="A45" s="189" t="s">
        <v>853</v>
      </c>
      <c r="B45" s="189"/>
      <c r="C45" s="189" t="s">
        <v>498</v>
      </c>
      <c r="D45" s="189" t="s">
        <v>507</v>
      </c>
      <c r="E45" s="189" t="s">
        <v>852</v>
      </c>
      <c r="F45" s="189"/>
      <c r="G45" s="247">
        <v>10658</v>
      </c>
      <c r="H45" s="247">
        <v>10658</v>
      </c>
      <c r="I45" s="248">
        <f t="shared" si="0"/>
        <v>0</v>
      </c>
      <c r="J45" s="191">
        <v>10658</v>
      </c>
      <c r="K45" s="247">
        <v>10658</v>
      </c>
      <c r="L45" s="287">
        <f t="shared" si="1"/>
        <v>0</v>
      </c>
    </row>
    <row r="46" spans="1:12" ht="24" x14ac:dyDescent="0.2">
      <c r="A46" s="189" t="s">
        <v>1253</v>
      </c>
      <c r="B46" s="189"/>
      <c r="C46" s="189" t="s">
        <v>498</v>
      </c>
      <c r="D46" s="189" t="s">
        <v>507</v>
      </c>
      <c r="E46" s="189" t="s">
        <v>1252</v>
      </c>
      <c r="F46" s="189"/>
      <c r="G46" s="247">
        <v>10658</v>
      </c>
      <c r="H46" s="247">
        <v>10658</v>
      </c>
      <c r="I46" s="248">
        <f t="shared" si="0"/>
        <v>0</v>
      </c>
      <c r="J46" s="191">
        <v>10658</v>
      </c>
      <c r="K46" s="247">
        <v>10658</v>
      </c>
      <c r="L46" s="287">
        <f t="shared" si="1"/>
        <v>0</v>
      </c>
    </row>
    <row r="47" spans="1:12" ht="36" x14ac:dyDescent="0.2">
      <c r="A47" s="189" t="s">
        <v>1348</v>
      </c>
      <c r="B47" s="189"/>
      <c r="C47" s="189" t="s">
        <v>498</v>
      </c>
      <c r="D47" s="189" t="s">
        <v>507</v>
      </c>
      <c r="E47" s="189" t="s">
        <v>1252</v>
      </c>
      <c r="F47" s="189" t="s">
        <v>556</v>
      </c>
      <c r="G47" s="247">
        <v>9543.4</v>
      </c>
      <c r="H47" s="247">
        <v>9543.4</v>
      </c>
      <c r="I47" s="248">
        <f t="shared" si="0"/>
        <v>0</v>
      </c>
      <c r="J47" s="191">
        <v>9543.4</v>
      </c>
      <c r="K47" s="247">
        <v>9543.4</v>
      </c>
      <c r="L47" s="287">
        <f t="shared" si="1"/>
        <v>0</v>
      </c>
    </row>
    <row r="48" spans="1:12" x14ac:dyDescent="0.2">
      <c r="A48" s="189" t="s">
        <v>749</v>
      </c>
      <c r="B48" s="189"/>
      <c r="C48" s="189" t="s">
        <v>498</v>
      </c>
      <c r="D48" s="189" t="s">
        <v>507</v>
      </c>
      <c r="E48" s="189" t="s">
        <v>1252</v>
      </c>
      <c r="F48" s="189" t="s">
        <v>745</v>
      </c>
      <c r="G48" s="247">
        <v>9543.4</v>
      </c>
      <c r="H48" s="247">
        <v>9543.4</v>
      </c>
      <c r="I48" s="248">
        <f t="shared" si="0"/>
        <v>0</v>
      </c>
      <c r="J48" s="191">
        <v>9543.4</v>
      </c>
      <c r="K48" s="247">
        <v>9543.4</v>
      </c>
      <c r="L48" s="287">
        <f t="shared" si="1"/>
        <v>0</v>
      </c>
    </row>
    <row r="49" spans="1:12" ht="24" x14ac:dyDescent="0.2">
      <c r="A49" s="189" t="s">
        <v>1347</v>
      </c>
      <c r="B49" s="189"/>
      <c r="C49" s="189" t="s">
        <v>498</v>
      </c>
      <c r="D49" s="189" t="s">
        <v>507</v>
      </c>
      <c r="E49" s="189" t="s">
        <v>1252</v>
      </c>
      <c r="F49" s="189" t="s">
        <v>535</v>
      </c>
      <c r="G49" s="247">
        <v>1114.5999999999999</v>
      </c>
      <c r="H49" s="247">
        <v>1114.5999999999999</v>
      </c>
      <c r="I49" s="248">
        <f t="shared" si="0"/>
        <v>0</v>
      </c>
      <c r="J49" s="191">
        <v>1114.5999999999999</v>
      </c>
      <c r="K49" s="247">
        <v>1114.5999999999999</v>
      </c>
      <c r="L49" s="287">
        <f t="shared" si="1"/>
        <v>0</v>
      </c>
    </row>
    <row r="50" spans="1:12" ht="24" x14ac:dyDescent="0.2">
      <c r="A50" s="189" t="s">
        <v>534</v>
      </c>
      <c r="B50" s="189"/>
      <c r="C50" s="189" t="s">
        <v>498</v>
      </c>
      <c r="D50" s="189" t="s">
        <v>507</v>
      </c>
      <c r="E50" s="189" t="s">
        <v>1252</v>
      </c>
      <c r="F50" s="189" t="s">
        <v>529</v>
      </c>
      <c r="G50" s="247">
        <v>1114.5999999999999</v>
      </c>
      <c r="H50" s="247">
        <v>1114.5999999999999</v>
      </c>
      <c r="I50" s="248">
        <f t="shared" si="0"/>
        <v>0</v>
      </c>
      <c r="J50" s="191">
        <v>1114.5999999999999</v>
      </c>
      <c r="K50" s="247">
        <v>1114.5999999999999</v>
      </c>
      <c r="L50" s="287">
        <f t="shared" si="1"/>
        <v>0</v>
      </c>
    </row>
    <row r="51" spans="1:12" x14ac:dyDescent="0.2">
      <c r="A51" s="189" t="s">
        <v>1145</v>
      </c>
      <c r="B51" s="189"/>
      <c r="C51" s="189" t="s">
        <v>498</v>
      </c>
      <c r="D51" s="189" t="s">
        <v>507</v>
      </c>
      <c r="E51" s="189" t="s">
        <v>1144</v>
      </c>
      <c r="F51" s="189"/>
      <c r="G51" s="247">
        <v>1283</v>
      </c>
      <c r="H51" s="247">
        <v>1283</v>
      </c>
      <c r="I51" s="248">
        <f t="shared" si="0"/>
        <v>0</v>
      </c>
      <c r="J51" s="191">
        <v>1283</v>
      </c>
      <c r="K51" s="247">
        <v>1283</v>
      </c>
      <c r="L51" s="287">
        <f t="shared" si="1"/>
        <v>0</v>
      </c>
    </row>
    <row r="52" spans="1:12" ht="24" x14ac:dyDescent="0.2">
      <c r="A52" s="189" t="s">
        <v>1137</v>
      </c>
      <c r="B52" s="189"/>
      <c r="C52" s="189" t="s">
        <v>498</v>
      </c>
      <c r="D52" s="189" t="s">
        <v>507</v>
      </c>
      <c r="E52" s="189" t="s">
        <v>1136</v>
      </c>
      <c r="F52" s="189"/>
      <c r="G52" s="247">
        <v>1283</v>
      </c>
      <c r="H52" s="247">
        <v>1283</v>
      </c>
      <c r="I52" s="248">
        <f t="shared" si="0"/>
        <v>0</v>
      </c>
      <c r="J52" s="191">
        <v>1283</v>
      </c>
      <c r="K52" s="247">
        <v>1283</v>
      </c>
      <c r="L52" s="287">
        <f t="shared" si="1"/>
        <v>0</v>
      </c>
    </row>
    <row r="53" spans="1:12" ht="36" x14ac:dyDescent="0.2">
      <c r="A53" s="189" t="s">
        <v>1135</v>
      </c>
      <c r="B53" s="189"/>
      <c r="C53" s="189" t="s">
        <v>498</v>
      </c>
      <c r="D53" s="189" t="s">
        <v>507</v>
      </c>
      <c r="E53" s="189" t="s">
        <v>1134</v>
      </c>
      <c r="F53" s="189"/>
      <c r="G53" s="247">
        <v>1283</v>
      </c>
      <c r="H53" s="247">
        <v>1283</v>
      </c>
      <c r="I53" s="248">
        <f t="shared" si="0"/>
        <v>0</v>
      </c>
      <c r="J53" s="191">
        <v>1283</v>
      </c>
      <c r="K53" s="247">
        <v>1283</v>
      </c>
      <c r="L53" s="287">
        <f t="shared" si="1"/>
        <v>0</v>
      </c>
    </row>
    <row r="54" spans="1:12" ht="39" customHeight="1" x14ac:dyDescent="0.2">
      <c r="A54" s="189" t="s">
        <v>1606</v>
      </c>
      <c r="B54" s="189"/>
      <c r="C54" s="189" t="s">
        <v>498</v>
      </c>
      <c r="D54" s="189" t="s">
        <v>507</v>
      </c>
      <c r="E54" s="189" t="s">
        <v>1133</v>
      </c>
      <c r="F54" s="189"/>
      <c r="G54" s="247">
        <v>1283</v>
      </c>
      <c r="H54" s="247">
        <v>1283</v>
      </c>
      <c r="I54" s="248">
        <f t="shared" si="0"/>
        <v>0</v>
      </c>
      <c r="J54" s="191">
        <v>1283</v>
      </c>
      <c r="K54" s="247">
        <v>1283</v>
      </c>
      <c r="L54" s="287">
        <f t="shared" si="1"/>
        <v>0</v>
      </c>
    </row>
    <row r="55" spans="1:12" ht="36" x14ac:dyDescent="0.2">
      <c r="A55" s="189" t="s">
        <v>1348</v>
      </c>
      <c r="B55" s="189"/>
      <c r="C55" s="189" t="s">
        <v>498</v>
      </c>
      <c r="D55" s="189" t="s">
        <v>507</v>
      </c>
      <c r="E55" s="189" t="s">
        <v>1133</v>
      </c>
      <c r="F55" s="189" t="s">
        <v>556</v>
      </c>
      <c r="G55" s="247">
        <v>1069.2</v>
      </c>
      <c r="H55" s="247">
        <v>1069.2</v>
      </c>
      <c r="I55" s="248">
        <f t="shared" si="0"/>
        <v>0</v>
      </c>
      <c r="J55" s="191">
        <v>1069.2</v>
      </c>
      <c r="K55" s="247">
        <v>1069.2</v>
      </c>
      <c r="L55" s="287">
        <f t="shared" si="1"/>
        <v>0</v>
      </c>
    </row>
    <row r="56" spans="1:12" x14ac:dyDescent="0.2">
      <c r="A56" s="189" t="s">
        <v>749</v>
      </c>
      <c r="B56" s="189"/>
      <c r="C56" s="189" t="s">
        <v>498</v>
      </c>
      <c r="D56" s="189" t="s">
        <v>507</v>
      </c>
      <c r="E56" s="189" t="s">
        <v>1133</v>
      </c>
      <c r="F56" s="189" t="s">
        <v>745</v>
      </c>
      <c r="G56" s="247">
        <v>1069.2</v>
      </c>
      <c r="H56" s="247">
        <v>1069.2</v>
      </c>
      <c r="I56" s="248">
        <f t="shared" si="0"/>
        <v>0</v>
      </c>
      <c r="J56" s="191">
        <v>1069.2</v>
      </c>
      <c r="K56" s="247">
        <v>1069.2</v>
      </c>
      <c r="L56" s="287">
        <f t="shared" si="1"/>
        <v>0</v>
      </c>
    </row>
    <row r="57" spans="1:12" ht="24" x14ac:dyDescent="0.2">
      <c r="A57" s="189" t="s">
        <v>1347</v>
      </c>
      <c r="B57" s="189"/>
      <c r="C57" s="189" t="s">
        <v>498</v>
      </c>
      <c r="D57" s="189" t="s">
        <v>507</v>
      </c>
      <c r="E57" s="189" t="s">
        <v>1133</v>
      </c>
      <c r="F57" s="189" t="s">
        <v>535</v>
      </c>
      <c r="G57" s="247">
        <v>213.8</v>
      </c>
      <c r="H57" s="247">
        <v>213.8</v>
      </c>
      <c r="I57" s="248">
        <f t="shared" si="0"/>
        <v>0</v>
      </c>
      <c r="J57" s="191">
        <v>213.8</v>
      </c>
      <c r="K57" s="247">
        <v>213.8</v>
      </c>
      <c r="L57" s="287">
        <f t="shared" si="1"/>
        <v>0</v>
      </c>
    </row>
    <row r="58" spans="1:12" ht="24" x14ac:dyDescent="0.2">
      <c r="A58" s="189" t="s">
        <v>534</v>
      </c>
      <c r="B58" s="189"/>
      <c r="C58" s="189" t="s">
        <v>498</v>
      </c>
      <c r="D58" s="189" t="s">
        <v>507</v>
      </c>
      <c r="E58" s="189" t="s">
        <v>1133</v>
      </c>
      <c r="F58" s="189" t="s">
        <v>529</v>
      </c>
      <c r="G58" s="247">
        <v>213.8</v>
      </c>
      <c r="H58" s="247">
        <v>213.8</v>
      </c>
      <c r="I58" s="248">
        <f t="shared" si="0"/>
        <v>0</v>
      </c>
      <c r="J58" s="191">
        <v>213.8</v>
      </c>
      <c r="K58" s="247">
        <v>213.8</v>
      </c>
      <c r="L58" s="287">
        <f t="shared" si="1"/>
        <v>0</v>
      </c>
    </row>
    <row r="59" spans="1:12" x14ac:dyDescent="0.2">
      <c r="A59" s="189" t="s">
        <v>839</v>
      </c>
      <c r="B59" s="189"/>
      <c r="C59" s="189" t="s">
        <v>498</v>
      </c>
      <c r="D59" s="189" t="s">
        <v>507</v>
      </c>
      <c r="E59" s="189" t="s">
        <v>838</v>
      </c>
      <c r="F59" s="189"/>
      <c r="G59" s="247">
        <v>3793</v>
      </c>
      <c r="H59" s="247">
        <v>3793</v>
      </c>
      <c r="I59" s="248">
        <f t="shared" si="0"/>
        <v>0</v>
      </c>
      <c r="J59" s="191">
        <v>3793</v>
      </c>
      <c r="K59" s="247">
        <v>3793</v>
      </c>
      <c r="L59" s="287">
        <f t="shared" si="1"/>
        <v>0</v>
      </c>
    </row>
    <row r="60" spans="1:12" ht="24" x14ac:dyDescent="0.2">
      <c r="A60" s="189" t="s">
        <v>1251</v>
      </c>
      <c r="B60" s="189"/>
      <c r="C60" s="189" t="s">
        <v>498</v>
      </c>
      <c r="D60" s="189" t="s">
        <v>507</v>
      </c>
      <c r="E60" s="189" t="s">
        <v>1250</v>
      </c>
      <c r="F60" s="189"/>
      <c r="G60" s="247">
        <v>3793</v>
      </c>
      <c r="H60" s="247">
        <v>3793</v>
      </c>
      <c r="I60" s="248">
        <f t="shared" si="0"/>
        <v>0</v>
      </c>
      <c r="J60" s="191">
        <v>3793</v>
      </c>
      <c r="K60" s="247">
        <v>3793</v>
      </c>
      <c r="L60" s="287">
        <f t="shared" si="1"/>
        <v>0</v>
      </c>
    </row>
    <row r="61" spans="1:12" ht="36" x14ac:dyDescent="0.2">
      <c r="A61" s="189" t="s">
        <v>1249</v>
      </c>
      <c r="B61" s="189"/>
      <c r="C61" s="189" t="s">
        <v>498</v>
      </c>
      <c r="D61" s="189" t="s">
        <v>507</v>
      </c>
      <c r="E61" s="189" t="s">
        <v>1248</v>
      </c>
      <c r="F61" s="189"/>
      <c r="G61" s="247">
        <v>3793</v>
      </c>
      <c r="H61" s="247">
        <v>3793</v>
      </c>
      <c r="I61" s="248">
        <f t="shared" si="0"/>
        <v>0</v>
      </c>
      <c r="J61" s="191">
        <v>3793</v>
      </c>
      <c r="K61" s="247">
        <v>3793</v>
      </c>
      <c r="L61" s="287">
        <f t="shared" si="1"/>
        <v>0</v>
      </c>
    </row>
    <row r="62" spans="1:12" ht="120" x14ac:dyDescent="0.2">
      <c r="A62" s="189" t="s">
        <v>1247</v>
      </c>
      <c r="B62" s="189"/>
      <c r="C62" s="189" t="s">
        <v>498</v>
      </c>
      <c r="D62" s="189" t="s">
        <v>507</v>
      </c>
      <c r="E62" s="189" t="s">
        <v>1246</v>
      </c>
      <c r="F62" s="189"/>
      <c r="G62" s="247">
        <v>3793</v>
      </c>
      <c r="H62" s="247">
        <v>3793</v>
      </c>
      <c r="I62" s="248">
        <f t="shared" si="0"/>
        <v>0</v>
      </c>
      <c r="J62" s="191">
        <v>3793</v>
      </c>
      <c r="K62" s="247">
        <v>3793</v>
      </c>
      <c r="L62" s="287">
        <f t="shared" si="1"/>
        <v>0</v>
      </c>
    </row>
    <row r="63" spans="1:12" ht="36" x14ac:dyDescent="0.2">
      <c r="A63" s="189" t="s">
        <v>1348</v>
      </c>
      <c r="B63" s="189"/>
      <c r="C63" s="189" t="s">
        <v>498</v>
      </c>
      <c r="D63" s="189" t="s">
        <v>507</v>
      </c>
      <c r="E63" s="189" t="s">
        <v>1246</v>
      </c>
      <c r="F63" s="189" t="s">
        <v>556</v>
      </c>
      <c r="G63" s="247">
        <v>2977.8</v>
      </c>
      <c r="H63" s="247">
        <v>2977.8</v>
      </c>
      <c r="I63" s="248">
        <f t="shared" si="0"/>
        <v>0</v>
      </c>
      <c r="J63" s="191">
        <v>2977.8</v>
      </c>
      <c r="K63" s="247">
        <v>2977.8</v>
      </c>
      <c r="L63" s="287">
        <f t="shared" si="1"/>
        <v>0</v>
      </c>
    </row>
    <row r="64" spans="1:12" x14ac:dyDescent="0.2">
      <c r="A64" s="189" t="s">
        <v>749</v>
      </c>
      <c r="B64" s="189"/>
      <c r="C64" s="189" t="s">
        <v>498</v>
      </c>
      <c r="D64" s="189" t="s">
        <v>507</v>
      </c>
      <c r="E64" s="189" t="s">
        <v>1246</v>
      </c>
      <c r="F64" s="189" t="s">
        <v>745</v>
      </c>
      <c r="G64" s="247">
        <v>2977.8</v>
      </c>
      <c r="H64" s="247">
        <v>2977.8</v>
      </c>
      <c r="I64" s="248">
        <f t="shared" si="0"/>
        <v>0</v>
      </c>
      <c r="J64" s="191">
        <v>2977.8</v>
      </c>
      <c r="K64" s="247">
        <v>2977.8</v>
      </c>
      <c r="L64" s="287">
        <f t="shared" si="1"/>
        <v>0</v>
      </c>
    </row>
    <row r="65" spans="1:12" ht="24" x14ac:dyDescent="0.2">
      <c r="A65" s="189" t="s">
        <v>1347</v>
      </c>
      <c r="B65" s="189"/>
      <c r="C65" s="189" t="s">
        <v>498</v>
      </c>
      <c r="D65" s="189" t="s">
        <v>507</v>
      </c>
      <c r="E65" s="189" t="s">
        <v>1246</v>
      </c>
      <c r="F65" s="189" t="s">
        <v>535</v>
      </c>
      <c r="G65" s="247">
        <v>815.2</v>
      </c>
      <c r="H65" s="247">
        <v>815.2</v>
      </c>
      <c r="I65" s="248">
        <f t="shared" si="0"/>
        <v>0</v>
      </c>
      <c r="J65" s="191">
        <v>815.2</v>
      </c>
      <c r="K65" s="247">
        <v>815.2</v>
      </c>
      <c r="L65" s="287">
        <f t="shared" si="1"/>
        <v>0</v>
      </c>
    </row>
    <row r="66" spans="1:12" ht="24" x14ac:dyDescent="0.2">
      <c r="A66" s="189" t="s">
        <v>534</v>
      </c>
      <c r="B66" s="189"/>
      <c r="C66" s="189" t="s">
        <v>498</v>
      </c>
      <c r="D66" s="189" t="s">
        <v>507</v>
      </c>
      <c r="E66" s="189" t="s">
        <v>1246</v>
      </c>
      <c r="F66" s="189" t="s">
        <v>529</v>
      </c>
      <c r="G66" s="247">
        <v>815.2</v>
      </c>
      <c r="H66" s="247">
        <v>815.2</v>
      </c>
      <c r="I66" s="248">
        <f t="shared" si="0"/>
        <v>0</v>
      </c>
      <c r="J66" s="191">
        <v>815.2</v>
      </c>
      <c r="K66" s="247">
        <v>815.2</v>
      </c>
      <c r="L66" s="287">
        <f t="shared" si="1"/>
        <v>0</v>
      </c>
    </row>
    <row r="67" spans="1:12" s="305" customFormat="1" ht="24" x14ac:dyDescent="0.2">
      <c r="A67" s="189" t="s">
        <v>943</v>
      </c>
      <c r="B67" s="190"/>
      <c r="C67" s="189" t="s">
        <v>498</v>
      </c>
      <c r="D67" s="189" t="s">
        <v>507</v>
      </c>
      <c r="E67" s="189" t="s">
        <v>942</v>
      </c>
      <c r="F67" s="190"/>
      <c r="G67" s="191">
        <f t="shared" ref="G67:H69" si="3">G68</f>
        <v>631.99999999999989</v>
      </c>
      <c r="H67" s="191">
        <f t="shared" si="3"/>
        <v>631.99999999999989</v>
      </c>
      <c r="I67" s="192">
        <f t="shared" si="0"/>
        <v>0</v>
      </c>
      <c r="J67" s="191">
        <f t="shared" ref="J67:K69" si="4">J68</f>
        <v>631.99999999999989</v>
      </c>
      <c r="K67" s="247">
        <f t="shared" si="4"/>
        <v>631.99999999999989</v>
      </c>
      <c r="L67" s="287">
        <f t="shared" si="1"/>
        <v>0</v>
      </c>
    </row>
    <row r="68" spans="1:12" s="305" customFormat="1" x14ac:dyDescent="0.2">
      <c r="A68" s="189" t="s">
        <v>602</v>
      </c>
      <c r="B68" s="190"/>
      <c r="C68" s="189" t="s">
        <v>498</v>
      </c>
      <c r="D68" s="189" t="s">
        <v>507</v>
      </c>
      <c r="E68" s="189" t="s">
        <v>941</v>
      </c>
      <c r="F68" s="190"/>
      <c r="G68" s="191">
        <f t="shared" si="3"/>
        <v>631.99999999999989</v>
      </c>
      <c r="H68" s="191">
        <f t="shared" si="3"/>
        <v>631.99999999999989</v>
      </c>
      <c r="I68" s="192">
        <f t="shared" si="0"/>
        <v>0</v>
      </c>
      <c r="J68" s="191">
        <f t="shared" si="4"/>
        <v>631.99999999999989</v>
      </c>
      <c r="K68" s="247">
        <f t="shared" si="4"/>
        <v>631.99999999999989</v>
      </c>
      <c r="L68" s="287">
        <f t="shared" si="1"/>
        <v>0</v>
      </c>
    </row>
    <row r="69" spans="1:12" s="305" customFormat="1" ht="24" x14ac:dyDescent="0.2">
      <c r="A69" s="189" t="s">
        <v>600</v>
      </c>
      <c r="B69" s="190"/>
      <c r="C69" s="189" t="s">
        <v>498</v>
      </c>
      <c r="D69" s="189" t="s">
        <v>507</v>
      </c>
      <c r="E69" s="189" t="s">
        <v>940</v>
      </c>
      <c r="F69" s="190"/>
      <c r="G69" s="191">
        <f t="shared" si="3"/>
        <v>631.99999999999989</v>
      </c>
      <c r="H69" s="191">
        <f t="shared" si="3"/>
        <v>631.99999999999989</v>
      </c>
      <c r="I69" s="192">
        <f t="shared" si="0"/>
        <v>0</v>
      </c>
      <c r="J69" s="191">
        <f t="shared" si="4"/>
        <v>631.99999999999989</v>
      </c>
      <c r="K69" s="247">
        <f t="shared" si="4"/>
        <v>631.99999999999989</v>
      </c>
      <c r="L69" s="287">
        <f t="shared" si="1"/>
        <v>0</v>
      </c>
    </row>
    <row r="70" spans="1:12" s="305" customFormat="1" ht="24" x14ac:dyDescent="0.2">
      <c r="A70" s="189" t="s">
        <v>939</v>
      </c>
      <c r="B70" s="190"/>
      <c r="C70" s="189" t="s">
        <v>498</v>
      </c>
      <c r="D70" s="189" t="s">
        <v>507</v>
      </c>
      <c r="E70" s="189" t="s">
        <v>938</v>
      </c>
      <c r="F70" s="190"/>
      <c r="G70" s="191">
        <f>G71+G73</f>
        <v>631.99999999999989</v>
      </c>
      <c r="H70" s="191">
        <f>H71+H73</f>
        <v>631.99999999999989</v>
      </c>
      <c r="I70" s="192">
        <f t="shared" si="0"/>
        <v>0</v>
      </c>
      <c r="J70" s="191">
        <f>J71+J73</f>
        <v>631.99999999999989</v>
      </c>
      <c r="K70" s="247">
        <f>K71+K73</f>
        <v>631.99999999999989</v>
      </c>
      <c r="L70" s="287">
        <f t="shared" si="1"/>
        <v>0</v>
      </c>
    </row>
    <row r="71" spans="1:12" s="305" customFormat="1" ht="36" x14ac:dyDescent="0.2">
      <c r="A71" s="189" t="s">
        <v>1348</v>
      </c>
      <c r="B71" s="190"/>
      <c r="C71" s="189" t="s">
        <v>498</v>
      </c>
      <c r="D71" s="189" t="s">
        <v>507</v>
      </c>
      <c r="E71" s="189" t="s">
        <v>938</v>
      </c>
      <c r="F71" s="190" t="s">
        <v>556</v>
      </c>
      <c r="G71" s="191">
        <f>G72</f>
        <v>569.89999999999986</v>
      </c>
      <c r="H71" s="191">
        <f>H72</f>
        <v>569.89999999999986</v>
      </c>
      <c r="I71" s="192">
        <f t="shared" si="0"/>
        <v>0</v>
      </c>
      <c r="J71" s="191">
        <f>J72</f>
        <v>569.89999999999986</v>
      </c>
      <c r="K71" s="247">
        <f>K72</f>
        <v>569.89999999999986</v>
      </c>
      <c r="L71" s="287">
        <f t="shared" si="1"/>
        <v>0</v>
      </c>
    </row>
    <row r="72" spans="1:12" s="305" customFormat="1" x14ac:dyDescent="0.2">
      <c r="A72" s="189" t="s">
        <v>749</v>
      </c>
      <c r="B72" s="190"/>
      <c r="C72" s="189" t="s">
        <v>498</v>
      </c>
      <c r="D72" s="189" t="s">
        <v>507</v>
      </c>
      <c r="E72" s="189" t="s">
        <v>938</v>
      </c>
      <c r="F72" s="190" t="s">
        <v>745</v>
      </c>
      <c r="G72" s="191">
        <f>439.4+132.7-2.2</f>
        <v>569.89999999999986</v>
      </c>
      <c r="H72" s="191">
        <f>439.4+132.7-2.2</f>
        <v>569.89999999999986</v>
      </c>
      <c r="I72" s="192">
        <f t="shared" si="0"/>
        <v>0</v>
      </c>
      <c r="J72" s="191">
        <f>439.4+132.7-2.2</f>
        <v>569.89999999999986</v>
      </c>
      <c r="K72" s="247">
        <f>439.4+132.7-2.2</f>
        <v>569.89999999999986</v>
      </c>
      <c r="L72" s="287">
        <f t="shared" si="1"/>
        <v>0</v>
      </c>
    </row>
    <row r="73" spans="1:12" s="305" customFormat="1" ht="24" x14ac:dyDescent="0.2">
      <c r="A73" s="189" t="s">
        <v>1347</v>
      </c>
      <c r="B73" s="190"/>
      <c r="C73" s="189" t="s">
        <v>498</v>
      </c>
      <c r="D73" s="189" t="s">
        <v>507</v>
      </c>
      <c r="E73" s="189" t="s">
        <v>938</v>
      </c>
      <c r="F73" s="190" t="s">
        <v>535</v>
      </c>
      <c r="G73" s="191">
        <f>G74</f>
        <v>62.1</v>
      </c>
      <c r="H73" s="191">
        <f>H74</f>
        <v>62.1</v>
      </c>
      <c r="I73" s="192">
        <f t="shared" si="0"/>
        <v>0</v>
      </c>
      <c r="J73" s="191">
        <f>J74</f>
        <v>62.1</v>
      </c>
      <c r="K73" s="247">
        <f>K74</f>
        <v>62.1</v>
      </c>
      <c r="L73" s="287">
        <f t="shared" si="1"/>
        <v>0</v>
      </c>
    </row>
    <row r="74" spans="1:12" s="305" customFormat="1" ht="24" x14ac:dyDescent="0.2">
      <c r="A74" s="189" t="s">
        <v>534</v>
      </c>
      <c r="B74" s="190"/>
      <c r="C74" s="189" t="s">
        <v>498</v>
      </c>
      <c r="D74" s="189" t="s">
        <v>507</v>
      </c>
      <c r="E74" s="189" t="s">
        <v>938</v>
      </c>
      <c r="F74" s="190" t="s">
        <v>529</v>
      </c>
      <c r="G74" s="191">
        <f>59.9+2.2</f>
        <v>62.1</v>
      </c>
      <c r="H74" s="191">
        <f>59.9+2.2</f>
        <v>62.1</v>
      </c>
      <c r="I74" s="192">
        <f t="shared" si="0"/>
        <v>0</v>
      </c>
      <c r="J74" s="191">
        <f>59.9+2.2</f>
        <v>62.1</v>
      </c>
      <c r="K74" s="247">
        <f>59.9+2.2</f>
        <v>62.1</v>
      </c>
      <c r="L74" s="287">
        <f t="shared" si="1"/>
        <v>0</v>
      </c>
    </row>
    <row r="75" spans="1:12" ht="24" x14ac:dyDescent="0.2">
      <c r="A75" s="189" t="s">
        <v>604</v>
      </c>
      <c r="B75" s="189"/>
      <c r="C75" s="189" t="s">
        <v>498</v>
      </c>
      <c r="D75" s="189" t="s">
        <v>507</v>
      </c>
      <c r="E75" s="189" t="s">
        <v>603</v>
      </c>
      <c r="F75" s="189"/>
      <c r="G75" s="247">
        <f t="shared" ref="G75:H78" si="5">G76</f>
        <v>635048</v>
      </c>
      <c r="H75" s="247">
        <f t="shared" si="5"/>
        <v>543341.19999999995</v>
      </c>
      <c r="I75" s="248">
        <f t="shared" si="0"/>
        <v>-91706.800000000047</v>
      </c>
      <c r="J75" s="191">
        <f t="shared" ref="J75:K77" si="6">J76</f>
        <v>305716.89999999997</v>
      </c>
      <c r="K75" s="247">
        <f t="shared" si="6"/>
        <v>299516.89999999997</v>
      </c>
      <c r="L75" s="287">
        <f t="shared" si="1"/>
        <v>-6200</v>
      </c>
    </row>
    <row r="76" spans="1:12" x14ac:dyDescent="0.2">
      <c r="A76" s="189" t="s">
        <v>602</v>
      </c>
      <c r="B76" s="189"/>
      <c r="C76" s="189" t="s">
        <v>498</v>
      </c>
      <c r="D76" s="189" t="s">
        <v>507</v>
      </c>
      <c r="E76" s="189" t="s">
        <v>601</v>
      </c>
      <c r="F76" s="189"/>
      <c r="G76" s="247">
        <f t="shared" si="5"/>
        <v>635048</v>
      </c>
      <c r="H76" s="247">
        <f t="shared" si="5"/>
        <v>543341.19999999995</v>
      </c>
      <c r="I76" s="248">
        <f t="shared" si="0"/>
        <v>-91706.800000000047</v>
      </c>
      <c r="J76" s="191">
        <f t="shared" si="6"/>
        <v>305716.89999999997</v>
      </c>
      <c r="K76" s="247">
        <f t="shared" si="6"/>
        <v>299516.89999999997</v>
      </c>
      <c r="L76" s="287">
        <f t="shared" si="1"/>
        <v>-6200</v>
      </c>
    </row>
    <row r="77" spans="1:12" ht="24" x14ac:dyDescent="0.2">
      <c r="A77" s="189" t="s">
        <v>600</v>
      </c>
      <c r="B77" s="189"/>
      <c r="C77" s="189" t="s">
        <v>498</v>
      </c>
      <c r="D77" s="189" t="s">
        <v>507</v>
      </c>
      <c r="E77" s="189" t="s">
        <v>599</v>
      </c>
      <c r="F77" s="189"/>
      <c r="G77" s="247">
        <f t="shared" si="5"/>
        <v>635048</v>
      </c>
      <c r="H77" s="247">
        <f t="shared" si="5"/>
        <v>543341.19999999995</v>
      </c>
      <c r="I77" s="248">
        <f t="shared" si="0"/>
        <v>-91706.800000000047</v>
      </c>
      <c r="J77" s="191">
        <f t="shared" si="6"/>
        <v>305716.89999999997</v>
      </c>
      <c r="K77" s="247">
        <f t="shared" si="6"/>
        <v>299516.89999999997</v>
      </c>
      <c r="L77" s="287">
        <f t="shared" si="1"/>
        <v>-6200</v>
      </c>
    </row>
    <row r="78" spans="1:12" x14ac:dyDescent="0.2">
      <c r="A78" s="189" t="s">
        <v>598</v>
      </c>
      <c r="B78" s="189"/>
      <c r="C78" s="189" t="s">
        <v>498</v>
      </c>
      <c r="D78" s="189" t="s">
        <v>507</v>
      </c>
      <c r="E78" s="189" t="s">
        <v>597</v>
      </c>
      <c r="F78" s="189"/>
      <c r="G78" s="247">
        <f t="shared" si="5"/>
        <v>635048</v>
      </c>
      <c r="H78" s="247">
        <f t="shared" si="5"/>
        <v>543341.19999999995</v>
      </c>
      <c r="I78" s="248">
        <f t="shared" si="0"/>
        <v>-91706.800000000047</v>
      </c>
      <c r="J78" s="191">
        <f>J79+J81+J83</f>
        <v>305716.89999999997</v>
      </c>
      <c r="K78" s="247">
        <f>K79+K81+K83</f>
        <v>299516.89999999997</v>
      </c>
      <c r="L78" s="287">
        <f t="shared" si="1"/>
        <v>-6200</v>
      </c>
    </row>
    <row r="79" spans="1:12" ht="36" x14ac:dyDescent="0.2">
      <c r="A79" s="189" t="s">
        <v>1348</v>
      </c>
      <c r="B79" s="189"/>
      <c r="C79" s="189" t="s">
        <v>498</v>
      </c>
      <c r="D79" s="189" t="s">
        <v>507</v>
      </c>
      <c r="E79" s="189" t="s">
        <v>597</v>
      </c>
      <c r="F79" s="189" t="s">
        <v>556</v>
      </c>
      <c r="G79" s="247">
        <f>G80+G81+G83</f>
        <v>635048</v>
      </c>
      <c r="H79" s="247">
        <f>H80+H81+H83</f>
        <v>543341.19999999995</v>
      </c>
      <c r="I79" s="248">
        <f t="shared" si="0"/>
        <v>-91706.800000000047</v>
      </c>
      <c r="J79" s="191">
        <f>J80</f>
        <v>226630.3</v>
      </c>
      <c r="K79" s="247">
        <f>K80</f>
        <v>220430.3</v>
      </c>
      <c r="L79" s="287">
        <f t="shared" si="1"/>
        <v>-6200</v>
      </c>
    </row>
    <row r="80" spans="1:12" x14ac:dyDescent="0.2">
      <c r="A80" s="189" t="s">
        <v>749</v>
      </c>
      <c r="B80" s="189"/>
      <c r="C80" s="189" t="s">
        <v>498</v>
      </c>
      <c r="D80" s="189" t="s">
        <v>507</v>
      </c>
      <c r="E80" s="189" t="s">
        <v>597</v>
      </c>
      <c r="F80" s="189" t="s">
        <v>745</v>
      </c>
      <c r="G80" s="247">
        <f>417080-13946.6+152828</f>
        <v>555961.4</v>
      </c>
      <c r="H80" s="247">
        <f>417080-13946.6+152828-5000-86506.8-200</f>
        <v>464254.60000000003</v>
      </c>
      <c r="I80" s="248">
        <f t="shared" si="0"/>
        <v>-91706.799999999988</v>
      </c>
      <c r="J80" s="191">
        <f>417080-90449.7-100000</f>
        <v>226630.3</v>
      </c>
      <c r="K80" s="247">
        <f>417080-90449.7-100000-200-6000</f>
        <v>220430.3</v>
      </c>
      <c r="L80" s="287">
        <f t="shared" si="1"/>
        <v>-6200</v>
      </c>
    </row>
    <row r="81" spans="1:12" ht="24" x14ac:dyDescent="0.2">
      <c r="A81" s="189" t="s">
        <v>1347</v>
      </c>
      <c r="B81" s="189"/>
      <c r="C81" s="189" t="s">
        <v>498</v>
      </c>
      <c r="D81" s="189" t="s">
        <v>507</v>
      </c>
      <c r="E81" s="189" t="s">
        <v>597</v>
      </c>
      <c r="F81" s="189" t="s">
        <v>535</v>
      </c>
      <c r="G81" s="247">
        <v>77223.899999999994</v>
      </c>
      <c r="H81" s="247">
        <v>77223.899999999994</v>
      </c>
      <c r="I81" s="248">
        <f t="shared" si="0"/>
        <v>0</v>
      </c>
      <c r="J81" s="191">
        <v>77223.899999999994</v>
      </c>
      <c r="K81" s="247">
        <v>77223.899999999994</v>
      </c>
      <c r="L81" s="287">
        <f t="shared" si="1"/>
        <v>0</v>
      </c>
    </row>
    <row r="82" spans="1:12" ht="24" x14ac:dyDescent="0.2">
      <c r="A82" s="189" t="s">
        <v>534</v>
      </c>
      <c r="B82" s="189"/>
      <c r="C82" s="189" t="s">
        <v>498</v>
      </c>
      <c r="D82" s="189" t="s">
        <v>507</v>
      </c>
      <c r="E82" s="189" t="s">
        <v>597</v>
      </c>
      <c r="F82" s="189" t="s">
        <v>529</v>
      </c>
      <c r="G82" s="247">
        <v>77223.899999999994</v>
      </c>
      <c r="H82" s="247">
        <v>77223.899999999994</v>
      </c>
      <c r="I82" s="248">
        <f t="shared" si="0"/>
        <v>0</v>
      </c>
      <c r="J82" s="191">
        <v>77223.899999999994</v>
      </c>
      <c r="K82" s="247">
        <v>77223.899999999994</v>
      </c>
      <c r="L82" s="287">
        <f t="shared" si="1"/>
        <v>0</v>
      </c>
    </row>
    <row r="83" spans="1:12" x14ac:dyDescent="0.2">
      <c r="A83" s="189" t="s">
        <v>615</v>
      </c>
      <c r="B83" s="189"/>
      <c r="C83" s="189" t="s">
        <v>498</v>
      </c>
      <c r="D83" s="189" t="s">
        <v>507</v>
      </c>
      <c r="E83" s="189" t="s">
        <v>597</v>
      </c>
      <c r="F83" s="189" t="s">
        <v>509</v>
      </c>
      <c r="G83" s="247">
        <v>1862.7</v>
      </c>
      <c r="H83" s="247">
        <v>1862.7</v>
      </c>
      <c r="I83" s="248">
        <f t="shared" si="0"/>
        <v>0</v>
      </c>
      <c r="J83" s="191">
        <v>1862.7</v>
      </c>
      <c r="K83" s="247">
        <v>1862.7</v>
      </c>
      <c r="L83" s="287">
        <f t="shared" si="1"/>
        <v>0</v>
      </c>
    </row>
    <row r="84" spans="1:12" x14ac:dyDescent="0.2">
      <c r="A84" s="189" t="s">
        <v>614</v>
      </c>
      <c r="B84" s="189"/>
      <c r="C84" s="189" t="s">
        <v>498</v>
      </c>
      <c r="D84" s="189" t="s">
        <v>507</v>
      </c>
      <c r="E84" s="189" t="s">
        <v>597</v>
      </c>
      <c r="F84" s="189" t="s">
        <v>613</v>
      </c>
      <c r="G84" s="247">
        <v>1862.7</v>
      </c>
      <c r="H84" s="247">
        <v>1862.7</v>
      </c>
      <c r="I84" s="248">
        <f t="shared" si="0"/>
        <v>0</v>
      </c>
      <c r="J84" s="191">
        <v>1862.7</v>
      </c>
      <c r="K84" s="247">
        <v>1862.7</v>
      </c>
      <c r="L84" s="287">
        <f t="shared" si="1"/>
        <v>0</v>
      </c>
    </row>
    <row r="85" spans="1:12" s="305" customFormat="1" x14ac:dyDescent="0.2">
      <c r="A85" s="189" t="s">
        <v>994</v>
      </c>
      <c r="B85" s="189"/>
      <c r="C85" s="189" t="s">
        <v>498</v>
      </c>
      <c r="D85" s="189" t="s">
        <v>507</v>
      </c>
      <c r="E85" s="189" t="s">
        <v>993</v>
      </c>
      <c r="F85" s="189"/>
      <c r="G85" s="247">
        <f t="shared" ref="G85:H89" si="7">G86</f>
        <v>2845</v>
      </c>
      <c r="H85" s="247">
        <f t="shared" si="7"/>
        <v>2845</v>
      </c>
      <c r="I85" s="248">
        <f t="shared" si="0"/>
        <v>0</v>
      </c>
      <c r="J85" s="191">
        <f t="shared" ref="J85:K89" si="8">J86</f>
        <v>2845</v>
      </c>
      <c r="K85" s="247">
        <f t="shared" si="8"/>
        <v>2845</v>
      </c>
      <c r="L85" s="287">
        <f t="shared" si="1"/>
        <v>0</v>
      </c>
    </row>
    <row r="86" spans="1:12" s="305" customFormat="1" x14ac:dyDescent="0.2">
      <c r="A86" s="189" t="s">
        <v>992</v>
      </c>
      <c r="B86" s="189"/>
      <c r="C86" s="189" t="s">
        <v>498</v>
      </c>
      <c r="D86" s="189" t="s">
        <v>507</v>
      </c>
      <c r="E86" s="189" t="s">
        <v>991</v>
      </c>
      <c r="F86" s="189"/>
      <c r="G86" s="247">
        <f t="shared" si="7"/>
        <v>2845</v>
      </c>
      <c r="H86" s="247">
        <f t="shared" si="7"/>
        <v>2845</v>
      </c>
      <c r="I86" s="248">
        <f t="shared" ref="I86:I90" si="9">H86-G86</f>
        <v>0</v>
      </c>
      <c r="J86" s="191">
        <f t="shared" si="8"/>
        <v>2845</v>
      </c>
      <c r="K86" s="247">
        <f t="shared" si="8"/>
        <v>2845</v>
      </c>
      <c r="L86" s="287">
        <f t="shared" ref="L86:L90" si="10">K86-J86</f>
        <v>0</v>
      </c>
    </row>
    <row r="87" spans="1:12" s="305" customFormat="1" ht="36" x14ac:dyDescent="0.2">
      <c r="A87" s="189" t="s">
        <v>1050</v>
      </c>
      <c r="B87" s="189"/>
      <c r="C87" s="189" t="s">
        <v>498</v>
      </c>
      <c r="D87" s="189" t="s">
        <v>507</v>
      </c>
      <c r="E87" s="189" t="s">
        <v>1049</v>
      </c>
      <c r="F87" s="189"/>
      <c r="G87" s="247">
        <f t="shared" si="7"/>
        <v>2845</v>
      </c>
      <c r="H87" s="247">
        <f t="shared" si="7"/>
        <v>2845</v>
      </c>
      <c r="I87" s="248">
        <f t="shared" si="9"/>
        <v>0</v>
      </c>
      <c r="J87" s="191">
        <f t="shared" si="8"/>
        <v>2845</v>
      </c>
      <c r="K87" s="247">
        <f t="shared" si="8"/>
        <v>2845</v>
      </c>
      <c r="L87" s="287">
        <f t="shared" si="10"/>
        <v>0</v>
      </c>
    </row>
    <row r="88" spans="1:12" s="305" customFormat="1" ht="96" x14ac:dyDescent="0.2">
      <c r="A88" s="189" t="s">
        <v>1048</v>
      </c>
      <c r="B88" s="189"/>
      <c r="C88" s="189" t="s">
        <v>498</v>
      </c>
      <c r="D88" s="189" t="s">
        <v>507</v>
      </c>
      <c r="E88" s="189" t="s">
        <v>1047</v>
      </c>
      <c r="F88" s="189"/>
      <c r="G88" s="247">
        <f t="shared" si="7"/>
        <v>2845</v>
      </c>
      <c r="H88" s="247">
        <f t="shared" si="7"/>
        <v>2845</v>
      </c>
      <c r="I88" s="248">
        <f t="shared" si="9"/>
        <v>0</v>
      </c>
      <c r="J88" s="191">
        <f t="shared" si="8"/>
        <v>2845</v>
      </c>
      <c r="K88" s="247">
        <f t="shared" si="8"/>
        <v>2845</v>
      </c>
      <c r="L88" s="287">
        <f t="shared" si="10"/>
        <v>0</v>
      </c>
    </row>
    <row r="89" spans="1:12" s="305" customFormat="1" ht="36" x14ac:dyDescent="0.2">
      <c r="A89" s="189" t="s">
        <v>1348</v>
      </c>
      <c r="B89" s="189"/>
      <c r="C89" s="189" t="s">
        <v>498</v>
      </c>
      <c r="D89" s="189" t="s">
        <v>507</v>
      </c>
      <c r="E89" s="189" t="s">
        <v>1047</v>
      </c>
      <c r="F89" s="189">
        <v>100</v>
      </c>
      <c r="G89" s="247">
        <f t="shared" si="7"/>
        <v>2845</v>
      </c>
      <c r="H89" s="247">
        <f t="shared" si="7"/>
        <v>2845</v>
      </c>
      <c r="I89" s="248">
        <f t="shared" si="9"/>
        <v>0</v>
      </c>
      <c r="J89" s="191">
        <f t="shared" si="8"/>
        <v>2845</v>
      </c>
      <c r="K89" s="247">
        <f t="shared" si="8"/>
        <v>2845</v>
      </c>
      <c r="L89" s="287">
        <f t="shared" si="10"/>
        <v>0</v>
      </c>
    </row>
    <row r="90" spans="1:12" s="305" customFormat="1" x14ac:dyDescent="0.2">
      <c r="A90" s="189" t="s">
        <v>749</v>
      </c>
      <c r="B90" s="189"/>
      <c r="C90" s="189" t="s">
        <v>498</v>
      </c>
      <c r="D90" s="189" t="s">
        <v>507</v>
      </c>
      <c r="E90" s="189" t="s">
        <v>1047</v>
      </c>
      <c r="F90" s="189">
        <v>120</v>
      </c>
      <c r="G90" s="247">
        <f>2185.1+659.9</f>
        <v>2845</v>
      </c>
      <c r="H90" s="247">
        <f>2185.1+659.9</f>
        <v>2845</v>
      </c>
      <c r="I90" s="248">
        <f t="shared" si="9"/>
        <v>0</v>
      </c>
      <c r="J90" s="191">
        <f>2185.1+659.9</f>
        <v>2845</v>
      </c>
      <c r="K90" s="247">
        <f>2185.1+659.9</f>
        <v>2845</v>
      </c>
      <c r="L90" s="287">
        <f t="shared" si="10"/>
        <v>0</v>
      </c>
    </row>
    <row r="91" spans="1:12" x14ac:dyDescent="0.2">
      <c r="A91" s="189" t="s">
        <v>595</v>
      </c>
      <c r="B91" s="189"/>
      <c r="C91" s="189" t="s">
        <v>498</v>
      </c>
      <c r="D91" s="189" t="s">
        <v>507</v>
      </c>
      <c r="E91" s="189" t="s">
        <v>594</v>
      </c>
      <c r="F91" s="189"/>
      <c r="G91" s="247">
        <v>1048.8</v>
      </c>
      <c r="H91" s="247">
        <v>1048.8</v>
      </c>
      <c r="I91" s="248">
        <f t="shared" ref="I91:I173" si="11">H91-G91</f>
        <v>0</v>
      </c>
      <c r="J91" s="191">
        <v>1048.8</v>
      </c>
      <c r="K91" s="247">
        <v>1048.8</v>
      </c>
      <c r="L91" s="287">
        <f t="shared" ref="L91:L173" si="12">K91-J91</f>
        <v>0</v>
      </c>
    </row>
    <row r="92" spans="1:12" ht="24" x14ac:dyDescent="0.2">
      <c r="A92" s="189" t="s">
        <v>871</v>
      </c>
      <c r="B92" s="189"/>
      <c r="C92" s="189" t="s">
        <v>498</v>
      </c>
      <c r="D92" s="189" t="s">
        <v>507</v>
      </c>
      <c r="E92" s="189" t="s">
        <v>870</v>
      </c>
      <c r="F92" s="189"/>
      <c r="G92" s="247">
        <v>1048.8</v>
      </c>
      <c r="H92" s="247">
        <v>1048.8</v>
      </c>
      <c r="I92" s="248">
        <f t="shared" si="11"/>
        <v>0</v>
      </c>
      <c r="J92" s="191">
        <v>1048.8</v>
      </c>
      <c r="K92" s="247">
        <v>1048.8</v>
      </c>
      <c r="L92" s="287">
        <f t="shared" si="12"/>
        <v>0</v>
      </c>
    </row>
    <row r="93" spans="1:12" x14ac:dyDescent="0.2">
      <c r="A93" s="189" t="s">
        <v>553</v>
      </c>
      <c r="B93" s="189"/>
      <c r="C93" s="189" t="s">
        <v>498</v>
      </c>
      <c r="D93" s="189" t="s">
        <v>507</v>
      </c>
      <c r="E93" s="189" t="s">
        <v>870</v>
      </c>
      <c r="F93" s="189" t="s">
        <v>552</v>
      </c>
      <c r="G93" s="247">
        <v>1048.8</v>
      </c>
      <c r="H93" s="247">
        <v>1048.8</v>
      </c>
      <c r="I93" s="248">
        <f t="shared" si="11"/>
        <v>0</v>
      </c>
      <c r="J93" s="191">
        <v>1048.8</v>
      </c>
      <c r="K93" s="247">
        <v>1048.8</v>
      </c>
      <c r="L93" s="287">
        <f t="shared" si="12"/>
        <v>0</v>
      </c>
    </row>
    <row r="94" spans="1:12" x14ac:dyDescent="0.2">
      <c r="A94" s="189" t="s">
        <v>936</v>
      </c>
      <c r="B94" s="189"/>
      <c r="C94" s="189" t="s">
        <v>498</v>
      </c>
      <c r="D94" s="189" t="s">
        <v>507</v>
      </c>
      <c r="E94" s="189" t="s">
        <v>870</v>
      </c>
      <c r="F94" s="189" t="s">
        <v>934</v>
      </c>
      <c r="G94" s="247">
        <v>1048.8</v>
      </c>
      <c r="H94" s="247">
        <v>1048.8</v>
      </c>
      <c r="I94" s="248">
        <f t="shared" si="11"/>
        <v>0</v>
      </c>
      <c r="J94" s="191">
        <v>1048.8</v>
      </c>
      <c r="K94" s="247">
        <v>1048.8</v>
      </c>
      <c r="L94" s="287">
        <f t="shared" si="12"/>
        <v>0</v>
      </c>
    </row>
    <row r="95" spans="1:12" x14ac:dyDescent="0.2">
      <c r="A95" s="189" t="s">
        <v>1241</v>
      </c>
      <c r="B95" s="189"/>
      <c r="C95" s="189" t="s">
        <v>498</v>
      </c>
      <c r="D95" s="189" t="s">
        <v>532</v>
      </c>
      <c r="E95" s="189"/>
      <c r="F95" s="189"/>
      <c r="G95" s="247">
        <f>G96</f>
        <v>11118.8</v>
      </c>
      <c r="H95" s="247">
        <f>H96</f>
        <v>11118.8</v>
      </c>
      <c r="I95" s="248">
        <f t="shared" si="11"/>
        <v>0</v>
      </c>
      <c r="J95" s="191">
        <v>13348.8</v>
      </c>
      <c r="K95" s="247">
        <v>13348.8</v>
      </c>
      <c r="L95" s="287">
        <f t="shared" si="12"/>
        <v>0</v>
      </c>
    </row>
    <row r="96" spans="1:12" x14ac:dyDescent="0.2">
      <c r="A96" s="189" t="s">
        <v>595</v>
      </c>
      <c r="B96" s="189"/>
      <c r="C96" s="189" t="s">
        <v>498</v>
      </c>
      <c r="D96" s="189" t="s">
        <v>532</v>
      </c>
      <c r="E96" s="189" t="s">
        <v>594</v>
      </c>
      <c r="F96" s="189"/>
      <c r="G96" s="247">
        <f>G97+G100</f>
        <v>11118.8</v>
      </c>
      <c r="H96" s="247">
        <f>H97+H100</f>
        <v>11118.8</v>
      </c>
      <c r="I96" s="248">
        <f t="shared" si="11"/>
        <v>0</v>
      </c>
      <c r="J96" s="191">
        <v>13348.8</v>
      </c>
      <c r="K96" s="247">
        <v>13348.8</v>
      </c>
      <c r="L96" s="287">
        <f t="shared" si="12"/>
        <v>0</v>
      </c>
    </row>
    <row r="97" spans="1:12" x14ac:dyDescent="0.2">
      <c r="A97" s="189" t="s">
        <v>1240</v>
      </c>
      <c r="B97" s="189"/>
      <c r="C97" s="189" t="s">
        <v>498</v>
      </c>
      <c r="D97" s="189" t="s">
        <v>532</v>
      </c>
      <c r="E97" s="189" t="s">
        <v>1239</v>
      </c>
      <c r="F97" s="189"/>
      <c r="G97" s="247">
        <f>G98</f>
        <v>10118.799999999999</v>
      </c>
      <c r="H97" s="247">
        <f>H98</f>
        <v>10118.799999999999</v>
      </c>
      <c r="I97" s="248">
        <f t="shared" si="11"/>
        <v>0</v>
      </c>
      <c r="J97" s="191">
        <v>12348.8</v>
      </c>
      <c r="K97" s="247">
        <v>12348.8</v>
      </c>
      <c r="L97" s="287">
        <f t="shared" si="12"/>
        <v>0</v>
      </c>
    </row>
    <row r="98" spans="1:12" x14ac:dyDescent="0.2">
      <c r="A98" s="189" t="s">
        <v>615</v>
      </c>
      <c r="B98" s="189"/>
      <c r="C98" s="189" t="s">
        <v>498</v>
      </c>
      <c r="D98" s="189" t="s">
        <v>532</v>
      </c>
      <c r="E98" s="189" t="s">
        <v>1239</v>
      </c>
      <c r="F98" s="189" t="s">
        <v>509</v>
      </c>
      <c r="G98" s="247">
        <f>G99</f>
        <v>10118.799999999999</v>
      </c>
      <c r="H98" s="247">
        <f>H99</f>
        <v>10118.799999999999</v>
      </c>
      <c r="I98" s="248">
        <f t="shared" si="11"/>
        <v>0</v>
      </c>
      <c r="J98" s="191">
        <v>12348.8</v>
      </c>
      <c r="K98" s="247">
        <v>12348.8</v>
      </c>
      <c r="L98" s="287">
        <f t="shared" si="12"/>
        <v>0</v>
      </c>
    </row>
    <row r="99" spans="1:12" x14ac:dyDescent="0.2">
      <c r="A99" s="189" t="s">
        <v>1237</v>
      </c>
      <c r="B99" s="189"/>
      <c r="C99" s="189" t="s">
        <v>498</v>
      </c>
      <c r="D99" s="189" t="s">
        <v>532</v>
      </c>
      <c r="E99" s="189" t="s">
        <v>1239</v>
      </c>
      <c r="F99" s="189" t="s">
        <v>1235</v>
      </c>
      <c r="G99" s="247">
        <f>10118.8</f>
        <v>10118.799999999999</v>
      </c>
      <c r="H99" s="247">
        <f>10118.8</f>
        <v>10118.799999999999</v>
      </c>
      <c r="I99" s="248">
        <f t="shared" si="11"/>
        <v>0</v>
      </c>
      <c r="J99" s="191">
        <v>12348.8</v>
      </c>
      <c r="K99" s="247">
        <v>12348.8</v>
      </c>
      <c r="L99" s="287">
        <f t="shared" si="12"/>
        <v>0</v>
      </c>
    </row>
    <row r="100" spans="1:12" ht="24" x14ac:dyDescent="0.2">
      <c r="A100" s="189" t="s">
        <v>1238</v>
      </c>
      <c r="B100" s="189"/>
      <c r="C100" s="189" t="s">
        <v>498</v>
      </c>
      <c r="D100" s="189" t="s">
        <v>532</v>
      </c>
      <c r="E100" s="189" t="s">
        <v>1236</v>
      </c>
      <c r="F100" s="189"/>
      <c r="G100" s="247">
        <v>1000</v>
      </c>
      <c r="H100" s="247">
        <v>1000</v>
      </c>
      <c r="I100" s="248">
        <f t="shared" si="11"/>
        <v>0</v>
      </c>
      <c r="J100" s="191">
        <v>1000</v>
      </c>
      <c r="K100" s="247">
        <v>1000</v>
      </c>
      <c r="L100" s="287">
        <f t="shared" si="12"/>
        <v>0</v>
      </c>
    </row>
    <row r="101" spans="1:12" x14ac:dyDescent="0.2">
      <c r="A101" s="189" t="s">
        <v>615</v>
      </c>
      <c r="B101" s="189"/>
      <c r="C101" s="189" t="s">
        <v>498</v>
      </c>
      <c r="D101" s="189" t="s">
        <v>532</v>
      </c>
      <c r="E101" s="189" t="s">
        <v>1236</v>
      </c>
      <c r="F101" s="189" t="s">
        <v>509</v>
      </c>
      <c r="G101" s="247">
        <v>1000</v>
      </c>
      <c r="H101" s="247">
        <v>1000</v>
      </c>
      <c r="I101" s="248">
        <f t="shared" si="11"/>
        <v>0</v>
      </c>
      <c r="J101" s="191">
        <v>1000</v>
      </c>
      <c r="K101" s="247">
        <v>1000</v>
      </c>
      <c r="L101" s="287">
        <f t="shared" si="12"/>
        <v>0</v>
      </c>
    </row>
    <row r="102" spans="1:12" x14ac:dyDescent="0.2">
      <c r="A102" s="189" t="s">
        <v>1237</v>
      </c>
      <c r="B102" s="189"/>
      <c r="C102" s="189" t="s">
        <v>498</v>
      </c>
      <c r="D102" s="189" t="s">
        <v>532</v>
      </c>
      <c r="E102" s="189" t="s">
        <v>1236</v>
      </c>
      <c r="F102" s="189" t="s">
        <v>1235</v>
      </c>
      <c r="G102" s="247">
        <v>1000</v>
      </c>
      <c r="H102" s="247">
        <v>1000</v>
      </c>
      <c r="I102" s="248">
        <f t="shared" si="11"/>
        <v>0</v>
      </c>
      <c r="J102" s="191">
        <v>1000</v>
      </c>
      <c r="K102" s="247">
        <v>1000</v>
      </c>
      <c r="L102" s="287">
        <f t="shared" si="12"/>
        <v>0</v>
      </c>
    </row>
    <row r="103" spans="1:12" x14ac:dyDescent="0.2">
      <c r="A103" s="189" t="s">
        <v>596</v>
      </c>
      <c r="B103" s="189"/>
      <c r="C103" s="189" t="s">
        <v>498</v>
      </c>
      <c r="D103" s="189" t="s">
        <v>592</v>
      </c>
      <c r="E103" s="189"/>
      <c r="F103" s="189"/>
      <c r="G103" s="247">
        <f>G110+G147+G158+G170+G164+G104</f>
        <v>855180.80000000005</v>
      </c>
      <c r="H103" s="247">
        <f>H110+H147+H158+H170+H164+H104</f>
        <v>855180.80000000005</v>
      </c>
      <c r="I103" s="248">
        <f t="shared" si="11"/>
        <v>0</v>
      </c>
      <c r="J103" s="191">
        <f>J110+J147+J158+J170+J164+J104</f>
        <v>856924.8</v>
      </c>
      <c r="K103" s="247">
        <f>K110+K147+K158+K170+K164+K104</f>
        <v>856924.8</v>
      </c>
      <c r="L103" s="287">
        <f t="shared" si="12"/>
        <v>0</v>
      </c>
    </row>
    <row r="104" spans="1:12" s="374" customFormat="1" x14ac:dyDescent="0.2">
      <c r="A104" s="189" t="s">
        <v>666</v>
      </c>
      <c r="B104" s="190"/>
      <c r="C104" s="189" t="s">
        <v>498</v>
      </c>
      <c r="D104" s="189" t="s">
        <v>592</v>
      </c>
      <c r="E104" s="189" t="s">
        <v>665</v>
      </c>
      <c r="F104" s="190"/>
      <c r="G104" s="191">
        <f t="shared" ref="G104:H108" si="13">G105</f>
        <v>4653</v>
      </c>
      <c r="H104" s="191">
        <f t="shared" si="13"/>
        <v>4653</v>
      </c>
      <c r="I104" s="192">
        <f t="shared" si="11"/>
        <v>0</v>
      </c>
      <c r="J104" s="191">
        <f t="shared" ref="J104:K108" si="14">J105</f>
        <v>4653</v>
      </c>
      <c r="K104" s="247">
        <f t="shared" si="14"/>
        <v>4653</v>
      </c>
      <c r="L104" s="287">
        <f t="shared" si="12"/>
        <v>0</v>
      </c>
    </row>
    <row r="105" spans="1:12" s="374" customFormat="1" x14ac:dyDescent="0.2">
      <c r="A105" s="189" t="s">
        <v>664</v>
      </c>
      <c r="B105" s="190"/>
      <c r="C105" s="189" t="s">
        <v>498</v>
      </c>
      <c r="D105" s="189" t="s">
        <v>592</v>
      </c>
      <c r="E105" s="189" t="s">
        <v>663</v>
      </c>
      <c r="F105" s="190"/>
      <c r="G105" s="191">
        <f t="shared" si="13"/>
        <v>4653</v>
      </c>
      <c r="H105" s="191">
        <f t="shared" si="13"/>
        <v>4653</v>
      </c>
      <c r="I105" s="192">
        <f t="shared" si="11"/>
        <v>0</v>
      </c>
      <c r="J105" s="191">
        <f t="shared" si="14"/>
        <v>4653</v>
      </c>
      <c r="K105" s="247">
        <f t="shared" si="14"/>
        <v>4653</v>
      </c>
      <c r="L105" s="287">
        <f t="shared" si="12"/>
        <v>0</v>
      </c>
    </row>
    <row r="106" spans="1:12" s="374" customFormat="1" ht="24" x14ac:dyDescent="0.2">
      <c r="A106" s="189" t="s">
        <v>662</v>
      </c>
      <c r="B106" s="190"/>
      <c r="C106" s="189" t="s">
        <v>498</v>
      </c>
      <c r="D106" s="189" t="s">
        <v>592</v>
      </c>
      <c r="E106" s="189" t="s">
        <v>661</v>
      </c>
      <c r="F106" s="190"/>
      <c r="G106" s="191">
        <f t="shared" si="13"/>
        <v>4653</v>
      </c>
      <c r="H106" s="191">
        <f t="shared" si="13"/>
        <v>4653</v>
      </c>
      <c r="I106" s="192">
        <f t="shared" si="11"/>
        <v>0</v>
      </c>
      <c r="J106" s="191">
        <f t="shared" si="14"/>
        <v>4653</v>
      </c>
      <c r="K106" s="247">
        <f t="shared" si="14"/>
        <v>4653</v>
      </c>
      <c r="L106" s="287">
        <f t="shared" si="12"/>
        <v>0</v>
      </c>
    </row>
    <row r="107" spans="1:12" s="374" customFormat="1" ht="48" x14ac:dyDescent="0.2">
      <c r="A107" s="189" t="s">
        <v>660</v>
      </c>
      <c r="B107" s="190"/>
      <c r="C107" s="189" t="s">
        <v>498</v>
      </c>
      <c r="D107" s="189" t="s">
        <v>592</v>
      </c>
      <c r="E107" s="189" t="s">
        <v>656</v>
      </c>
      <c r="F107" s="190"/>
      <c r="G107" s="191">
        <f t="shared" si="13"/>
        <v>4653</v>
      </c>
      <c r="H107" s="191">
        <f t="shared" si="13"/>
        <v>4653</v>
      </c>
      <c r="I107" s="192">
        <f t="shared" si="11"/>
        <v>0</v>
      </c>
      <c r="J107" s="191">
        <f t="shared" si="14"/>
        <v>4653</v>
      </c>
      <c r="K107" s="247">
        <f t="shared" si="14"/>
        <v>4653</v>
      </c>
      <c r="L107" s="287">
        <f t="shared" si="12"/>
        <v>0</v>
      </c>
    </row>
    <row r="108" spans="1:12" s="374" customFormat="1" ht="36" x14ac:dyDescent="0.2">
      <c r="A108" s="189" t="s">
        <v>1348</v>
      </c>
      <c r="B108" s="190"/>
      <c r="C108" s="189" t="s">
        <v>498</v>
      </c>
      <c r="D108" s="189" t="s">
        <v>592</v>
      </c>
      <c r="E108" s="189" t="s">
        <v>656</v>
      </c>
      <c r="F108" s="190" t="s">
        <v>556</v>
      </c>
      <c r="G108" s="191">
        <f t="shared" si="13"/>
        <v>4653</v>
      </c>
      <c r="H108" s="191">
        <f t="shared" si="13"/>
        <v>4653</v>
      </c>
      <c r="I108" s="192">
        <f t="shared" si="11"/>
        <v>0</v>
      </c>
      <c r="J108" s="191">
        <f t="shared" si="14"/>
        <v>4653</v>
      </c>
      <c r="K108" s="247">
        <f t="shared" si="14"/>
        <v>4653</v>
      </c>
      <c r="L108" s="287">
        <f t="shared" si="12"/>
        <v>0</v>
      </c>
    </row>
    <row r="109" spans="1:12" s="374" customFormat="1" x14ac:dyDescent="0.2">
      <c r="A109" s="189" t="s">
        <v>555</v>
      </c>
      <c r="B109" s="190"/>
      <c r="C109" s="189" t="s">
        <v>498</v>
      </c>
      <c r="D109" s="189" t="s">
        <v>592</v>
      </c>
      <c r="E109" s="189" t="s">
        <v>656</v>
      </c>
      <c r="F109" s="190" t="s">
        <v>554</v>
      </c>
      <c r="G109" s="191">
        <v>4653</v>
      </c>
      <c r="H109" s="191">
        <v>4653</v>
      </c>
      <c r="I109" s="192">
        <f t="shared" si="11"/>
        <v>0</v>
      </c>
      <c r="J109" s="191">
        <v>4653</v>
      </c>
      <c r="K109" s="247">
        <v>4653</v>
      </c>
      <c r="L109" s="287">
        <f t="shared" si="12"/>
        <v>0</v>
      </c>
    </row>
    <row r="110" spans="1:12" ht="24" x14ac:dyDescent="0.2">
      <c r="A110" s="189" t="s">
        <v>604</v>
      </c>
      <c r="B110" s="189"/>
      <c r="C110" s="189" t="s">
        <v>498</v>
      </c>
      <c r="D110" s="189" t="s">
        <v>592</v>
      </c>
      <c r="E110" s="189" t="s">
        <v>603</v>
      </c>
      <c r="F110" s="189"/>
      <c r="G110" s="247">
        <f>G111+G120</f>
        <v>642142.9</v>
      </c>
      <c r="H110" s="247">
        <f>H111+H120</f>
        <v>642142.9</v>
      </c>
      <c r="I110" s="248">
        <f t="shared" si="11"/>
        <v>0</v>
      </c>
      <c r="J110" s="191">
        <f>J111+J120</f>
        <v>642142.9</v>
      </c>
      <c r="K110" s="247">
        <f>K111+K120</f>
        <v>642142.9</v>
      </c>
      <c r="L110" s="287">
        <f t="shared" si="12"/>
        <v>0</v>
      </c>
    </row>
    <row r="111" spans="1:12" x14ac:dyDescent="0.2">
      <c r="A111" s="189" t="s">
        <v>1042</v>
      </c>
      <c r="B111" s="189"/>
      <c r="C111" s="189" t="s">
        <v>498</v>
      </c>
      <c r="D111" s="189" t="s">
        <v>592</v>
      </c>
      <c r="E111" s="189" t="s">
        <v>1041</v>
      </c>
      <c r="F111" s="189"/>
      <c r="G111" s="247">
        <v>195520.7</v>
      </c>
      <c r="H111" s="247">
        <v>195520.7</v>
      </c>
      <c r="I111" s="248">
        <f t="shared" si="11"/>
        <v>0</v>
      </c>
      <c r="J111" s="191">
        <v>195520.7</v>
      </c>
      <c r="K111" s="247">
        <v>195520.7</v>
      </c>
      <c r="L111" s="287">
        <f t="shared" si="12"/>
        <v>0</v>
      </c>
    </row>
    <row r="112" spans="1:12" ht="24" x14ac:dyDescent="0.2">
      <c r="A112" s="189" t="s">
        <v>1040</v>
      </c>
      <c r="B112" s="189"/>
      <c r="C112" s="189" t="s">
        <v>498</v>
      </c>
      <c r="D112" s="189" t="s">
        <v>592</v>
      </c>
      <c r="E112" s="189" t="s">
        <v>1039</v>
      </c>
      <c r="F112" s="189"/>
      <c r="G112" s="247">
        <v>193520.7</v>
      </c>
      <c r="H112" s="247">
        <v>193520.7</v>
      </c>
      <c r="I112" s="248">
        <f t="shared" si="11"/>
        <v>0</v>
      </c>
      <c r="J112" s="191">
        <v>193520.7</v>
      </c>
      <c r="K112" s="247">
        <v>193520.7</v>
      </c>
      <c r="L112" s="287">
        <f t="shared" si="12"/>
        <v>0</v>
      </c>
    </row>
    <row r="113" spans="1:12" ht="24" x14ac:dyDescent="0.2">
      <c r="A113" s="189" t="s">
        <v>1234</v>
      </c>
      <c r="B113" s="189"/>
      <c r="C113" s="189" t="s">
        <v>498</v>
      </c>
      <c r="D113" s="189" t="s">
        <v>592</v>
      </c>
      <c r="E113" s="189" t="s">
        <v>1233</v>
      </c>
      <c r="F113" s="189"/>
      <c r="G113" s="247">
        <v>193520.7</v>
      </c>
      <c r="H113" s="247">
        <v>193520.7</v>
      </c>
      <c r="I113" s="248">
        <f t="shared" si="11"/>
        <v>0</v>
      </c>
      <c r="J113" s="191">
        <v>193520.7</v>
      </c>
      <c r="K113" s="247">
        <v>193520.7</v>
      </c>
      <c r="L113" s="287">
        <f t="shared" si="12"/>
        <v>0</v>
      </c>
    </row>
    <row r="114" spans="1:12" ht="24" x14ac:dyDescent="0.2">
      <c r="A114" s="189" t="s">
        <v>547</v>
      </c>
      <c r="B114" s="189"/>
      <c r="C114" s="189" t="s">
        <v>498</v>
      </c>
      <c r="D114" s="189" t="s">
        <v>592</v>
      </c>
      <c r="E114" s="189" t="s">
        <v>1233</v>
      </c>
      <c r="F114" s="189" t="s">
        <v>519</v>
      </c>
      <c r="G114" s="247">
        <v>193520.7</v>
      </c>
      <c r="H114" s="247">
        <v>193520.7</v>
      </c>
      <c r="I114" s="248">
        <f t="shared" si="11"/>
        <v>0</v>
      </c>
      <c r="J114" s="191">
        <v>193520.7</v>
      </c>
      <c r="K114" s="247">
        <v>193520.7</v>
      </c>
      <c r="L114" s="287">
        <f t="shared" si="12"/>
        <v>0</v>
      </c>
    </row>
    <row r="115" spans="1:12" x14ac:dyDescent="0.2">
      <c r="A115" s="189" t="s">
        <v>571</v>
      </c>
      <c r="B115" s="189"/>
      <c r="C115" s="189" t="s">
        <v>498</v>
      </c>
      <c r="D115" s="189" t="s">
        <v>592</v>
      </c>
      <c r="E115" s="189" t="s">
        <v>1233</v>
      </c>
      <c r="F115" s="189" t="s">
        <v>522</v>
      </c>
      <c r="G115" s="247">
        <v>193520.7</v>
      </c>
      <c r="H115" s="247">
        <v>193520.7</v>
      </c>
      <c r="I115" s="248">
        <f t="shared" si="11"/>
        <v>0</v>
      </c>
      <c r="J115" s="191">
        <v>193520.7</v>
      </c>
      <c r="K115" s="247">
        <v>193520.7</v>
      </c>
      <c r="L115" s="287">
        <f t="shared" si="12"/>
        <v>0</v>
      </c>
    </row>
    <row r="116" spans="1:12" ht="24" x14ac:dyDescent="0.2">
      <c r="A116" s="189" t="s">
        <v>600</v>
      </c>
      <c r="B116" s="189"/>
      <c r="C116" s="189" t="s">
        <v>498</v>
      </c>
      <c r="D116" s="189" t="s">
        <v>592</v>
      </c>
      <c r="E116" s="189" t="s">
        <v>1232</v>
      </c>
      <c r="F116" s="189"/>
      <c r="G116" s="247">
        <v>2000</v>
      </c>
      <c r="H116" s="247">
        <v>2000</v>
      </c>
      <c r="I116" s="248">
        <f t="shared" si="11"/>
        <v>0</v>
      </c>
      <c r="J116" s="191">
        <v>2000</v>
      </c>
      <c r="K116" s="247">
        <v>2000</v>
      </c>
      <c r="L116" s="287">
        <f t="shared" si="12"/>
        <v>0</v>
      </c>
    </row>
    <row r="117" spans="1:12" x14ac:dyDescent="0.2">
      <c r="A117" s="189" t="s">
        <v>1231</v>
      </c>
      <c r="B117" s="189"/>
      <c r="C117" s="189" t="s">
        <v>498</v>
      </c>
      <c r="D117" s="189" t="s">
        <v>592</v>
      </c>
      <c r="E117" s="189" t="s">
        <v>1230</v>
      </c>
      <c r="F117" s="189"/>
      <c r="G117" s="247">
        <v>2000</v>
      </c>
      <c r="H117" s="247">
        <v>2000</v>
      </c>
      <c r="I117" s="248">
        <f t="shared" si="11"/>
        <v>0</v>
      </c>
      <c r="J117" s="191">
        <v>2000</v>
      </c>
      <c r="K117" s="247">
        <v>2000</v>
      </c>
      <c r="L117" s="287">
        <f t="shared" si="12"/>
        <v>0</v>
      </c>
    </row>
    <row r="118" spans="1:12" ht="24" x14ac:dyDescent="0.2">
      <c r="A118" s="189" t="s">
        <v>1347</v>
      </c>
      <c r="B118" s="189"/>
      <c r="C118" s="189" t="s">
        <v>498</v>
      </c>
      <c r="D118" s="189" t="s">
        <v>592</v>
      </c>
      <c r="E118" s="189" t="s">
        <v>1230</v>
      </c>
      <c r="F118" s="189" t="s">
        <v>535</v>
      </c>
      <c r="G118" s="247">
        <v>2000</v>
      </c>
      <c r="H118" s="247">
        <v>2000</v>
      </c>
      <c r="I118" s="248">
        <f t="shared" si="11"/>
        <v>0</v>
      </c>
      <c r="J118" s="191">
        <v>2000</v>
      </c>
      <c r="K118" s="247">
        <v>2000</v>
      </c>
      <c r="L118" s="287">
        <f t="shared" si="12"/>
        <v>0</v>
      </c>
    </row>
    <row r="119" spans="1:12" ht="24" x14ac:dyDescent="0.2">
      <c r="A119" s="189" t="s">
        <v>534</v>
      </c>
      <c r="B119" s="189"/>
      <c r="C119" s="189" t="s">
        <v>498</v>
      </c>
      <c r="D119" s="189" t="s">
        <v>592</v>
      </c>
      <c r="E119" s="189" t="s">
        <v>1230</v>
      </c>
      <c r="F119" s="189" t="s">
        <v>529</v>
      </c>
      <c r="G119" s="247">
        <v>2000</v>
      </c>
      <c r="H119" s="247">
        <v>2000</v>
      </c>
      <c r="I119" s="248">
        <f t="shared" si="11"/>
        <v>0</v>
      </c>
      <c r="J119" s="191">
        <v>2000</v>
      </c>
      <c r="K119" s="247">
        <v>2000</v>
      </c>
      <c r="L119" s="287">
        <f t="shared" si="12"/>
        <v>0</v>
      </c>
    </row>
    <row r="120" spans="1:12" x14ac:dyDescent="0.2">
      <c r="A120" s="189" t="s">
        <v>602</v>
      </c>
      <c r="B120" s="189"/>
      <c r="C120" s="189" t="s">
        <v>498</v>
      </c>
      <c r="D120" s="189" t="s">
        <v>592</v>
      </c>
      <c r="E120" s="189" t="s">
        <v>601</v>
      </c>
      <c r="F120" s="189"/>
      <c r="G120" s="247">
        <f>G121</f>
        <v>446622.2</v>
      </c>
      <c r="H120" s="247">
        <f>H121</f>
        <v>446622.2</v>
      </c>
      <c r="I120" s="248">
        <f t="shared" si="11"/>
        <v>0</v>
      </c>
      <c r="J120" s="191">
        <f>J121</f>
        <v>446622.2</v>
      </c>
      <c r="K120" s="247">
        <f>K121</f>
        <v>446622.2</v>
      </c>
      <c r="L120" s="287">
        <f t="shared" si="12"/>
        <v>0</v>
      </c>
    </row>
    <row r="121" spans="1:12" ht="24" x14ac:dyDescent="0.2">
      <c r="A121" s="189" t="s">
        <v>600</v>
      </c>
      <c r="B121" s="189"/>
      <c r="C121" s="189" t="s">
        <v>498</v>
      </c>
      <c r="D121" s="189" t="s">
        <v>592</v>
      </c>
      <c r="E121" s="189" t="s">
        <v>599</v>
      </c>
      <c r="F121" s="189"/>
      <c r="G121" s="247">
        <f>G122+G125+G128+G135+G142</f>
        <v>446622.2</v>
      </c>
      <c r="H121" s="247">
        <f>H122+H125+H128+H135+H142</f>
        <v>446622.2</v>
      </c>
      <c r="I121" s="248">
        <f t="shared" si="11"/>
        <v>0</v>
      </c>
      <c r="J121" s="191">
        <f>J122+J125+J128+J135+J142</f>
        <v>446622.2</v>
      </c>
      <c r="K121" s="247">
        <f>K122+K125+K128+K135+K142</f>
        <v>446622.2</v>
      </c>
      <c r="L121" s="287">
        <f t="shared" si="12"/>
        <v>0</v>
      </c>
    </row>
    <row r="122" spans="1:12" x14ac:dyDescent="0.2">
      <c r="A122" s="189" t="s">
        <v>598</v>
      </c>
      <c r="B122" s="189"/>
      <c r="C122" s="189" t="s">
        <v>498</v>
      </c>
      <c r="D122" s="189" t="s">
        <v>592</v>
      </c>
      <c r="E122" s="189" t="s">
        <v>597</v>
      </c>
      <c r="F122" s="189"/>
      <c r="G122" s="247">
        <v>96.1</v>
      </c>
      <c r="H122" s="247">
        <v>96.1</v>
      </c>
      <c r="I122" s="248">
        <f t="shared" si="11"/>
        <v>0</v>
      </c>
      <c r="J122" s="191">
        <v>96.1</v>
      </c>
      <c r="K122" s="247">
        <v>96.1</v>
      </c>
      <c r="L122" s="287">
        <f t="shared" si="12"/>
        <v>0</v>
      </c>
    </row>
    <row r="123" spans="1:12" ht="24" x14ac:dyDescent="0.2">
      <c r="A123" s="189" t="s">
        <v>1347</v>
      </c>
      <c r="B123" s="189"/>
      <c r="C123" s="189" t="s">
        <v>498</v>
      </c>
      <c r="D123" s="189" t="s">
        <v>592</v>
      </c>
      <c r="E123" s="189" t="s">
        <v>597</v>
      </c>
      <c r="F123" s="189" t="s">
        <v>535</v>
      </c>
      <c r="G123" s="247">
        <v>96.1</v>
      </c>
      <c r="H123" s="247">
        <v>96.1</v>
      </c>
      <c r="I123" s="248">
        <f t="shared" si="11"/>
        <v>0</v>
      </c>
      <c r="J123" s="191">
        <v>96.1</v>
      </c>
      <c r="K123" s="247">
        <v>96.1</v>
      </c>
      <c r="L123" s="287">
        <f t="shared" si="12"/>
        <v>0</v>
      </c>
    </row>
    <row r="124" spans="1:12" ht="24" x14ac:dyDescent="0.2">
      <c r="A124" s="189" t="s">
        <v>534</v>
      </c>
      <c r="B124" s="189"/>
      <c r="C124" s="189" t="s">
        <v>498</v>
      </c>
      <c r="D124" s="189" t="s">
        <v>592</v>
      </c>
      <c r="E124" s="189" t="s">
        <v>597</v>
      </c>
      <c r="F124" s="189" t="s">
        <v>529</v>
      </c>
      <c r="G124" s="247">
        <v>96.1</v>
      </c>
      <c r="H124" s="247">
        <v>96.1</v>
      </c>
      <c r="I124" s="248">
        <f t="shared" si="11"/>
        <v>0</v>
      </c>
      <c r="J124" s="191">
        <v>96.1</v>
      </c>
      <c r="K124" s="247">
        <v>96.1</v>
      </c>
      <c r="L124" s="287">
        <f t="shared" si="12"/>
        <v>0</v>
      </c>
    </row>
    <row r="125" spans="1:12" x14ac:dyDescent="0.2">
      <c r="A125" s="189" t="s">
        <v>1229</v>
      </c>
      <c r="B125" s="189"/>
      <c r="C125" s="189" t="s">
        <v>498</v>
      </c>
      <c r="D125" s="189" t="s">
        <v>592</v>
      </c>
      <c r="E125" s="189" t="s">
        <v>1228</v>
      </c>
      <c r="F125" s="189"/>
      <c r="G125" s="247">
        <v>948</v>
      </c>
      <c r="H125" s="247">
        <v>948</v>
      </c>
      <c r="I125" s="248">
        <f t="shared" si="11"/>
        <v>0</v>
      </c>
      <c r="J125" s="191">
        <v>948</v>
      </c>
      <c r="K125" s="247">
        <v>948</v>
      </c>
      <c r="L125" s="287">
        <f t="shared" si="12"/>
        <v>0</v>
      </c>
    </row>
    <row r="126" spans="1:12" x14ac:dyDescent="0.2">
      <c r="A126" s="189" t="s">
        <v>615</v>
      </c>
      <c r="B126" s="189"/>
      <c r="C126" s="189" t="s">
        <v>498</v>
      </c>
      <c r="D126" s="189" t="s">
        <v>592</v>
      </c>
      <c r="E126" s="189" t="s">
        <v>1228</v>
      </c>
      <c r="F126" s="189" t="s">
        <v>509</v>
      </c>
      <c r="G126" s="247">
        <v>948</v>
      </c>
      <c r="H126" s="247">
        <v>948</v>
      </c>
      <c r="I126" s="248">
        <f t="shared" si="11"/>
        <v>0</v>
      </c>
      <c r="J126" s="191">
        <v>948</v>
      </c>
      <c r="K126" s="247">
        <v>948</v>
      </c>
      <c r="L126" s="287">
        <f t="shared" si="12"/>
        <v>0</v>
      </c>
    </row>
    <row r="127" spans="1:12" x14ac:dyDescent="0.2">
      <c r="A127" s="189" t="s">
        <v>752</v>
      </c>
      <c r="B127" s="189"/>
      <c r="C127" s="189" t="s">
        <v>498</v>
      </c>
      <c r="D127" s="189" t="s">
        <v>592</v>
      </c>
      <c r="E127" s="189" t="s">
        <v>1228</v>
      </c>
      <c r="F127" s="189" t="s">
        <v>750</v>
      </c>
      <c r="G127" s="247">
        <v>948</v>
      </c>
      <c r="H127" s="247">
        <v>948</v>
      </c>
      <c r="I127" s="248">
        <f t="shared" si="11"/>
        <v>0</v>
      </c>
      <c r="J127" s="191">
        <v>948</v>
      </c>
      <c r="K127" s="247">
        <v>948</v>
      </c>
      <c r="L127" s="287">
        <f t="shared" si="12"/>
        <v>0</v>
      </c>
    </row>
    <row r="128" spans="1:12" s="374" customFormat="1" ht="37.5" customHeight="1" x14ac:dyDescent="0.2">
      <c r="A128" s="189" t="s">
        <v>761</v>
      </c>
      <c r="B128" s="190"/>
      <c r="C128" s="189" t="s">
        <v>498</v>
      </c>
      <c r="D128" s="189" t="s">
        <v>592</v>
      </c>
      <c r="E128" s="189" t="s">
        <v>759</v>
      </c>
      <c r="F128" s="190"/>
      <c r="G128" s="247">
        <f>G129+G131+G133</f>
        <v>181031.3</v>
      </c>
      <c r="H128" s="247">
        <f>H129+H131+H133</f>
        <v>181031.3</v>
      </c>
      <c r="I128" s="248">
        <f t="shared" si="11"/>
        <v>0</v>
      </c>
      <c r="J128" s="191">
        <f>J129+J131+J133</f>
        <v>181031.3</v>
      </c>
      <c r="K128" s="247">
        <f>K129+K131+K133</f>
        <v>181031.3</v>
      </c>
      <c r="L128" s="287">
        <f t="shared" si="12"/>
        <v>0</v>
      </c>
    </row>
    <row r="129" spans="1:12" s="374" customFormat="1" ht="38.25" customHeight="1" x14ac:dyDescent="0.2">
      <c r="A129" s="189" t="s">
        <v>1348</v>
      </c>
      <c r="B129" s="190"/>
      <c r="C129" s="189" t="s">
        <v>498</v>
      </c>
      <c r="D129" s="189" t="s">
        <v>592</v>
      </c>
      <c r="E129" s="189" t="s">
        <v>759</v>
      </c>
      <c r="F129" s="190" t="s">
        <v>556</v>
      </c>
      <c r="G129" s="247">
        <f>G130</f>
        <v>173336</v>
      </c>
      <c r="H129" s="247">
        <f>H130</f>
        <v>173336</v>
      </c>
      <c r="I129" s="248">
        <f t="shared" si="11"/>
        <v>0</v>
      </c>
      <c r="J129" s="191">
        <f>J130</f>
        <v>173336</v>
      </c>
      <c r="K129" s="247">
        <f>K130</f>
        <v>173336</v>
      </c>
      <c r="L129" s="287">
        <f t="shared" si="12"/>
        <v>0</v>
      </c>
    </row>
    <row r="130" spans="1:12" s="374" customFormat="1" x14ac:dyDescent="0.2">
      <c r="A130" s="189" t="s">
        <v>555</v>
      </c>
      <c r="B130" s="190"/>
      <c r="C130" s="189" t="s">
        <v>498</v>
      </c>
      <c r="D130" s="189" t="s">
        <v>592</v>
      </c>
      <c r="E130" s="189" t="s">
        <v>759</v>
      </c>
      <c r="F130" s="190" t="s">
        <v>554</v>
      </c>
      <c r="G130" s="247">
        <v>173336</v>
      </c>
      <c r="H130" s="247">
        <v>173336</v>
      </c>
      <c r="I130" s="248">
        <f t="shared" si="11"/>
        <v>0</v>
      </c>
      <c r="J130" s="191">
        <v>173336</v>
      </c>
      <c r="K130" s="247">
        <v>173336</v>
      </c>
      <c r="L130" s="287">
        <f t="shared" si="12"/>
        <v>0</v>
      </c>
    </row>
    <row r="131" spans="1:12" s="374" customFormat="1" ht="24" x14ac:dyDescent="0.2">
      <c r="A131" s="189" t="s">
        <v>1347</v>
      </c>
      <c r="B131" s="190"/>
      <c r="C131" s="189" t="s">
        <v>498</v>
      </c>
      <c r="D131" s="189" t="s">
        <v>592</v>
      </c>
      <c r="E131" s="189" t="s">
        <v>759</v>
      </c>
      <c r="F131" s="190" t="s">
        <v>535</v>
      </c>
      <c r="G131" s="247">
        <f>G132</f>
        <v>7658.3</v>
      </c>
      <c r="H131" s="247">
        <f>H132</f>
        <v>7658.3</v>
      </c>
      <c r="I131" s="248">
        <f t="shared" si="11"/>
        <v>0</v>
      </c>
      <c r="J131" s="191">
        <f>J132</f>
        <v>7658.3</v>
      </c>
      <c r="K131" s="247">
        <f>K132</f>
        <v>7658.3</v>
      </c>
      <c r="L131" s="287">
        <f t="shared" si="12"/>
        <v>0</v>
      </c>
    </row>
    <row r="132" spans="1:12" s="374" customFormat="1" ht="24" x14ac:dyDescent="0.2">
      <c r="A132" s="189" t="s">
        <v>534</v>
      </c>
      <c r="B132" s="190"/>
      <c r="C132" s="189" t="s">
        <v>498</v>
      </c>
      <c r="D132" s="189" t="s">
        <v>592</v>
      </c>
      <c r="E132" s="189" t="s">
        <v>759</v>
      </c>
      <c r="F132" s="190" t="s">
        <v>529</v>
      </c>
      <c r="G132" s="247">
        <v>7658.3</v>
      </c>
      <c r="H132" s="247">
        <v>7658.3</v>
      </c>
      <c r="I132" s="248">
        <f t="shared" si="11"/>
        <v>0</v>
      </c>
      <c r="J132" s="191">
        <v>7658.3</v>
      </c>
      <c r="K132" s="247">
        <v>7658.3</v>
      </c>
      <c r="L132" s="287">
        <f t="shared" si="12"/>
        <v>0</v>
      </c>
    </row>
    <row r="133" spans="1:12" s="374" customFormat="1" x14ac:dyDescent="0.2">
      <c r="A133" s="189" t="s">
        <v>615</v>
      </c>
      <c r="B133" s="190"/>
      <c r="C133" s="189" t="s">
        <v>498</v>
      </c>
      <c r="D133" s="189" t="s">
        <v>592</v>
      </c>
      <c r="E133" s="189" t="s">
        <v>759</v>
      </c>
      <c r="F133" s="190" t="s">
        <v>509</v>
      </c>
      <c r="G133" s="247">
        <f>G134</f>
        <v>37</v>
      </c>
      <c r="H133" s="247">
        <f>H134</f>
        <v>37</v>
      </c>
      <c r="I133" s="248">
        <f t="shared" si="11"/>
        <v>0</v>
      </c>
      <c r="J133" s="191">
        <f>J134</f>
        <v>37</v>
      </c>
      <c r="K133" s="247">
        <f>K134</f>
        <v>37</v>
      </c>
      <c r="L133" s="287">
        <f t="shared" si="12"/>
        <v>0</v>
      </c>
    </row>
    <row r="134" spans="1:12" s="374" customFormat="1" x14ac:dyDescent="0.2">
      <c r="A134" s="189" t="s">
        <v>614</v>
      </c>
      <c r="B134" s="190"/>
      <c r="C134" s="189" t="s">
        <v>498</v>
      </c>
      <c r="D134" s="189" t="s">
        <v>592</v>
      </c>
      <c r="E134" s="189" t="s">
        <v>759</v>
      </c>
      <c r="F134" s="190" t="s">
        <v>613</v>
      </c>
      <c r="G134" s="247">
        <v>37</v>
      </c>
      <c r="H134" s="247">
        <v>37</v>
      </c>
      <c r="I134" s="248">
        <f t="shared" si="11"/>
        <v>0</v>
      </c>
      <c r="J134" s="191">
        <v>37</v>
      </c>
      <c r="K134" s="247">
        <v>37</v>
      </c>
      <c r="L134" s="287">
        <f t="shared" si="12"/>
        <v>0</v>
      </c>
    </row>
    <row r="135" spans="1:12" ht="36" x14ac:dyDescent="0.2">
      <c r="A135" s="189" t="s">
        <v>1227</v>
      </c>
      <c r="B135" s="189"/>
      <c r="C135" s="189" t="s">
        <v>498</v>
      </c>
      <c r="D135" s="189" t="s">
        <v>592</v>
      </c>
      <c r="E135" s="189" t="s">
        <v>1226</v>
      </c>
      <c r="F135" s="189"/>
      <c r="G135" s="247">
        <v>235702.1</v>
      </c>
      <c r="H135" s="247">
        <v>235702.1</v>
      </c>
      <c r="I135" s="248">
        <f t="shared" si="11"/>
        <v>0</v>
      </c>
      <c r="J135" s="191">
        <v>235702.1</v>
      </c>
      <c r="K135" s="247">
        <v>235702.1</v>
      </c>
      <c r="L135" s="287">
        <f t="shared" si="12"/>
        <v>0</v>
      </c>
    </row>
    <row r="136" spans="1:12" ht="36" x14ac:dyDescent="0.2">
      <c r="A136" s="189" t="s">
        <v>1348</v>
      </c>
      <c r="B136" s="189"/>
      <c r="C136" s="189" t="s">
        <v>498</v>
      </c>
      <c r="D136" s="189" t="s">
        <v>592</v>
      </c>
      <c r="E136" s="189" t="s">
        <v>1226</v>
      </c>
      <c r="F136" s="189" t="s">
        <v>556</v>
      </c>
      <c r="G136" s="247">
        <v>215339.5</v>
      </c>
      <c r="H136" s="247">
        <v>215339.5</v>
      </c>
      <c r="I136" s="248">
        <f t="shared" si="11"/>
        <v>0</v>
      </c>
      <c r="J136" s="191">
        <v>215339.5</v>
      </c>
      <c r="K136" s="247">
        <v>215339.5</v>
      </c>
      <c r="L136" s="287">
        <f t="shared" si="12"/>
        <v>0</v>
      </c>
    </row>
    <row r="137" spans="1:12" x14ac:dyDescent="0.2">
      <c r="A137" s="189" t="s">
        <v>555</v>
      </c>
      <c r="B137" s="189"/>
      <c r="C137" s="189" t="s">
        <v>498</v>
      </c>
      <c r="D137" s="189" t="s">
        <v>592</v>
      </c>
      <c r="E137" s="189" t="s">
        <v>1226</v>
      </c>
      <c r="F137" s="189" t="s">
        <v>554</v>
      </c>
      <c r="G137" s="247">
        <v>215339.5</v>
      </c>
      <c r="H137" s="247">
        <v>215339.5</v>
      </c>
      <c r="I137" s="248">
        <f t="shared" si="11"/>
        <v>0</v>
      </c>
      <c r="J137" s="191">
        <v>215339.5</v>
      </c>
      <c r="K137" s="247">
        <v>215339.5</v>
      </c>
      <c r="L137" s="287">
        <f t="shared" si="12"/>
        <v>0</v>
      </c>
    </row>
    <row r="138" spans="1:12" ht="24" x14ac:dyDescent="0.2">
      <c r="A138" s="189" t="s">
        <v>1347</v>
      </c>
      <c r="B138" s="189"/>
      <c r="C138" s="189" t="s">
        <v>498</v>
      </c>
      <c r="D138" s="189" t="s">
        <v>592</v>
      </c>
      <c r="E138" s="189" t="s">
        <v>1226</v>
      </c>
      <c r="F138" s="189" t="s">
        <v>535</v>
      </c>
      <c r="G138" s="247">
        <v>19859.3</v>
      </c>
      <c r="H138" s="247">
        <v>19859.3</v>
      </c>
      <c r="I138" s="248">
        <f t="shared" si="11"/>
        <v>0</v>
      </c>
      <c r="J138" s="191">
        <v>19859.3</v>
      </c>
      <c r="K138" s="247">
        <v>19859.3</v>
      </c>
      <c r="L138" s="287">
        <f t="shared" si="12"/>
        <v>0</v>
      </c>
    </row>
    <row r="139" spans="1:12" ht="24" x14ac:dyDescent="0.2">
      <c r="A139" s="189" t="s">
        <v>534</v>
      </c>
      <c r="B139" s="189"/>
      <c r="C139" s="189" t="s">
        <v>498</v>
      </c>
      <c r="D139" s="189" t="s">
        <v>592</v>
      </c>
      <c r="E139" s="189" t="s">
        <v>1226</v>
      </c>
      <c r="F139" s="189" t="s">
        <v>529</v>
      </c>
      <c r="G139" s="247">
        <v>19859.3</v>
      </c>
      <c r="H139" s="247">
        <v>19859.3</v>
      </c>
      <c r="I139" s="248">
        <f t="shared" si="11"/>
        <v>0</v>
      </c>
      <c r="J139" s="191">
        <v>19859.3</v>
      </c>
      <c r="K139" s="247">
        <v>19859.3</v>
      </c>
      <c r="L139" s="287">
        <f t="shared" si="12"/>
        <v>0</v>
      </c>
    </row>
    <row r="140" spans="1:12" x14ac:dyDescent="0.2">
      <c r="A140" s="189" t="s">
        <v>615</v>
      </c>
      <c r="B140" s="189"/>
      <c r="C140" s="189" t="s">
        <v>498</v>
      </c>
      <c r="D140" s="189" t="s">
        <v>592</v>
      </c>
      <c r="E140" s="189" t="s">
        <v>1226</v>
      </c>
      <c r="F140" s="189" t="s">
        <v>509</v>
      </c>
      <c r="G140" s="247">
        <v>503.3</v>
      </c>
      <c r="H140" s="247">
        <v>503.3</v>
      </c>
      <c r="I140" s="248">
        <f t="shared" si="11"/>
        <v>0</v>
      </c>
      <c r="J140" s="191">
        <v>503.3</v>
      </c>
      <c r="K140" s="247">
        <v>503.3</v>
      </c>
      <c r="L140" s="287">
        <f t="shared" si="12"/>
        <v>0</v>
      </c>
    </row>
    <row r="141" spans="1:12" x14ac:dyDescent="0.2">
      <c r="A141" s="189" t="s">
        <v>614</v>
      </c>
      <c r="B141" s="189"/>
      <c r="C141" s="189" t="s">
        <v>498</v>
      </c>
      <c r="D141" s="189" t="s">
        <v>592</v>
      </c>
      <c r="E141" s="189" t="s">
        <v>1226</v>
      </c>
      <c r="F141" s="189" t="s">
        <v>613</v>
      </c>
      <c r="G141" s="247">
        <v>503.3</v>
      </c>
      <c r="H141" s="247">
        <v>503.3</v>
      </c>
      <c r="I141" s="248">
        <f t="shared" si="11"/>
        <v>0</v>
      </c>
      <c r="J141" s="191">
        <v>503.3</v>
      </c>
      <c r="K141" s="247">
        <v>503.3</v>
      </c>
      <c r="L141" s="287">
        <f t="shared" si="12"/>
        <v>0</v>
      </c>
    </row>
    <row r="142" spans="1:12" ht="36" x14ac:dyDescent="0.2">
      <c r="A142" s="189" t="s">
        <v>1225</v>
      </c>
      <c r="B142" s="189"/>
      <c r="C142" s="189" t="s">
        <v>498</v>
      </c>
      <c r="D142" s="189" t="s">
        <v>592</v>
      </c>
      <c r="E142" s="189" t="s">
        <v>1224</v>
      </c>
      <c r="F142" s="189"/>
      <c r="G142" s="247">
        <v>28844.7</v>
      </c>
      <c r="H142" s="247">
        <v>28844.7</v>
      </c>
      <c r="I142" s="248">
        <f t="shared" si="11"/>
        <v>0</v>
      </c>
      <c r="J142" s="191">
        <v>28844.7</v>
      </c>
      <c r="K142" s="247">
        <v>28844.7</v>
      </c>
      <c r="L142" s="287">
        <f t="shared" si="12"/>
        <v>0</v>
      </c>
    </row>
    <row r="143" spans="1:12" ht="36" x14ac:dyDescent="0.2">
      <c r="A143" s="189" t="s">
        <v>1348</v>
      </c>
      <c r="B143" s="189"/>
      <c r="C143" s="189" t="s">
        <v>498</v>
      </c>
      <c r="D143" s="189" t="s">
        <v>592</v>
      </c>
      <c r="E143" s="189" t="s">
        <v>1224</v>
      </c>
      <c r="F143" s="189" t="s">
        <v>556</v>
      </c>
      <c r="G143" s="247">
        <v>26990.5</v>
      </c>
      <c r="H143" s="247">
        <v>26990.5</v>
      </c>
      <c r="I143" s="248">
        <f t="shared" si="11"/>
        <v>0</v>
      </c>
      <c r="J143" s="191">
        <v>26990.5</v>
      </c>
      <c r="K143" s="247">
        <v>26990.5</v>
      </c>
      <c r="L143" s="287">
        <f t="shared" si="12"/>
        <v>0</v>
      </c>
    </row>
    <row r="144" spans="1:12" x14ac:dyDescent="0.2">
      <c r="A144" s="189" t="s">
        <v>555</v>
      </c>
      <c r="B144" s="189"/>
      <c r="C144" s="189" t="s">
        <v>498</v>
      </c>
      <c r="D144" s="189" t="s">
        <v>592</v>
      </c>
      <c r="E144" s="189" t="s">
        <v>1224</v>
      </c>
      <c r="F144" s="189" t="s">
        <v>554</v>
      </c>
      <c r="G144" s="247">
        <v>26990.5</v>
      </c>
      <c r="H144" s="247">
        <v>26990.5</v>
      </c>
      <c r="I144" s="248">
        <f t="shared" si="11"/>
        <v>0</v>
      </c>
      <c r="J144" s="191">
        <v>26990.5</v>
      </c>
      <c r="K144" s="247">
        <v>26990.5</v>
      </c>
      <c r="L144" s="287">
        <f t="shared" si="12"/>
        <v>0</v>
      </c>
    </row>
    <row r="145" spans="1:12" ht="24" x14ac:dyDescent="0.2">
      <c r="A145" s="189" t="s">
        <v>1347</v>
      </c>
      <c r="B145" s="189"/>
      <c r="C145" s="189" t="s">
        <v>498</v>
      </c>
      <c r="D145" s="189" t="s">
        <v>592</v>
      </c>
      <c r="E145" s="189" t="s">
        <v>1224</v>
      </c>
      <c r="F145" s="189" t="s">
        <v>535</v>
      </c>
      <c r="G145" s="247">
        <v>1854.2</v>
      </c>
      <c r="H145" s="247">
        <v>1854.2</v>
      </c>
      <c r="I145" s="248">
        <f t="shared" si="11"/>
        <v>0</v>
      </c>
      <c r="J145" s="191">
        <v>1854.2</v>
      </c>
      <c r="K145" s="247">
        <v>1854.2</v>
      </c>
      <c r="L145" s="287">
        <f t="shared" si="12"/>
        <v>0</v>
      </c>
    </row>
    <row r="146" spans="1:12" ht="24" x14ac:dyDescent="0.2">
      <c r="A146" s="189" t="s">
        <v>534</v>
      </c>
      <c r="B146" s="189"/>
      <c r="C146" s="189" t="s">
        <v>498</v>
      </c>
      <c r="D146" s="189" t="s">
        <v>592</v>
      </c>
      <c r="E146" s="189" t="s">
        <v>1224</v>
      </c>
      <c r="F146" s="189" t="s">
        <v>529</v>
      </c>
      <c r="G146" s="247">
        <v>1854.2</v>
      </c>
      <c r="H146" s="247">
        <v>1854.2</v>
      </c>
      <c r="I146" s="248">
        <f t="shared" si="11"/>
        <v>0</v>
      </c>
      <c r="J146" s="191">
        <v>1854.2</v>
      </c>
      <c r="K146" s="247">
        <v>1854.2</v>
      </c>
      <c r="L146" s="287">
        <f t="shared" si="12"/>
        <v>0</v>
      </c>
    </row>
    <row r="147" spans="1:12" ht="36" x14ac:dyDescent="0.2">
      <c r="A147" s="189" t="s">
        <v>588</v>
      </c>
      <c r="B147" s="189"/>
      <c r="C147" s="189" t="s">
        <v>498</v>
      </c>
      <c r="D147" s="189" t="s">
        <v>592</v>
      </c>
      <c r="E147" s="189" t="s">
        <v>587</v>
      </c>
      <c r="F147" s="189"/>
      <c r="G147" s="247">
        <f>G148+G153</f>
        <v>256</v>
      </c>
      <c r="H147" s="247">
        <f>H148+H153</f>
        <v>256</v>
      </c>
      <c r="I147" s="248">
        <f t="shared" si="11"/>
        <v>0</v>
      </c>
      <c r="J147" s="191">
        <f>J148+J153</f>
        <v>2000</v>
      </c>
      <c r="K147" s="247">
        <f>K148+K153</f>
        <v>2000</v>
      </c>
      <c r="L147" s="287">
        <f t="shared" si="12"/>
        <v>0</v>
      </c>
    </row>
    <row r="148" spans="1:12" ht="36" x14ac:dyDescent="0.2">
      <c r="A148" s="189" t="s">
        <v>807</v>
      </c>
      <c r="B148" s="189"/>
      <c r="C148" s="189" t="s">
        <v>498</v>
      </c>
      <c r="D148" s="189" t="s">
        <v>592</v>
      </c>
      <c r="E148" s="189" t="s">
        <v>806</v>
      </c>
      <c r="F148" s="189"/>
      <c r="G148" s="247">
        <v>250</v>
      </c>
      <c r="H148" s="247">
        <v>250</v>
      </c>
      <c r="I148" s="248">
        <f t="shared" si="11"/>
        <v>0</v>
      </c>
      <c r="J148" s="191">
        <v>250</v>
      </c>
      <c r="K148" s="247">
        <v>250</v>
      </c>
      <c r="L148" s="287">
        <f t="shared" si="12"/>
        <v>0</v>
      </c>
    </row>
    <row r="149" spans="1:12" ht="24" x14ac:dyDescent="0.2">
      <c r="A149" s="189" t="s">
        <v>799</v>
      </c>
      <c r="B149" s="189"/>
      <c r="C149" s="189" t="s">
        <v>498</v>
      </c>
      <c r="D149" s="189" t="s">
        <v>592</v>
      </c>
      <c r="E149" s="189" t="s">
        <v>798</v>
      </c>
      <c r="F149" s="189"/>
      <c r="G149" s="247">
        <v>250</v>
      </c>
      <c r="H149" s="247">
        <v>250</v>
      </c>
      <c r="I149" s="248">
        <f t="shared" si="11"/>
        <v>0</v>
      </c>
      <c r="J149" s="191">
        <v>250</v>
      </c>
      <c r="K149" s="247">
        <v>250</v>
      </c>
      <c r="L149" s="287">
        <f t="shared" si="12"/>
        <v>0</v>
      </c>
    </row>
    <row r="150" spans="1:12" ht="48" x14ac:dyDescent="0.2">
      <c r="A150" s="189" t="s">
        <v>797</v>
      </c>
      <c r="B150" s="189"/>
      <c r="C150" s="189" t="s">
        <v>498</v>
      </c>
      <c r="D150" s="189" t="s">
        <v>592</v>
      </c>
      <c r="E150" s="189" t="s">
        <v>796</v>
      </c>
      <c r="F150" s="189"/>
      <c r="G150" s="247">
        <v>250</v>
      </c>
      <c r="H150" s="247">
        <v>250</v>
      </c>
      <c r="I150" s="248">
        <f t="shared" si="11"/>
        <v>0</v>
      </c>
      <c r="J150" s="191">
        <v>250</v>
      </c>
      <c r="K150" s="247">
        <v>250</v>
      </c>
      <c r="L150" s="287">
        <f t="shared" si="12"/>
        <v>0</v>
      </c>
    </row>
    <row r="151" spans="1:12" ht="24" x14ac:dyDescent="0.2">
      <c r="A151" s="189" t="s">
        <v>1347</v>
      </c>
      <c r="B151" s="189"/>
      <c r="C151" s="189" t="s">
        <v>498</v>
      </c>
      <c r="D151" s="189" t="s">
        <v>592</v>
      </c>
      <c r="E151" s="189" t="s">
        <v>796</v>
      </c>
      <c r="F151" s="189" t="s">
        <v>535</v>
      </c>
      <c r="G151" s="247">
        <v>250</v>
      </c>
      <c r="H151" s="247">
        <v>250</v>
      </c>
      <c r="I151" s="248">
        <f t="shared" si="11"/>
        <v>0</v>
      </c>
      <c r="J151" s="191">
        <v>250</v>
      </c>
      <c r="K151" s="247">
        <v>250</v>
      </c>
      <c r="L151" s="287">
        <f t="shared" si="12"/>
        <v>0</v>
      </c>
    </row>
    <row r="152" spans="1:12" ht="24" x14ac:dyDescent="0.2">
      <c r="A152" s="189" t="s">
        <v>534</v>
      </c>
      <c r="B152" s="189"/>
      <c r="C152" s="189" t="s">
        <v>498</v>
      </c>
      <c r="D152" s="189" t="s">
        <v>592</v>
      </c>
      <c r="E152" s="189" t="s">
        <v>796</v>
      </c>
      <c r="F152" s="189" t="s">
        <v>529</v>
      </c>
      <c r="G152" s="247">
        <v>250</v>
      </c>
      <c r="H152" s="247">
        <v>250</v>
      </c>
      <c r="I152" s="248">
        <f t="shared" si="11"/>
        <v>0</v>
      </c>
      <c r="J152" s="191">
        <v>250</v>
      </c>
      <c r="K152" s="247">
        <v>250</v>
      </c>
      <c r="L152" s="287">
        <f t="shared" si="12"/>
        <v>0</v>
      </c>
    </row>
    <row r="153" spans="1:12" s="284" customFormat="1" x14ac:dyDescent="0.2">
      <c r="A153" s="189" t="s">
        <v>602</v>
      </c>
      <c r="B153" s="190"/>
      <c r="C153" s="189" t="s">
        <v>498</v>
      </c>
      <c r="D153" s="189" t="s">
        <v>592</v>
      </c>
      <c r="E153" s="189" t="s">
        <v>1211</v>
      </c>
      <c r="F153" s="190"/>
      <c r="G153" s="247">
        <f t="shared" ref="G153:H156" si="15">G154</f>
        <v>6</v>
      </c>
      <c r="H153" s="247">
        <f t="shared" si="15"/>
        <v>6</v>
      </c>
      <c r="I153" s="248">
        <f t="shared" si="11"/>
        <v>0</v>
      </c>
      <c r="J153" s="191">
        <f t="shared" ref="J153:K156" si="16">J154</f>
        <v>1750</v>
      </c>
      <c r="K153" s="247">
        <f t="shared" si="16"/>
        <v>1750</v>
      </c>
      <c r="L153" s="287">
        <f t="shared" si="12"/>
        <v>0</v>
      </c>
    </row>
    <row r="154" spans="1:12" s="284" customFormat="1" ht="24" x14ac:dyDescent="0.2">
      <c r="A154" s="189" t="s">
        <v>1210</v>
      </c>
      <c r="B154" s="190"/>
      <c r="C154" s="189" t="s">
        <v>498</v>
      </c>
      <c r="D154" s="189" t="s">
        <v>592</v>
      </c>
      <c r="E154" s="189" t="s">
        <v>1209</v>
      </c>
      <c r="F154" s="190"/>
      <c r="G154" s="247">
        <f t="shared" si="15"/>
        <v>6</v>
      </c>
      <c r="H154" s="247">
        <f t="shared" si="15"/>
        <v>6</v>
      </c>
      <c r="I154" s="248">
        <f t="shared" si="11"/>
        <v>0</v>
      </c>
      <c r="J154" s="191">
        <f t="shared" si="16"/>
        <v>1750</v>
      </c>
      <c r="K154" s="247">
        <f t="shared" si="16"/>
        <v>1750</v>
      </c>
      <c r="L154" s="287">
        <f t="shared" si="12"/>
        <v>0</v>
      </c>
    </row>
    <row r="155" spans="1:12" s="284" customFormat="1" ht="24" x14ac:dyDescent="0.2">
      <c r="A155" s="189" t="s">
        <v>1208</v>
      </c>
      <c r="B155" s="190"/>
      <c r="C155" s="189" t="s">
        <v>498</v>
      </c>
      <c r="D155" s="189" t="s">
        <v>592</v>
      </c>
      <c r="E155" s="189" t="s">
        <v>1207</v>
      </c>
      <c r="F155" s="190"/>
      <c r="G155" s="247">
        <f t="shared" si="15"/>
        <v>6</v>
      </c>
      <c r="H155" s="247">
        <f t="shared" si="15"/>
        <v>6</v>
      </c>
      <c r="I155" s="248">
        <f t="shared" si="11"/>
        <v>0</v>
      </c>
      <c r="J155" s="191">
        <f t="shared" si="16"/>
        <v>1750</v>
      </c>
      <c r="K155" s="247">
        <f t="shared" si="16"/>
        <v>1750</v>
      </c>
      <c r="L155" s="287">
        <f t="shared" si="12"/>
        <v>0</v>
      </c>
    </row>
    <row r="156" spans="1:12" s="284" customFormat="1" ht="24" x14ac:dyDescent="0.2">
      <c r="A156" s="189" t="s">
        <v>1347</v>
      </c>
      <c r="B156" s="190"/>
      <c r="C156" s="189" t="s">
        <v>498</v>
      </c>
      <c r="D156" s="189" t="s">
        <v>592</v>
      </c>
      <c r="E156" s="189" t="s">
        <v>1207</v>
      </c>
      <c r="F156" s="190" t="s">
        <v>535</v>
      </c>
      <c r="G156" s="247">
        <f t="shared" si="15"/>
        <v>6</v>
      </c>
      <c r="H156" s="247">
        <f t="shared" si="15"/>
        <v>6</v>
      </c>
      <c r="I156" s="248">
        <f t="shared" si="11"/>
        <v>0</v>
      </c>
      <c r="J156" s="191">
        <f t="shared" si="16"/>
        <v>1750</v>
      </c>
      <c r="K156" s="247">
        <f t="shared" si="16"/>
        <v>1750</v>
      </c>
      <c r="L156" s="287">
        <f t="shared" si="12"/>
        <v>0</v>
      </c>
    </row>
    <row r="157" spans="1:12" s="284" customFormat="1" ht="24" x14ac:dyDescent="0.2">
      <c r="A157" s="189" t="s">
        <v>534</v>
      </c>
      <c r="B157" s="190"/>
      <c r="C157" s="189" t="s">
        <v>498</v>
      </c>
      <c r="D157" s="189" t="s">
        <v>592</v>
      </c>
      <c r="E157" s="189" t="s">
        <v>1207</v>
      </c>
      <c r="F157" s="190" t="s">
        <v>529</v>
      </c>
      <c r="G157" s="247">
        <v>6</v>
      </c>
      <c r="H157" s="247">
        <v>6</v>
      </c>
      <c r="I157" s="248">
        <f t="shared" si="11"/>
        <v>0</v>
      </c>
      <c r="J157" s="191">
        <v>1750</v>
      </c>
      <c r="K157" s="247">
        <v>1750</v>
      </c>
      <c r="L157" s="287">
        <f t="shared" si="12"/>
        <v>0</v>
      </c>
    </row>
    <row r="158" spans="1:12" x14ac:dyDescent="0.2">
      <c r="A158" s="189" t="s">
        <v>742</v>
      </c>
      <c r="B158" s="189"/>
      <c r="C158" s="189" t="s">
        <v>498</v>
      </c>
      <c r="D158" s="189" t="s">
        <v>592</v>
      </c>
      <c r="E158" s="189" t="s">
        <v>741</v>
      </c>
      <c r="F158" s="189"/>
      <c r="G158" s="247">
        <v>206413.2</v>
      </c>
      <c r="H158" s="247">
        <v>206413.2</v>
      </c>
      <c r="I158" s="248">
        <f t="shared" si="11"/>
        <v>0</v>
      </c>
      <c r="J158" s="191">
        <v>206413.2</v>
      </c>
      <c r="K158" s="247">
        <v>206413.2</v>
      </c>
      <c r="L158" s="287">
        <f t="shared" si="12"/>
        <v>0</v>
      </c>
    </row>
    <row r="159" spans="1:12" ht="48" x14ac:dyDescent="0.2">
      <c r="A159" s="189" t="s">
        <v>1219</v>
      </c>
      <c r="B159" s="189"/>
      <c r="C159" s="189" t="s">
        <v>498</v>
      </c>
      <c r="D159" s="189" t="s">
        <v>592</v>
      </c>
      <c r="E159" s="189" t="s">
        <v>1218</v>
      </c>
      <c r="F159" s="189"/>
      <c r="G159" s="247">
        <v>206413.2</v>
      </c>
      <c r="H159" s="247">
        <v>206413.2</v>
      </c>
      <c r="I159" s="248">
        <f t="shared" si="11"/>
        <v>0</v>
      </c>
      <c r="J159" s="191">
        <v>206413.2</v>
      </c>
      <c r="K159" s="247">
        <v>206413.2</v>
      </c>
      <c r="L159" s="287">
        <f t="shared" si="12"/>
        <v>0</v>
      </c>
    </row>
    <row r="160" spans="1:12" ht="24" x14ac:dyDescent="0.2">
      <c r="A160" s="189" t="s">
        <v>1217</v>
      </c>
      <c r="B160" s="189"/>
      <c r="C160" s="189" t="s">
        <v>498</v>
      </c>
      <c r="D160" s="189" t="s">
        <v>592</v>
      </c>
      <c r="E160" s="189" t="s">
        <v>1216</v>
      </c>
      <c r="F160" s="189"/>
      <c r="G160" s="247">
        <v>206413.2</v>
      </c>
      <c r="H160" s="247">
        <v>206413.2</v>
      </c>
      <c r="I160" s="248">
        <f t="shared" si="11"/>
        <v>0</v>
      </c>
      <c r="J160" s="191">
        <v>206413.2</v>
      </c>
      <c r="K160" s="247">
        <v>206413.2</v>
      </c>
      <c r="L160" s="287">
        <f t="shared" si="12"/>
        <v>0</v>
      </c>
    </row>
    <row r="161" spans="1:12" ht="60" x14ac:dyDescent="0.2">
      <c r="A161" s="189" t="s">
        <v>1215</v>
      </c>
      <c r="B161" s="189"/>
      <c r="C161" s="189" t="s">
        <v>498</v>
      </c>
      <c r="D161" s="189" t="s">
        <v>592</v>
      </c>
      <c r="E161" s="189" t="s">
        <v>1214</v>
      </c>
      <c r="F161" s="189"/>
      <c r="G161" s="247">
        <v>206413.2</v>
      </c>
      <c r="H161" s="247">
        <v>206413.2</v>
      </c>
      <c r="I161" s="248">
        <f t="shared" si="11"/>
        <v>0</v>
      </c>
      <c r="J161" s="191">
        <v>206413.2</v>
      </c>
      <c r="K161" s="247">
        <v>206413.2</v>
      </c>
      <c r="L161" s="287">
        <f t="shared" si="12"/>
        <v>0</v>
      </c>
    </row>
    <row r="162" spans="1:12" ht="24" x14ac:dyDescent="0.2">
      <c r="A162" s="189" t="s">
        <v>547</v>
      </c>
      <c r="B162" s="189"/>
      <c r="C162" s="189" t="s">
        <v>498</v>
      </c>
      <c r="D162" s="189" t="s">
        <v>592</v>
      </c>
      <c r="E162" s="189" t="s">
        <v>1214</v>
      </c>
      <c r="F162" s="189" t="s">
        <v>519</v>
      </c>
      <c r="G162" s="247">
        <v>206413.2</v>
      </c>
      <c r="H162" s="247">
        <v>206413.2</v>
      </c>
      <c r="I162" s="248">
        <f t="shared" si="11"/>
        <v>0</v>
      </c>
      <c r="J162" s="191">
        <v>206413.2</v>
      </c>
      <c r="K162" s="247">
        <v>206413.2</v>
      </c>
      <c r="L162" s="287">
        <f t="shared" si="12"/>
        <v>0</v>
      </c>
    </row>
    <row r="163" spans="1:12" x14ac:dyDescent="0.2">
      <c r="A163" s="189" t="s">
        <v>571</v>
      </c>
      <c r="B163" s="189"/>
      <c r="C163" s="189" t="s">
        <v>498</v>
      </c>
      <c r="D163" s="189" t="s">
        <v>592</v>
      </c>
      <c r="E163" s="189" t="s">
        <v>1214</v>
      </c>
      <c r="F163" s="189" t="s">
        <v>522</v>
      </c>
      <c r="G163" s="247">
        <v>206413.2</v>
      </c>
      <c r="H163" s="247">
        <v>206413.2</v>
      </c>
      <c r="I163" s="248">
        <f t="shared" si="11"/>
        <v>0</v>
      </c>
      <c r="J163" s="191">
        <v>206413.2</v>
      </c>
      <c r="K163" s="247">
        <v>206413.2</v>
      </c>
      <c r="L163" s="287">
        <f t="shared" si="12"/>
        <v>0</v>
      </c>
    </row>
    <row r="164" spans="1:12" s="303" customFormat="1" x14ac:dyDescent="0.2">
      <c r="A164" s="189" t="s">
        <v>994</v>
      </c>
      <c r="B164" s="190"/>
      <c r="C164" s="189" t="s">
        <v>498</v>
      </c>
      <c r="D164" s="189" t="s">
        <v>592</v>
      </c>
      <c r="E164" s="189" t="s">
        <v>993</v>
      </c>
      <c r="F164" s="190"/>
      <c r="G164" s="247">
        <f t="shared" ref="G164:H168" si="17">G165</f>
        <v>1000</v>
      </c>
      <c r="H164" s="247">
        <f t="shared" si="17"/>
        <v>1000</v>
      </c>
      <c r="I164" s="248">
        <f t="shared" si="11"/>
        <v>0</v>
      </c>
      <c r="J164" s="191">
        <f t="shared" ref="J164:K168" si="18">J165</f>
        <v>1000</v>
      </c>
      <c r="K164" s="247">
        <f t="shared" si="18"/>
        <v>1000</v>
      </c>
      <c r="L164" s="287">
        <f t="shared" si="12"/>
        <v>0</v>
      </c>
    </row>
    <row r="165" spans="1:12" s="303" customFormat="1" x14ac:dyDescent="0.2">
      <c r="A165" s="189" t="s">
        <v>602</v>
      </c>
      <c r="B165" s="190"/>
      <c r="C165" s="189" t="s">
        <v>498</v>
      </c>
      <c r="D165" s="189" t="s">
        <v>592</v>
      </c>
      <c r="E165" s="189" t="s">
        <v>1422</v>
      </c>
      <c r="F165" s="190"/>
      <c r="G165" s="247">
        <f t="shared" si="17"/>
        <v>1000</v>
      </c>
      <c r="H165" s="247">
        <f t="shared" si="17"/>
        <v>1000</v>
      </c>
      <c r="I165" s="248">
        <f t="shared" si="11"/>
        <v>0</v>
      </c>
      <c r="J165" s="191">
        <f t="shared" si="18"/>
        <v>1000</v>
      </c>
      <c r="K165" s="247">
        <f t="shared" si="18"/>
        <v>1000</v>
      </c>
      <c r="L165" s="287">
        <f t="shared" si="12"/>
        <v>0</v>
      </c>
    </row>
    <row r="166" spans="1:12" s="303" customFormat="1" ht="24" x14ac:dyDescent="0.2">
      <c r="A166" s="189" t="s">
        <v>600</v>
      </c>
      <c r="B166" s="190"/>
      <c r="C166" s="189" t="s">
        <v>498</v>
      </c>
      <c r="D166" s="189" t="s">
        <v>592</v>
      </c>
      <c r="E166" s="189" t="s">
        <v>1423</v>
      </c>
      <c r="F166" s="190"/>
      <c r="G166" s="247">
        <f t="shared" si="17"/>
        <v>1000</v>
      </c>
      <c r="H166" s="247">
        <f t="shared" si="17"/>
        <v>1000</v>
      </c>
      <c r="I166" s="248">
        <f t="shared" si="11"/>
        <v>0</v>
      </c>
      <c r="J166" s="191">
        <f t="shared" si="18"/>
        <v>1000</v>
      </c>
      <c r="K166" s="247">
        <f t="shared" si="18"/>
        <v>1000</v>
      </c>
      <c r="L166" s="287">
        <f t="shared" si="12"/>
        <v>0</v>
      </c>
    </row>
    <row r="167" spans="1:12" s="303" customFormat="1" ht="24" x14ac:dyDescent="0.2">
      <c r="A167" s="189" t="s">
        <v>1421</v>
      </c>
      <c r="B167" s="190"/>
      <c r="C167" s="189" t="s">
        <v>498</v>
      </c>
      <c r="D167" s="189" t="s">
        <v>592</v>
      </c>
      <c r="E167" s="189" t="s">
        <v>1424</v>
      </c>
      <c r="F167" s="190"/>
      <c r="G167" s="247">
        <f t="shared" si="17"/>
        <v>1000</v>
      </c>
      <c r="H167" s="247">
        <f t="shared" si="17"/>
        <v>1000</v>
      </c>
      <c r="I167" s="248">
        <f t="shared" si="11"/>
        <v>0</v>
      </c>
      <c r="J167" s="191">
        <f t="shared" si="18"/>
        <v>1000</v>
      </c>
      <c r="K167" s="247">
        <f t="shared" si="18"/>
        <v>1000</v>
      </c>
      <c r="L167" s="287">
        <f t="shared" si="12"/>
        <v>0</v>
      </c>
    </row>
    <row r="168" spans="1:12" s="303" customFormat="1" ht="24" x14ac:dyDescent="0.2">
      <c r="A168" s="189" t="s">
        <v>547</v>
      </c>
      <c r="B168" s="190"/>
      <c r="C168" s="189" t="s">
        <v>498</v>
      </c>
      <c r="D168" s="189" t="s">
        <v>592</v>
      </c>
      <c r="E168" s="189" t="s">
        <v>1424</v>
      </c>
      <c r="F168" s="189">
        <v>600</v>
      </c>
      <c r="G168" s="247">
        <f t="shared" si="17"/>
        <v>1000</v>
      </c>
      <c r="H168" s="247">
        <f t="shared" si="17"/>
        <v>1000</v>
      </c>
      <c r="I168" s="248">
        <f t="shared" si="11"/>
        <v>0</v>
      </c>
      <c r="J168" s="191">
        <f t="shared" si="18"/>
        <v>1000</v>
      </c>
      <c r="K168" s="247">
        <f t="shared" si="18"/>
        <v>1000</v>
      </c>
      <c r="L168" s="287">
        <f t="shared" si="12"/>
        <v>0</v>
      </c>
    </row>
    <row r="169" spans="1:12" s="303" customFormat="1" x14ac:dyDescent="0.2">
      <c r="A169" s="189" t="s">
        <v>571</v>
      </c>
      <c r="B169" s="190"/>
      <c r="C169" s="189" t="s">
        <v>498</v>
      </c>
      <c r="D169" s="189" t="s">
        <v>592</v>
      </c>
      <c r="E169" s="189" t="s">
        <v>1424</v>
      </c>
      <c r="F169" s="189">
        <v>610</v>
      </c>
      <c r="G169" s="247">
        <v>1000</v>
      </c>
      <c r="H169" s="247">
        <v>1000</v>
      </c>
      <c r="I169" s="248">
        <f t="shared" si="11"/>
        <v>0</v>
      </c>
      <c r="J169" s="191">
        <v>1000</v>
      </c>
      <c r="K169" s="247">
        <v>1000</v>
      </c>
      <c r="L169" s="287">
        <f t="shared" si="12"/>
        <v>0</v>
      </c>
    </row>
    <row r="170" spans="1:12" x14ac:dyDescent="0.2">
      <c r="A170" s="189" t="s">
        <v>595</v>
      </c>
      <c r="B170" s="189"/>
      <c r="C170" s="189" t="s">
        <v>498</v>
      </c>
      <c r="D170" s="189" t="s">
        <v>592</v>
      </c>
      <c r="E170" s="189" t="s">
        <v>594</v>
      </c>
      <c r="F170" s="189"/>
      <c r="G170" s="247">
        <v>715.7</v>
      </c>
      <c r="H170" s="247">
        <v>715.7</v>
      </c>
      <c r="I170" s="248">
        <f t="shared" si="11"/>
        <v>0</v>
      </c>
      <c r="J170" s="191">
        <v>715.7</v>
      </c>
      <c r="K170" s="247">
        <v>715.7</v>
      </c>
      <c r="L170" s="287">
        <f t="shared" si="12"/>
        <v>0</v>
      </c>
    </row>
    <row r="171" spans="1:12" ht="24" x14ac:dyDescent="0.2">
      <c r="A171" s="189" t="s">
        <v>871</v>
      </c>
      <c r="B171" s="189"/>
      <c r="C171" s="189" t="s">
        <v>498</v>
      </c>
      <c r="D171" s="189" t="s">
        <v>592</v>
      </c>
      <c r="E171" s="189" t="s">
        <v>870</v>
      </c>
      <c r="F171" s="189"/>
      <c r="G171" s="247">
        <v>715.7</v>
      </c>
      <c r="H171" s="247">
        <v>715.7</v>
      </c>
      <c r="I171" s="248">
        <f t="shared" si="11"/>
        <v>0</v>
      </c>
      <c r="J171" s="191">
        <v>715.7</v>
      </c>
      <c r="K171" s="247">
        <v>715.7</v>
      </c>
      <c r="L171" s="287">
        <f t="shared" si="12"/>
        <v>0</v>
      </c>
    </row>
    <row r="172" spans="1:12" x14ac:dyDescent="0.2">
      <c r="A172" s="189" t="s">
        <v>615</v>
      </c>
      <c r="B172" s="189"/>
      <c r="C172" s="189" t="s">
        <v>498</v>
      </c>
      <c r="D172" s="189" t="s">
        <v>592</v>
      </c>
      <c r="E172" s="189" t="s">
        <v>870</v>
      </c>
      <c r="F172" s="189" t="s">
        <v>509</v>
      </c>
      <c r="G172" s="247">
        <v>715.7</v>
      </c>
      <c r="H172" s="247">
        <v>715.7</v>
      </c>
      <c r="I172" s="248">
        <f t="shared" si="11"/>
        <v>0</v>
      </c>
      <c r="J172" s="191">
        <v>715.7</v>
      </c>
      <c r="K172" s="247">
        <v>715.7</v>
      </c>
      <c r="L172" s="287">
        <f t="shared" si="12"/>
        <v>0</v>
      </c>
    </row>
    <row r="173" spans="1:12" x14ac:dyDescent="0.2">
      <c r="A173" s="189" t="s">
        <v>752</v>
      </c>
      <c r="B173" s="189"/>
      <c r="C173" s="189" t="s">
        <v>498</v>
      </c>
      <c r="D173" s="189" t="s">
        <v>592</v>
      </c>
      <c r="E173" s="189" t="s">
        <v>870</v>
      </c>
      <c r="F173" s="189" t="s">
        <v>750</v>
      </c>
      <c r="G173" s="247">
        <v>715.7</v>
      </c>
      <c r="H173" s="247">
        <v>715.7</v>
      </c>
      <c r="I173" s="248">
        <f t="shared" si="11"/>
        <v>0</v>
      </c>
      <c r="J173" s="191">
        <v>715.7</v>
      </c>
      <c r="K173" s="247">
        <v>715.7</v>
      </c>
      <c r="L173" s="287">
        <f t="shared" si="12"/>
        <v>0</v>
      </c>
    </row>
    <row r="174" spans="1:12" s="78" customFormat="1" ht="24" x14ac:dyDescent="0.2">
      <c r="A174" s="185" t="s">
        <v>1206</v>
      </c>
      <c r="B174" s="185"/>
      <c r="C174" s="185" t="s">
        <v>531</v>
      </c>
      <c r="D174" s="185"/>
      <c r="E174" s="185"/>
      <c r="F174" s="185"/>
      <c r="G174" s="245">
        <f>G175+G216</f>
        <v>90133.9</v>
      </c>
      <c r="H174" s="245">
        <f>H175+H216</f>
        <v>90133.9</v>
      </c>
      <c r="I174" s="246">
        <f t="shared" ref="I174:I234" si="19">H174-G174</f>
        <v>0</v>
      </c>
      <c r="J174" s="187">
        <f>J175+J216</f>
        <v>90133.9</v>
      </c>
      <c r="K174" s="245">
        <f>K175+K216</f>
        <v>90133.9</v>
      </c>
      <c r="L174" s="286">
        <f t="shared" ref="L174:L234" si="20">K174-J174</f>
        <v>0</v>
      </c>
    </row>
    <row r="175" spans="1:12" ht="24" x14ac:dyDescent="0.2">
      <c r="A175" s="189" t="s">
        <v>1205</v>
      </c>
      <c r="B175" s="189"/>
      <c r="C175" s="189" t="s">
        <v>531</v>
      </c>
      <c r="D175" s="189" t="s">
        <v>670</v>
      </c>
      <c r="E175" s="189"/>
      <c r="F175" s="189"/>
      <c r="G175" s="247">
        <f>G176</f>
        <v>43681.399999999994</v>
      </c>
      <c r="H175" s="247">
        <f>H176</f>
        <v>43681.399999999994</v>
      </c>
      <c r="I175" s="248">
        <f t="shared" si="19"/>
        <v>0</v>
      </c>
      <c r="J175" s="191">
        <f>J176</f>
        <v>43681.399999999994</v>
      </c>
      <c r="K175" s="247">
        <f>K176</f>
        <v>43681.399999999994</v>
      </c>
      <c r="L175" s="287">
        <f t="shared" si="20"/>
        <v>0</v>
      </c>
    </row>
    <row r="176" spans="1:12" ht="24" x14ac:dyDescent="0.2">
      <c r="A176" s="189" t="s">
        <v>1005</v>
      </c>
      <c r="B176" s="189"/>
      <c r="C176" s="189" t="s">
        <v>531</v>
      </c>
      <c r="D176" s="189" t="s">
        <v>670</v>
      </c>
      <c r="E176" s="189" t="s">
        <v>1004</v>
      </c>
      <c r="F176" s="189"/>
      <c r="G176" s="247">
        <f>G177+G186+G191+G204+G209</f>
        <v>43681.399999999994</v>
      </c>
      <c r="H176" s="247">
        <f>H177+H186+H191+H204+H209</f>
        <v>43681.399999999994</v>
      </c>
      <c r="I176" s="248">
        <f t="shared" si="19"/>
        <v>0</v>
      </c>
      <c r="J176" s="191">
        <f>J177+J186+J191+J204+J209</f>
        <v>43681.399999999994</v>
      </c>
      <c r="K176" s="247">
        <f>K177+K186+K191+K204+K209</f>
        <v>43681.399999999994</v>
      </c>
      <c r="L176" s="287">
        <f t="shared" si="20"/>
        <v>0</v>
      </c>
    </row>
    <row r="177" spans="1:12" ht="24" x14ac:dyDescent="0.2">
      <c r="A177" s="189" t="s">
        <v>1204</v>
      </c>
      <c r="B177" s="189"/>
      <c r="C177" s="189" t="s">
        <v>531</v>
      </c>
      <c r="D177" s="189" t="s">
        <v>670</v>
      </c>
      <c r="E177" s="189" t="s">
        <v>1203</v>
      </c>
      <c r="F177" s="189"/>
      <c r="G177" s="247">
        <f>G178+G182</f>
        <v>2950</v>
      </c>
      <c r="H177" s="247">
        <f>H178+H182</f>
        <v>2950</v>
      </c>
      <c r="I177" s="248">
        <f t="shared" si="19"/>
        <v>0</v>
      </c>
      <c r="J177" s="191">
        <f>J178+J182</f>
        <v>2950</v>
      </c>
      <c r="K177" s="247">
        <f>K178+K182</f>
        <v>2950</v>
      </c>
      <c r="L177" s="287">
        <f t="shared" si="20"/>
        <v>0</v>
      </c>
    </row>
    <row r="178" spans="1:12" ht="36" x14ac:dyDescent="0.2">
      <c r="A178" s="189" t="s">
        <v>1202</v>
      </c>
      <c r="B178" s="189"/>
      <c r="C178" s="189" t="s">
        <v>531</v>
      </c>
      <c r="D178" s="189" t="s">
        <v>670</v>
      </c>
      <c r="E178" s="189" t="s">
        <v>1201</v>
      </c>
      <c r="F178" s="189"/>
      <c r="G178" s="247">
        <f t="shared" ref="G178:H180" si="21">G179</f>
        <v>250</v>
      </c>
      <c r="H178" s="247">
        <f t="shared" si="21"/>
        <v>250</v>
      </c>
      <c r="I178" s="248">
        <f t="shared" si="19"/>
        <v>0</v>
      </c>
      <c r="J178" s="191">
        <f t="shared" ref="J178:K180" si="22">J179</f>
        <v>250</v>
      </c>
      <c r="K178" s="247">
        <f t="shared" si="22"/>
        <v>250</v>
      </c>
      <c r="L178" s="287">
        <f t="shared" si="20"/>
        <v>0</v>
      </c>
    </row>
    <row r="179" spans="1:12" ht="24" x14ac:dyDescent="0.2">
      <c r="A179" s="189" t="s">
        <v>1200</v>
      </c>
      <c r="B179" s="189"/>
      <c r="C179" s="189" t="s">
        <v>531</v>
      </c>
      <c r="D179" s="189" t="s">
        <v>670</v>
      </c>
      <c r="E179" s="189" t="s">
        <v>1199</v>
      </c>
      <c r="F179" s="189"/>
      <c r="G179" s="247">
        <f t="shared" si="21"/>
        <v>250</v>
      </c>
      <c r="H179" s="247">
        <f t="shared" si="21"/>
        <v>250</v>
      </c>
      <c r="I179" s="248">
        <f t="shared" si="19"/>
        <v>0</v>
      </c>
      <c r="J179" s="191">
        <f t="shared" si="22"/>
        <v>250</v>
      </c>
      <c r="K179" s="247">
        <f t="shared" si="22"/>
        <v>250</v>
      </c>
      <c r="L179" s="287">
        <f t="shared" si="20"/>
        <v>0</v>
      </c>
    </row>
    <row r="180" spans="1:12" ht="24" x14ac:dyDescent="0.2">
      <c r="A180" s="189" t="s">
        <v>1347</v>
      </c>
      <c r="B180" s="189"/>
      <c r="C180" s="189" t="s">
        <v>531</v>
      </c>
      <c r="D180" s="189" t="s">
        <v>670</v>
      </c>
      <c r="E180" s="189" t="s">
        <v>1199</v>
      </c>
      <c r="F180" s="189" t="s">
        <v>535</v>
      </c>
      <c r="G180" s="247">
        <f t="shared" si="21"/>
        <v>250</v>
      </c>
      <c r="H180" s="247">
        <f t="shared" si="21"/>
        <v>250</v>
      </c>
      <c r="I180" s="248">
        <f t="shared" si="19"/>
        <v>0</v>
      </c>
      <c r="J180" s="191">
        <f t="shared" si="22"/>
        <v>250</v>
      </c>
      <c r="K180" s="247">
        <f t="shared" si="22"/>
        <v>250</v>
      </c>
      <c r="L180" s="287">
        <f t="shared" si="20"/>
        <v>0</v>
      </c>
    </row>
    <row r="181" spans="1:12" ht="24" x14ac:dyDescent="0.2">
      <c r="A181" s="189" t="s">
        <v>534</v>
      </c>
      <c r="B181" s="189"/>
      <c r="C181" s="189" t="s">
        <v>531</v>
      </c>
      <c r="D181" s="189" t="s">
        <v>670</v>
      </c>
      <c r="E181" s="189" t="s">
        <v>1199</v>
      </c>
      <c r="F181" s="189" t="s">
        <v>529</v>
      </c>
      <c r="G181" s="247">
        <v>250</v>
      </c>
      <c r="H181" s="247">
        <v>250</v>
      </c>
      <c r="I181" s="248">
        <f t="shared" si="19"/>
        <v>0</v>
      </c>
      <c r="J181" s="191">
        <v>250</v>
      </c>
      <c r="K181" s="247">
        <v>250</v>
      </c>
      <c r="L181" s="287">
        <f t="shared" si="20"/>
        <v>0</v>
      </c>
    </row>
    <row r="182" spans="1:12" ht="36" x14ac:dyDescent="0.2">
      <c r="A182" s="189" t="s">
        <v>1198</v>
      </c>
      <c r="B182" s="189"/>
      <c r="C182" s="189" t="s">
        <v>531</v>
      </c>
      <c r="D182" s="189" t="s">
        <v>670</v>
      </c>
      <c r="E182" s="189" t="s">
        <v>1197</v>
      </c>
      <c r="F182" s="189"/>
      <c r="G182" s="247">
        <f t="shared" ref="G182:H184" si="23">G183</f>
        <v>2700</v>
      </c>
      <c r="H182" s="247">
        <f t="shared" si="23"/>
        <v>2700</v>
      </c>
      <c r="I182" s="248">
        <f t="shared" si="19"/>
        <v>0</v>
      </c>
      <c r="J182" s="191">
        <f t="shared" ref="J182:K184" si="24">J183</f>
        <v>2700</v>
      </c>
      <c r="K182" s="247">
        <f t="shared" si="24"/>
        <v>2700</v>
      </c>
      <c r="L182" s="287">
        <f t="shared" si="20"/>
        <v>0</v>
      </c>
    </row>
    <row r="183" spans="1:12" ht="24" x14ac:dyDescent="0.2">
      <c r="A183" s="189" t="s">
        <v>1524</v>
      </c>
      <c r="B183" s="189"/>
      <c r="C183" s="189" t="s">
        <v>531</v>
      </c>
      <c r="D183" s="189" t="s">
        <v>670</v>
      </c>
      <c r="E183" s="189" t="s">
        <v>1196</v>
      </c>
      <c r="F183" s="189"/>
      <c r="G183" s="247">
        <f t="shared" si="23"/>
        <v>2700</v>
      </c>
      <c r="H183" s="247">
        <f t="shared" si="23"/>
        <v>2700</v>
      </c>
      <c r="I183" s="248">
        <f t="shared" si="19"/>
        <v>0</v>
      </c>
      <c r="J183" s="191">
        <f t="shared" si="24"/>
        <v>2700</v>
      </c>
      <c r="K183" s="247">
        <f t="shared" si="24"/>
        <v>2700</v>
      </c>
      <c r="L183" s="287">
        <f t="shared" si="20"/>
        <v>0</v>
      </c>
    </row>
    <row r="184" spans="1:12" s="390" customFormat="1" ht="24" x14ac:dyDescent="0.2">
      <c r="A184" s="189" t="s">
        <v>547</v>
      </c>
      <c r="B184" s="189"/>
      <c r="C184" s="189" t="s">
        <v>531</v>
      </c>
      <c r="D184" s="189" t="s">
        <v>670</v>
      </c>
      <c r="E184" s="189" t="s">
        <v>1196</v>
      </c>
      <c r="F184" s="189">
        <v>600</v>
      </c>
      <c r="G184" s="247">
        <f t="shared" si="23"/>
        <v>2700</v>
      </c>
      <c r="H184" s="247">
        <f t="shared" si="23"/>
        <v>2700</v>
      </c>
      <c r="I184" s="248">
        <f t="shared" si="19"/>
        <v>0</v>
      </c>
      <c r="J184" s="191">
        <f t="shared" si="24"/>
        <v>2700</v>
      </c>
      <c r="K184" s="247">
        <f t="shared" si="24"/>
        <v>2700</v>
      </c>
      <c r="L184" s="287">
        <f t="shared" si="20"/>
        <v>0</v>
      </c>
    </row>
    <row r="185" spans="1:12" s="390" customFormat="1" x14ac:dyDescent="0.2">
      <c r="A185" s="189" t="s">
        <v>571</v>
      </c>
      <c r="B185" s="189"/>
      <c r="C185" s="189" t="s">
        <v>531</v>
      </c>
      <c r="D185" s="189" t="s">
        <v>670</v>
      </c>
      <c r="E185" s="189" t="s">
        <v>1196</v>
      </c>
      <c r="F185" s="189">
        <v>610</v>
      </c>
      <c r="G185" s="247">
        <v>2700</v>
      </c>
      <c r="H185" s="247">
        <v>2700</v>
      </c>
      <c r="I185" s="248">
        <f t="shared" si="19"/>
        <v>0</v>
      </c>
      <c r="J185" s="191">
        <v>2700</v>
      </c>
      <c r="K185" s="247">
        <v>2700</v>
      </c>
      <c r="L185" s="287">
        <f t="shared" si="20"/>
        <v>0</v>
      </c>
    </row>
    <row r="186" spans="1:12" ht="24" x14ac:dyDescent="0.2">
      <c r="A186" s="189" t="s">
        <v>1195</v>
      </c>
      <c r="B186" s="189"/>
      <c r="C186" s="189" t="s">
        <v>531</v>
      </c>
      <c r="D186" s="189" t="s">
        <v>670</v>
      </c>
      <c r="E186" s="189" t="s">
        <v>1194</v>
      </c>
      <c r="F186" s="189"/>
      <c r="G186" s="247">
        <f t="shared" ref="G186:H189" si="25">G187</f>
        <v>1100</v>
      </c>
      <c r="H186" s="247">
        <f t="shared" si="25"/>
        <v>1100</v>
      </c>
      <c r="I186" s="248">
        <f t="shared" si="19"/>
        <v>0</v>
      </c>
      <c r="J186" s="191">
        <f t="shared" ref="J186:K189" si="26">J187</f>
        <v>1100</v>
      </c>
      <c r="K186" s="247">
        <f t="shared" si="26"/>
        <v>1100</v>
      </c>
      <c r="L186" s="287">
        <f t="shared" si="20"/>
        <v>0</v>
      </c>
    </row>
    <row r="187" spans="1:12" ht="60" x14ac:dyDescent="0.2">
      <c r="A187" s="189" t="s">
        <v>1193</v>
      </c>
      <c r="B187" s="189"/>
      <c r="C187" s="189" t="s">
        <v>531</v>
      </c>
      <c r="D187" s="189" t="s">
        <v>670</v>
      </c>
      <c r="E187" s="189" t="s">
        <v>1192</v>
      </c>
      <c r="F187" s="189"/>
      <c r="G187" s="247">
        <f t="shared" si="25"/>
        <v>1100</v>
      </c>
      <c r="H187" s="247">
        <f t="shared" si="25"/>
        <v>1100</v>
      </c>
      <c r="I187" s="248">
        <f t="shared" si="19"/>
        <v>0</v>
      </c>
      <c r="J187" s="191">
        <f t="shared" si="26"/>
        <v>1100</v>
      </c>
      <c r="K187" s="247">
        <f t="shared" si="26"/>
        <v>1100</v>
      </c>
      <c r="L187" s="287">
        <f t="shared" si="20"/>
        <v>0</v>
      </c>
    </row>
    <row r="188" spans="1:12" ht="24" x14ac:dyDescent="0.2">
      <c r="A188" s="189" t="s">
        <v>1191</v>
      </c>
      <c r="B188" s="189"/>
      <c r="C188" s="189" t="s">
        <v>531</v>
      </c>
      <c r="D188" s="189" t="s">
        <v>670</v>
      </c>
      <c r="E188" s="189" t="s">
        <v>1190</v>
      </c>
      <c r="F188" s="189"/>
      <c r="G188" s="247">
        <f t="shared" si="25"/>
        <v>1100</v>
      </c>
      <c r="H188" s="247">
        <f t="shared" si="25"/>
        <v>1100</v>
      </c>
      <c r="I188" s="248">
        <f t="shared" si="19"/>
        <v>0</v>
      </c>
      <c r="J188" s="191">
        <f t="shared" si="26"/>
        <v>1100</v>
      </c>
      <c r="K188" s="247">
        <f t="shared" si="26"/>
        <v>1100</v>
      </c>
      <c r="L188" s="287">
        <f t="shared" si="20"/>
        <v>0</v>
      </c>
    </row>
    <row r="189" spans="1:12" ht="24" x14ac:dyDescent="0.2">
      <c r="A189" s="189" t="s">
        <v>1347</v>
      </c>
      <c r="B189" s="189"/>
      <c r="C189" s="189" t="s">
        <v>531</v>
      </c>
      <c r="D189" s="189" t="s">
        <v>670</v>
      </c>
      <c r="E189" s="189" t="s">
        <v>1190</v>
      </c>
      <c r="F189" s="189" t="s">
        <v>535</v>
      </c>
      <c r="G189" s="247">
        <f t="shared" si="25"/>
        <v>1100</v>
      </c>
      <c r="H189" s="247">
        <f t="shared" si="25"/>
        <v>1100</v>
      </c>
      <c r="I189" s="248">
        <f t="shared" si="19"/>
        <v>0</v>
      </c>
      <c r="J189" s="191">
        <f t="shared" si="26"/>
        <v>1100</v>
      </c>
      <c r="K189" s="247">
        <f t="shared" si="26"/>
        <v>1100</v>
      </c>
      <c r="L189" s="287">
        <f t="shared" si="20"/>
        <v>0</v>
      </c>
    </row>
    <row r="190" spans="1:12" ht="24" x14ac:dyDescent="0.2">
      <c r="A190" s="189" t="s">
        <v>534</v>
      </c>
      <c r="B190" s="189"/>
      <c r="C190" s="189" t="s">
        <v>531</v>
      </c>
      <c r="D190" s="189" t="s">
        <v>670</v>
      </c>
      <c r="E190" s="189" t="s">
        <v>1190</v>
      </c>
      <c r="F190" s="189" t="s">
        <v>529</v>
      </c>
      <c r="G190" s="247">
        <v>1100</v>
      </c>
      <c r="H190" s="247">
        <v>1100</v>
      </c>
      <c r="I190" s="248">
        <f t="shared" si="19"/>
        <v>0</v>
      </c>
      <c r="J190" s="191">
        <v>1100</v>
      </c>
      <c r="K190" s="247">
        <v>1100</v>
      </c>
      <c r="L190" s="287">
        <f t="shared" si="20"/>
        <v>0</v>
      </c>
    </row>
    <row r="191" spans="1:12" x14ac:dyDescent="0.2">
      <c r="A191" s="189" t="s">
        <v>1189</v>
      </c>
      <c r="B191" s="189"/>
      <c r="C191" s="189" t="s">
        <v>531</v>
      </c>
      <c r="D191" s="189" t="s">
        <v>670</v>
      </c>
      <c r="E191" s="189" t="s">
        <v>1188</v>
      </c>
      <c r="F191" s="189"/>
      <c r="G191" s="247">
        <f>G192</f>
        <v>1716.5</v>
      </c>
      <c r="H191" s="247">
        <f>H192</f>
        <v>1716.5</v>
      </c>
      <c r="I191" s="248">
        <f t="shared" si="19"/>
        <v>0</v>
      </c>
      <c r="J191" s="191">
        <f>J192</f>
        <v>1716.5</v>
      </c>
      <c r="K191" s="247">
        <f>K192</f>
        <v>1716.5</v>
      </c>
      <c r="L191" s="287">
        <f t="shared" si="20"/>
        <v>0</v>
      </c>
    </row>
    <row r="192" spans="1:12" x14ac:dyDescent="0.2">
      <c r="A192" s="189" t="s">
        <v>1187</v>
      </c>
      <c r="B192" s="189"/>
      <c r="C192" s="189" t="s">
        <v>531</v>
      </c>
      <c r="D192" s="189" t="s">
        <v>670</v>
      </c>
      <c r="E192" s="189" t="s">
        <v>1186</v>
      </c>
      <c r="F192" s="189"/>
      <c r="G192" s="247">
        <f>G193+G198+G201</f>
        <v>1716.5</v>
      </c>
      <c r="H192" s="247">
        <f>H193+H198+H201</f>
        <v>1716.5</v>
      </c>
      <c r="I192" s="248">
        <f t="shared" si="19"/>
        <v>0</v>
      </c>
      <c r="J192" s="191">
        <f>J193+J198+J201</f>
        <v>1716.5</v>
      </c>
      <c r="K192" s="247">
        <f>K193+K198+K201</f>
        <v>1716.5</v>
      </c>
      <c r="L192" s="287">
        <f t="shared" si="20"/>
        <v>0</v>
      </c>
    </row>
    <row r="193" spans="1:12" ht="24" x14ac:dyDescent="0.2">
      <c r="A193" s="189" t="s">
        <v>1185</v>
      </c>
      <c r="B193" s="189"/>
      <c r="C193" s="189" t="s">
        <v>531</v>
      </c>
      <c r="D193" s="189" t="s">
        <v>670</v>
      </c>
      <c r="E193" s="189" t="s">
        <v>1184</v>
      </c>
      <c r="F193" s="189"/>
      <c r="G193" s="247">
        <f>G194+G196</f>
        <v>879</v>
      </c>
      <c r="H193" s="247">
        <f>H194+H196</f>
        <v>879</v>
      </c>
      <c r="I193" s="248">
        <f t="shared" si="19"/>
        <v>0</v>
      </c>
      <c r="J193" s="191">
        <f>J194+J196</f>
        <v>879</v>
      </c>
      <c r="K193" s="247">
        <f>K194+K196</f>
        <v>879</v>
      </c>
      <c r="L193" s="287">
        <f t="shared" si="20"/>
        <v>0</v>
      </c>
    </row>
    <row r="194" spans="1:12" ht="24" x14ac:dyDescent="0.2">
      <c r="A194" s="189" t="s">
        <v>1347</v>
      </c>
      <c r="B194" s="189"/>
      <c r="C194" s="189" t="s">
        <v>531</v>
      </c>
      <c r="D194" s="189" t="s">
        <v>670</v>
      </c>
      <c r="E194" s="189" t="s">
        <v>1184</v>
      </c>
      <c r="F194" s="189" t="s">
        <v>535</v>
      </c>
      <c r="G194" s="247">
        <f>G195</f>
        <v>3</v>
      </c>
      <c r="H194" s="247">
        <f>H195</f>
        <v>3</v>
      </c>
      <c r="I194" s="248">
        <f t="shared" si="19"/>
        <v>0</v>
      </c>
      <c r="J194" s="191">
        <f>J195</f>
        <v>3</v>
      </c>
      <c r="K194" s="247">
        <f>K195</f>
        <v>3</v>
      </c>
      <c r="L194" s="287">
        <f t="shared" si="20"/>
        <v>0</v>
      </c>
    </row>
    <row r="195" spans="1:12" ht="24" x14ac:dyDescent="0.2">
      <c r="A195" s="189" t="s">
        <v>534</v>
      </c>
      <c r="B195" s="189"/>
      <c r="C195" s="189" t="s">
        <v>531</v>
      </c>
      <c r="D195" s="189" t="s">
        <v>670</v>
      </c>
      <c r="E195" s="189" t="s">
        <v>1184</v>
      </c>
      <c r="F195" s="189" t="s">
        <v>529</v>
      </c>
      <c r="G195" s="247">
        <v>3</v>
      </c>
      <c r="H195" s="247">
        <v>3</v>
      </c>
      <c r="I195" s="248">
        <f t="shared" si="19"/>
        <v>0</v>
      </c>
      <c r="J195" s="191">
        <v>3</v>
      </c>
      <c r="K195" s="247">
        <v>3</v>
      </c>
      <c r="L195" s="287">
        <f t="shared" si="20"/>
        <v>0</v>
      </c>
    </row>
    <row r="196" spans="1:12" x14ac:dyDescent="0.2">
      <c r="A196" s="189" t="s">
        <v>553</v>
      </c>
      <c r="B196" s="189"/>
      <c r="C196" s="189" t="s">
        <v>531</v>
      </c>
      <c r="D196" s="189" t="s">
        <v>670</v>
      </c>
      <c r="E196" s="189" t="s">
        <v>1184</v>
      </c>
      <c r="F196" s="189" t="s">
        <v>552</v>
      </c>
      <c r="G196" s="247">
        <f>G197</f>
        <v>876</v>
      </c>
      <c r="H196" s="247">
        <f>H197</f>
        <v>876</v>
      </c>
      <c r="I196" s="248">
        <f t="shared" si="19"/>
        <v>0</v>
      </c>
      <c r="J196" s="191">
        <f>J197</f>
        <v>876</v>
      </c>
      <c r="K196" s="247">
        <f>K197</f>
        <v>876</v>
      </c>
      <c r="L196" s="287">
        <f t="shared" si="20"/>
        <v>0</v>
      </c>
    </row>
    <row r="197" spans="1:12" x14ac:dyDescent="0.2">
      <c r="A197" s="189" t="s">
        <v>841</v>
      </c>
      <c r="B197" s="189"/>
      <c r="C197" s="189" t="s">
        <v>531</v>
      </c>
      <c r="D197" s="189" t="s">
        <v>670</v>
      </c>
      <c r="E197" s="189" t="s">
        <v>1184</v>
      </c>
      <c r="F197" s="189" t="s">
        <v>840</v>
      </c>
      <c r="G197" s="247">
        <v>876</v>
      </c>
      <c r="H197" s="247">
        <v>876</v>
      </c>
      <c r="I197" s="248">
        <f t="shared" si="19"/>
        <v>0</v>
      </c>
      <c r="J197" s="191">
        <v>876</v>
      </c>
      <c r="K197" s="247">
        <v>876</v>
      </c>
      <c r="L197" s="287">
        <f t="shared" si="20"/>
        <v>0</v>
      </c>
    </row>
    <row r="198" spans="1:12" ht="24" x14ac:dyDescent="0.2">
      <c r="A198" s="189" t="s">
        <v>1183</v>
      </c>
      <c r="B198" s="189"/>
      <c r="C198" s="189" t="s">
        <v>531</v>
      </c>
      <c r="D198" s="189" t="s">
        <v>670</v>
      </c>
      <c r="E198" s="189" t="s">
        <v>1182</v>
      </c>
      <c r="F198" s="189"/>
      <c r="G198" s="247">
        <f>G199</f>
        <v>307.5</v>
      </c>
      <c r="H198" s="247">
        <f>H199</f>
        <v>307.5</v>
      </c>
      <c r="I198" s="248">
        <f t="shared" si="19"/>
        <v>0</v>
      </c>
      <c r="J198" s="191">
        <f>J199</f>
        <v>307.5</v>
      </c>
      <c r="K198" s="247">
        <f>K199</f>
        <v>307.5</v>
      </c>
      <c r="L198" s="287">
        <f t="shared" si="20"/>
        <v>0</v>
      </c>
    </row>
    <row r="199" spans="1:12" ht="24" x14ac:dyDescent="0.2">
      <c r="A199" s="189" t="s">
        <v>547</v>
      </c>
      <c r="B199" s="189"/>
      <c r="C199" s="189" t="s">
        <v>531</v>
      </c>
      <c r="D199" s="189" t="s">
        <v>670</v>
      </c>
      <c r="E199" s="189" t="s">
        <v>1182</v>
      </c>
      <c r="F199" s="189" t="s">
        <v>519</v>
      </c>
      <c r="G199" s="247">
        <f>G200</f>
        <v>307.5</v>
      </c>
      <c r="H199" s="247">
        <f>H200</f>
        <v>307.5</v>
      </c>
      <c r="I199" s="248">
        <f t="shared" si="19"/>
        <v>0</v>
      </c>
      <c r="J199" s="191">
        <f>J200</f>
        <v>307.5</v>
      </c>
      <c r="K199" s="247">
        <f>K200</f>
        <v>307.5</v>
      </c>
      <c r="L199" s="287">
        <f t="shared" si="20"/>
        <v>0</v>
      </c>
    </row>
    <row r="200" spans="1:12" x14ac:dyDescent="0.2">
      <c r="A200" s="189" t="s">
        <v>546</v>
      </c>
      <c r="B200" s="189"/>
      <c r="C200" s="189" t="s">
        <v>531</v>
      </c>
      <c r="D200" s="189" t="s">
        <v>670</v>
      </c>
      <c r="E200" s="189" t="s">
        <v>1182</v>
      </c>
      <c r="F200" s="189" t="s">
        <v>544</v>
      </c>
      <c r="G200" s="247">
        <v>307.5</v>
      </c>
      <c r="H200" s="247">
        <v>307.5</v>
      </c>
      <c r="I200" s="248">
        <f t="shared" si="19"/>
        <v>0</v>
      </c>
      <c r="J200" s="191">
        <v>307.5</v>
      </c>
      <c r="K200" s="247">
        <v>307.5</v>
      </c>
      <c r="L200" s="287">
        <f t="shared" si="20"/>
        <v>0</v>
      </c>
    </row>
    <row r="201" spans="1:12" ht="24" x14ac:dyDescent="0.2">
      <c r="A201" s="189" t="s">
        <v>1349</v>
      </c>
      <c r="B201" s="189"/>
      <c r="C201" s="189" t="s">
        <v>531</v>
      </c>
      <c r="D201" s="189" t="s">
        <v>670</v>
      </c>
      <c r="E201" s="189" t="s">
        <v>1181</v>
      </c>
      <c r="F201" s="189"/>
      <c r="G201" s="247">
        <f>G202</f>
        <v>530</v>
      </c>
      <c r="H201" s="247">
        <f>H202</f>
        <v>530</v>
      </c>
      <c r="I201" s="248">
        <f t="shared" si="19"/>
        <v>0</v>
      </c>
      <c r="J201" s="191">
        <f>J202</f>
        <v>530</v>
      </c>
      <c r="K201" s="247">
        <f>K202</f>
        <v>530</v>
      </c>
      <c r="L201" s="287">
        <f t="shared" si="20"/>
        <v>0</v>
      </c>
    </row>
    <row r="202" spans="1:12" ht="36" x14ac:dyDescent="0.2">
      <c r="A202" s="189" t="s">
        <v>1348</v>
      </c>
      <c r="B202" s="189"/>
      <c r="C202" s="189" t="s">
        <v>531</v>
      </c>
      <c r="D202" s="189" t="s">
        <v>670</v>
      </c>
      <c r="E202" s="189" t="s">
        <v>1181</v>
      </c>
      <c r="F202" s="189" t="s">
        <v>556</v>
      </c>
      <c r="G202" s="247">
        <f>G203</f>
        <v>530</v>
      </c>
      <c r="H202" s="247">
        <f>H203</f>
        <v>530</v>
      </c>
      <c r="I202" s="248">
        <f t="shared" si="19"/>
        <v>0</v>
      </c>
      <c r="J202" s="191">
        <f>J203</f>
        <v>530</v>
      </c>
      <c r="K202" s="247">
        <f>K203</f>
        <v>530</v>
      </c>
      <c r="L202" s="287">
        <f t="shared" si="20"/>
        <v>0</v>
      </c>
    </row>
    <row r="203" spans="1:12" x14ac:dyDescent="0.2">
      <c r="A203" s="189" t="s">
        <v>555</v>
      </c>
      <c r="B203" s="189"/>
      <c r="C203" s="189" t="s">
        <v>531</v>
      </c>
      <c r="D203" s="189" t="s">
        <v>670</v>
      </c>
      <c r="E203" s="189" t="s">
        <v>1181</v>
      </c>
      <c r="F203" s="189" t="s">
        <v>554</v>
      </c>
      <c r="G203" s="247">
        <v>530</v>
      </c>
      <c r="H203" s="247">
        <v>530</v>
      </c>
      <c r="I203" s="248">
        <f t="shared" si="19"/>
        <v>0</v>
      </c>
      <c r="J203" s="191">
        <v>530</v>
      </c>
      <c r="K203" s="247">
        <v>530</v>
      </c>
      <c r="L203" s="287">
        <f t="shared" si="20"/>
        <v>0</v>
      </c>
    </row>
    <row r="204" spans="1:12" x14ac:dyDescent="0.2">
      <c r="A204" s="189" t="s">
        <v>1180</v>
      </c>
      <c r="B204" s="189"/>
      <c r="C204" s="189" t="s">
        <v>531</v>
      </c>
      <c r="D204" s="189" t="s">
        <v>670</v>
      </c>
      <c r="E204" s="189" t="s">
        <v>1179</v>
      </c>
      <c r="F204" s="189"/>
      <c r="G204" s="247">
        <f t="shared" ref="G204:H207" si="27">G205</f>
        <v>150</v>
      </c>
      <c r="H204" s="247">
        <f t="shared" si="27"/>
        <v>150</v>
      </c>
      <c r="I204" s="248">
        <f t="shared" si="19"/>
        <v>0</v>
      </c>
      <c r="J204" s="191">
        <f t="shared" ref="J204:K207" si="28">J205</f>
        <v>150</v>
      </c>
      <c r="K204" s="247">
        <f t="shared" si="28"/>
        <v>150</v>
      </c>
      <c r="L204" s="287">
        <f t="shared" si="20"/>
        <v>0</v>
      </c>
    </row>
    <row r="205" spans="1:12" ht="36" x14ac:dyDescent="0.2">
      <c r="A205" s="189" t="s">
        <v>1178</v>
      </c>
      <c r="B205" s="189"/>
      <c r="C205" s="189" t="s">
        <v>531</v>
      </c>
      <c r="D205" s="189" t="s">
        <v>670</v>
      </c>
      <c r="E205" s="189" t="s">
        <v>1177</v>
      </c>
      <c r="F205" s="189"/>
      <c r="G205" s="247">
        <f t="shared" si="27"/>
        <v>150</v>
      </c>
      <c r="H205" s="247">
        <f t="shared" si="27"/>
        <v>150</v>
      </c>
      <c r="I205" s="248">
        <f t="shared" si="19"/>
        <v>0</v>
      </c>
      <c r="J205" s="191">
        <f t="shared" si="28"/>
        <v>150</v>
      </c>
      <c r="K205" s="247">
        <f t="shared" si="28"/>
        <v>150</v>
      </c>
      <c r="L205" s="287">
        <f t="shared" si="20"/>
        <v>0</v>
      </c>
    </row>
    <row r="206" spans="1:12" ht="24" x14ac:dyDescent="0.2">
      <c r="A206" s="189" t="s">
        <v>1176</v>
      </c>
      <c r="B206" s="189"/>
      <c r="C206" s="189" t="s">
        <v>531</v>
      </c>
      <c r="D206" s="189" t="s">
        <v>670</v>
      </c>
      <c r="E206" s="189" t="s">
        <v>1175</v>
      </c>
      <c r="F206" s="189"/>
      <c r="G206" s="247">
        <f t="shared" si="27"/>
        <v>150</v>
      </c>
      <c r="H206" s="247">
        <f t="shared" si="27"/>
        <v>150</v>
      </c>
      <c r="I206" s="248">
        <f t="shared" si="19"/>
        <v>0</v>
      </c>
      <c r="J206" s="191">
        <f t="shared" si="28"/>
        <v>150</v>
      </c>
      <c r="K206" s="247">
        <f t="shared" si="28"/>
        <v>150</v>
      </c>
      <c r="L206" s="287">
        <f t="shared" si="20"/>
        <v>0</v>
      </c>
    </row>
    <row r="207" spans="1:12" ht="24" x14ac:dyDescent="0.2">
      <c r="A207" s="189" t="s">
        <v>1347</v>
      </c>
      <c r="B207" s="189"/>
      <c r="C207" s="189" t="s">
        <v>531</v>
      </c>
      <c r="D207" s="189" t="s">
        <v>670</v>
      </c>
      <c r="E207" s="189" t="s">
        <v>1175</v>
      </c>
      <c r="F207" s="189" t="s">
        <v>535</v>
      </c>
      <c r="G207" s="247">
        <f t="shared" si="27"/>
        <v>150</v>
      </c>
      <c r="H207" s="247">
        <f t="shared" si="27"/>
        <v>150</v>
      </c>
      <c r="I207" s="248">
        <f t="shared" si="19"/>
        <v>0</v>
      </c>
      <c r="J207" s="191">
        <f t="shared" si="28"/>
        <v>150</v>
      </c>
      <c r="K207" s="247">
        <f t="shared" si="28"/>
        <v>150</v>
      </c>
      <c r="L207" s="287">
        <f t="shared" si="20"/>
        <v>0</v>
      </c>
    </row>
    <row r="208" spans="1:12" ht="24" x14ac:dyDescent="0.2">
      <c r="A208" s="189" t="s">
        <v>534</v>
      </c>
      <c r="B208" s="189"/>
      <c r="C208" s="189" t="s">
        <v>531</v>
      </c>
      <c r="D208" s="189" t="s">
        <v>670</v>
      </c>
      <c r="E208" s="189" t="s">
        <v>1175</v>
      </c>
      <c r="F208" s="189" t="s">
        <v>529</v>
      </c>
      <c r="G208" s="247">
        <v>150</v>
      </c>
      <c r="H208" s="247">
        <v>150</v>
      </c>
      <c r="I208" s="248">
        <f t="shared" si="19"/>
        <v>0</v>
      </c>
      <c r="J208" s="191">
        <v>150</v>
      </c>
      <c r="K208" s="247">
        <v>150</v>
      </c>
      <c r="L208" s="287">
        <f t="shared" si="20"/>
        <v>0</v>
      </c>
    </row>
    <row r="209" spans="1:12" x14ac:dyDescent="0.2">
      <c r="A209" s="189" t="s">
        <v>602</v>
      </c>
      <c r="B209" s="189"/>
      <c r="C209" s="189" t="s">
        <v>531</v>
      </c>
      <c r="D209" s="189" t="s">
        <v>670</v>
      </c>
      <c r="E209" s="189" t="s">
        <v>1174</v>
      </c>
      <c r="F209" s="189"/>
      <c r="G209" s="247">
        <f>G210</f>
        <v>37764.899999999994</v>
      </c>
      <c r="H209" s="247">
        <f>H210</f>
        <v>37764.899999999994</v>
      </c>
      <c r="I209" s="248">
        <f t="shared" si="19"/>
        <v>0</v>
      </c>
      <c r="J209" s="191">
        <f>J210</f>
        <v>37764.899999999994</v>
      </c>
      <c r="K209" s="247">
        <f>K210</f>
        <v>37764.899999999994</v>
      </c>
      <c r="L209" s="287">
        <f t="shared" si="20"/>
        <v>0</v>
      </c>
    </row>
    <row r="210" spans="1:12" ht="24" x14ac:dyDescent="0.2">
      <c r="A210" s="189" t="s">
        <v>600</v>
      </c>
      <c r="B210" s="189"/>
      <c r="C210" s="189" t="s">
        <v>531</v>
      </c>
      <c r="D210" s="189" t="s">
        <v>670</v>
      </c>
      <c r="E210" s="189" t="s">
        <v>1173</v>
      </c>
      <c r="F210" s="189"/>
      <c r="G210" s="247">
        <f>G211</f>
        <v>37764.899999999994</v>
      </c>
      <c r="H210" s="247">
        <f>H211</f>
        <v>37764.899999999994</v>
      </c>
      <c r="I210" s="248">
        <f t="shared" si="19"/>
        <v>0</v>
      </c>
      <c r="J210" s="191">
        <f>J211</f>
        <v>37764.899999999994</v>
      </c>
      <c r="K210" s="247">
        <f>K211</f>
        <v>37764.899999999994</v>
      </c>
      <c r="L210" s="287">
        <f t="shared" si="20"/>
        <v>0</v>
      </c>
    </row>
    <row r="211" spans="1:12" ht="24" x14ac:dyDescent="0.2">
      <c r="A211" s="189" t="s">
        <v>1350</v>
      </c>
      <c r="B211" s="189"/>
      <c r="C211" s="189" t="s">
        <v>531</v>
      </c>
      <c r="D211" s="189" t="s">
        <v>670</v>
      </c>
      <c r="E211" s="189" t="s">
        <v>1172</v>
      </c>
      <c r="F211" s="189"/>
      <c r="G211" s="247">
        <f>G212+G214</f>
        <v>37764.899999999994</v>
      </c>
      <c r="H211" s="247">
        <f>H212+H214</f>
        <v>37764.899999999994</v>
      </c>
      <c r="I211" s="248">
        <f t="shared" si="19"/>
        <v>0</v>
      </c>
      <c r="J211" s="191">
        <f>J212+J214</f>
        <v>37764.899999999994</v>
      </c>
      <c r="K211" s="247">
        <f>K212+K214</f>
        <v>37764.899999999994</v>
      </c>
      <c r="L211" s="287">
        <f t="shared" si="20"/>
        <v>0</v>
      </c>
    </row>
    <row r="212" spans="1:12" ht="36" x14ac:dyDescent="0.2">
      <c r="A212" s="189" t="s">
        <v>1348</v>
      </c>
      <c r="B212" s="189"/>
      <c r="C212" s="189" t="s">
        <v>531</v>
      </c>
      <c r="D212" s="189" t="s">
        <v>670</v>
      </c>
      <c r="E212" s="189" t="s">
        <v>1172</v>
      </c>
      <c r="F212" s="189" t="s">
        <v>556</v>
      </c>
      <c r="G212" s="247">
        <f>G213</f>
        <v>36741.199999999997</v>
      </c>
      <c r="H212" s="247">
        <f>H213</f>
        <v>36741.199999999997</v>
      </c>
      <c r="I212" s="248">
        <f t="shared" si="19"/>
        <v>0</v>
      </c>
      <c r="J212" s="191">
        <f>J213</f>
        <v>36741.199999999997</v>
      </c>
      <c r="K212" s="247">
        <f>K213</f>
        <v>36741.199999999997</v>
      </c>
      <c r="L212" s="287">
        <f t="shared" si="20"/>
        <v>0</v>
      </c>
    </row>
    <row r="213" spans="1:12" x14ac:dyDescent="0.2">
      <c r="A213" s="189" t="s">
        <v>555</v>
      </c>
      <c r="B213" s="189"/>
      <c r="C213" s="189" t="s">
        <v>531</v>
      </c>
      <c r="D213" s="189" t="s">
        <v>670</v>
      </c>
      <c r="E213" s="189" t="s">
        <v>1172</v>
      </c>
      <c r="F213" s="189" t="s">
        <v>554</v>
      </c>
      <c r="G213" s="247">
        <v>36741.199999999997</v>
      </c>
      <c r="H213" s="247">
        <v>36741.199999999997</v>
      </c>
      <c r="I213" s="248">
        <f t="shared" si="19"/>
        <v>0</v>
      </c>
      <c r="J213" s="191">
        <v>36741.199999999997</v>
      </c>
      <c r="K213" s="247">
        <v>36741.199999999997</v>
      </c>
      <c r="L213" s="287">
        <f t="shared" si="20"/>
        <v>0</v>
      </c>
    </row>
    <row r="214" spans="1:12" ht="24" x14ac:dyDescent="0.2">
      <c r="A214" s="189" t="s">
        <v>1347</v>
      </c>
      <c r="B214" s="189"/>
      <c r="C214" s="189" t="s">
        <v>531</v>
      </c>
      <c r="D214" s="189" t="s">
        <v>670</v>
      </c>
      <c r="E214" s="189" t="s">
        <v>1172</v>
      </c>
      <c r="F214" s="189" t="s">
        <v>535</v>
      </c>
      <c r="G214" s="247">
        <f>G215</f>
        <v>1023.7</v>
      </c>
      <c r="H214" s="247">
        <f>H215</f>
        <v>1023.7</v>
      </c>
      <c r="I214" s="248">
        <f t="shared" si="19"/>
        <v>0</v>
      </c>
      <c r="J214" s="191">
        <f>J215</f>
        <v>1023.7</v>
      </c>
      <c r="K214" s="247">
        <f>K215</f>
        <v>1023.7</v>
      </c>
      <c r="L214" s="287">
        <f t="shared" si="20"/>
        <v>0</v>
      </c>
    </row>
    <row r="215" spans="1:12" ht="24" x14ac:dyDescent="0.2">
      <c r="A215" s="189" t="s">
        <v>534</v>
      </c>
      <c r="B215" s="189"/>
      <c r="C215" s="189" t="s">
        <v>531</v>
      </c>
      <c r="D215" s="189" t="s">
        <v>670</v>
      </c>
      <c r="E215" s="189" t="s">
        <v>1172</v>
      </c>
      <c r="F215" s="189" t="s">
        <v>529</v>
      </c>
      <c r="G215" s="247">
        <v>1023.7</v>
      </c>
      <c r="H215" s="247">
        <v>1023.7</v>
      </c>
      <c r="I215" s="248">
        <f t="shared" si="19"/>
        <v>0</v>
      </c>
      <c r="J215" s="191">
        <v>1023.7</v>
      </c>
      <c r="K215" s="247">
        <v>1023.7</v>
      </c>
      <c r="L215" s="287">
        <f t="shared" si="20"/>
        <v>0</v>
      </c>
    </row>
    <row r="216" spans="1:12" ht="24" x14ac:dyDescent="0.2">
      <c r="A216" s="189" t="s">
        <v>1171</v>
      </c>
      <c r="B216" s="189"/>
      <c r="C216" s="189" t="s">
        <v>531</v>
      </c>
      <c r="D216" s="189" t="s">
        <v>1151</v>
      </c>
      <c r="E216" s="189"/>
      <c r="F216" s="189"/>
      <c r="G216" s="247">
        <f>G217</f>
        <v>46452.5</v>
      </c>
      <c r="H216" s="247">
        <f>H217</f>
        <v>46452.5</v>
      </c>
      <c r="I216" s="248">
        <f t="shared" si="19"/>
        <v>0</v>
      </c>
      <c r="J216" s="191">
        <f>J217</f>
        <v>46452.5</v>
      </c>
      <c r="K216" s="247">
        <f>K217</f>
        <v>46452.5</v>
      </c>
      <c r="L216" s="287">
        <f t="shared" si="20"/>
        <v>0</v>
      </c>
    </row>
    <row r="217" spans="1:12" ht="24" x14ac:dyDescent="0.2">
      <c r="A217" s="189" t="s">
        <v>1005</v>
      </c>
      <c r="B217" s="189"/>
      <c r="C217" s="189" t="s">
        <v>531</v>
      </c>
      <c r="D217" s="189" t="s">
        <v>1151</v>
      </c>
      <c r="E217" s="189" t="s">
        <v>1004</v>
      </c>
      <c r="F217" s="189"/>
      <c r="G217" s="247">
        <f>G218</f>
        <v>46452.5</v>
      </c>
      <c r="H217" s="247">
        <f>H218</f>
        <v>46452.5</v>
      </c>
      <c r="I217" s="248">
        <f t="shared" si="19"/>
        <v>0</v>
      </c>
      <c r="J217" s="191">
        <f>J218</f>
        <v>46452.5</v>
      </c>
      <c r="K217" s="247">
        <f>K218</f>
        <v>46452.5</v>
      </c>
      <c r="L217" s="287">
        <f t="shared" si="20"/>
        <v>0</v>
      </c>
    </row>
    <row r="218" spans="1:12" x14ac:dyDescent="0.2">
      <c r="A218" s="189" t="s">
        <v>1003</v>
      </c>
      <c r="B218" s="189"/>
      <c r="C218" s="189" t="s">
        <v>531</v>
      </c>
      <c r="D218" s="189" t="s">
        <v>1151</v>
      </c>
      <c r="E218" s="189" t="s">
        <v>1002</v>
      </c>
      <c r="F218" s="189"/>
      <c r="G218" s="247">
        <f>G219+G235+G239</f>
        <v>46452.5</v>
      </c>
      <c r="H218" s="247">
        <f>H219+H235+H239</f>
        <v>46452.5</v>
      </c>
      <c r="I218" s="248">
        <f t="shared" si="19"/>
        <v>0</v>
      </c>
      <c r="J218" s="191">
        <f>J219+J235+J239</f>
        <v>46452.5</v>
      </c>
      <c r="K218" s="247">
        <f>K219+K235+K239</f>
        <v>46452.5</v>
      </c>
      <c r="L218" s="287">
        <f t="shared" si="20"/>
        <v>0</v>
      </c>
    </row>
    <row r="219" spans="1:12" ht="36" x14ac:dyDescent="0.2">
      <c r="A219" s="189" t="s">
        <v>1170</v>
      </c>
      <c r="B219" s="189"/>
      <c r="C219" s="189" t="s">
        <v>531</v>
      </c>
      <c r="D219" s="189" t="s">
        <v>1151</v>
      </c>
      <c r="E219" s="189" t="s">
        <v>1169</v>
      </c>
      <c r="F219" s="189"/>
      <c r="G219" s="247">
        <f>G220+G223+G226+G229+G232</f>
        <v>9225</v>
      </c>
      <c r="H219" s="247">
        <f>H220+H223+H226+H229+H232</f>
        <v>9225</v>
      </c>
      <c r="I219" s="248">
        <f t="shared" si="19"/>
        <v>0</v>
      </c>
      <c r="J219" s="191">
        <f>J220+J223+J226+J229+J232</f>
        <v>9225</v>
      </c>
      <c r="K219" s="247">
        <f>K220+K223+K226+K229+K232</f>
        <v>9225</v>
      </c>
      <c r="L219" s="287">
        <f t="shared" si="20"/>
        <v>0</v>
      </c>
    </row>
    <row r="220" spans="1:12" ht="60" x14ac:dyDescent="0.2">
      <c r="A220" s="189" t="s">
        <v>1168</v>
      </c>
      <c r="B220" s="189"/>
      <c r="C220" s="189" t="s">
        <v>531</v>
      </c>
      <c r="D220" s="189" t="s">
        <v>1151</v>
      </c>
      <c r="E220" s="189" t="s">
        <v>1167</v>
      </c>
      <c r="F220" s="189"/>
      <c r="G220" s="247">
        <f>G221</f>
        <v>8000</v>
      </c>
      <c r="H220" s="247">
        <f>H221</f>
        <v>8000</v>
      </c>
      <c r="I220" s="248">
        <f t="shared" si="19"/>
        <v>0</v>
      </c>
      <c r="J220" s="191">
        <f>J221</f>
        <v>8000</v>
      </c>
      <c r="K220" s="247">
        <f>K221</f>
        <v>8000</v>
      </c>
      <c r="L220" s="287">
        <f t="shared" si="20"/>
        <v>0</v>
      </c>
    </row>
    <row r="221" spans="1:12" ht="24" x14ac:dyDescent="0.2">
      <c r="A221" s="189" t="s">
        <v>1347</v>
      </c>
      <c r="B221" s="189"/>
      <c r="C221" s="189" t="s">
        <v>531</v>
      </c>
      <c r="D221" s="189" t="s">
        <v>1151</v>
      </c>
      <c r="E221" s="189" t="s">
        <v>1167</v>
      </c>
      <c r="F221" s="189" t="s">
        <v>535</v>
      </c>
      <c r="G221" s="247">
        <f>G222</f>
        <v>8000</v>
      </c>
      <c r="H221" s="247">
        <f>H222</f>
        <v>8000</v>
      </c>
      <c r="I221" s="248">
        <f t="shared" si="19"/>
        <v>0</v>
      </c>
      <c r="J221" s="191">
        <f>J222</f>
        <v>8000</v>
      </c>
      <c r="K221" s="247">
        <f>K222</f>
        <v>8000</v>
      </c>
      <c r="L221" s="287">
        <f t="shared" si="20"/>
        <v>0</v>
      </c>
    </row>
    <row r="222" spans="1:12" ht="24" x14ac:dyDescent="0.2">
      <c r="A222" s="189" t="s">
        <v>534</v>
      </c>
      <c r="B222" s="189"/>
      <c r="C222" s="189" t="s">
        <v>531</v>
      </c>
      <c r="D222" s="189" t="s">
        <v>1151</v>
      </c>
      <c r="E222" s="189" t="s">
        <v>1167</v>
      </c>
      <c r="F222" s="189" t="s">
        <v>529</v>
      </c>
      <c r="G222" s="247">
        <v>8000</v>
      </c>
      <c r="H222" s="247">
        <v>8000</v>
      </c>
      <c r="I222" s="248">
        <f t="shared" si="19"/>
        <v>0</v>
      </c>
      <c r="J222" s="191">
        <v>8000</v>
      </c>
      <c r="K222" s="247">
        <v>8000</v>
      </c>
      <c r="L222" s="287">
        <f t="shared" si="20"/>
        <v>0</v>
      </c>
    </row>
    <row r="223" spans="1:12" ht="60" x14ac:dyDescent="0.2">
      <c r="A223" s="189" t="s">
        <v>1525</v>
      </c>
      <c r="B223" s="189"/>
      <c r="C223" s="189" t="s">
        <v>531</v>
      </c>
      <c r="D223" s="189" t="s">
        <v>1151</v>
      </c>
      <c r="E223" s="189" t="s">
        <v>1166</v>
      </c>
      <c r="F223" s="189"/>
      <c r="G223" s="247">
        <f>G224</f>
        <v>90</v>
      </c>
      <c r="H223" s="247">
        <f>H224</f>
        <v>90</v>
      </c>
      <c r="I223" s="248">
        <f t="shared" si="19"/>
        <v>0</v>
      </c>
      <c r="J223" s="191">
        <f t="shared" ref="J223:K223" si="29">J224</f>
        <v>90</v>
      </c>
      <c r="K223" s="247">
        <f t="shared" si="29"/>
        <v>90</v>
      </c>
      <c r="L223" s="287">
        <f t="shared" si="20"/>
        <v>0</v>
      </c>
    </row>
    <row r="224" spans="1:12" s="390" customFormat="1" ht="24" x14ac:dyDescent="0.2">
      <c r="A224" s="189" t="s">
        <v>547</v>
      </c>
      <c r="B224" s="189"/>
      <c r="C224" s="189" t="s">
        <v>531</v>
      </c>
      <c r="D224" s="189" t="s">
        <v>1151</v>
      </c>
      <c r="E224" s="189" t="s">
        <v>1166</v>
      </c>
      <c r="F224" s="189">
        <v>600</v>
      </c>
      <c r="G224" s="247">
        <f>G225</f>
        <v>90</v>
      </c>
      <c r="H224" s="247">
        <f>H225</f>
        <v>90</v>
      </c>
      <c r="I224" s="248">
        <f t="shared" si="19"/>
        <v>0</v>
      </c>
      <c r="J224" s="191">
        <f>J225</f>
        <v>90</v>
      </c>
      <c r="K224" s="247">
        <f>K225</f>
        <v>90</v>
      </c>
      <c r="L224" s="287">
        <f t="shared" si="20"/>
        <v>0</v>
      </c>
    </row>
    <row r="225" spans="1:12" s="390" customFormat="1" x14ac:dyDescent="0.2">
      <c r="A225" s="189" t="s">
        <v>571</v>
      </c>
      <c r="B225" s="189"/>
      <c r="C225" s="189" t="s">
        <v>531</v>
      </c>
      <c r="D225" s="189" t="s">
        <v>1151</v>
      </c>
      <c r="E225" s="189" t="s">
        <v>1166</v>
      </c>
      <c r="F225" s="189">
        <v>610</v>
      </c>
      <c r="G225" s="247">
        <v>90</v>
      </c>
      <c r="H225" s="247">
        <v>90</v>
      </c>
      <c r="I225" s="248">
        <f t="shared" si="19"/>
        <v>0</v>
      </c>
      <c r="J225" s="191">
        <v>90</v>
      </c>
      <c r="K225" s="247">
        <v>90</v>
      </c>
      <c r="L225" s="287">
        <f t="shared" si="20"/>
        <v>0</v>
      </c>
    </row>
    <row r="226" spans="1:12" ht="60" x14ac:dyDescent="0.2">
      <c r="A226" s="189" t="s">
        <v>1165</v>
      </c>
      <c r="B226" s="189"/>
      <c r="C226" s="189" t="s">
        <v>531</v>
      </c>
      <c r="D226" s="189" t="s">
        <v>1151</v>
      </c>
      <c r="E226" s="189" t="s">
        <v>1164</v>
      </c>
      <c r="F226" s="189"/>
      <c r="G226" s="247">
        <f>G227</f>
        <v>650</v>
      </c>
      <c r="H226" s="247">
        <f>H227</f>
        <v>650</v>
      </c>
      <c r="I226" s="248">
        <f t="shared" si="19"/>
        <v>0</v>
      </c>
      <c r="J226" s="191">
        <f>J227</f>
        <v>650</v>
      </c>
      <c r="K226" s="247">
        <f>K227</f>
        <v>650</v>
      </c>
      <c r="L226" s="287">
        <f t="shared" si="20"/>
        <v>0</v>
      </c>
    </row>
    <row r="227" spans="1:12" ht="24" x14ac:dyDescent="0.2">
      <c r="A227" s="189" t="s">
        <v>1347</v>
      </c>
      <c r="B227" s="189"/>
      <c r="C227" s="189" t="s">
        <v>531</v>
      </c>
      <c r="D227" s="189" t="s">
        <v>1151</v>
      </c>
      <c r="E227" s="189" t="s">
        <v>1164</v>
      </c>
      <c r="F227" s="189" t="s">
        <v>535</v>
      </c>
      <c r="G227" s="247">
        <f>G228</f>
        <v>650</v>
      </c>
      <c r="H227" s="247">
        <f>H228</f>
        <v>650</v>
      </c>
      <c r="I227" s="248">
        <f t="shared" si="19"/>
        <v>0</v>
      </c>
      <c r="J227" s="191">
        <f>J228</f>
        <v>650</v>
      </c>
      <c r="K227" s="247">
        <f>K228</f>
        <v>650</v>
      </c>
      <c r="L227" s="287">
        <f t="shared" si="20"/>
        <v>0</v>
      </c>
    </row>
    <row r="228" spans="1:12" ht="24" x14ac:dyDescent="0.2">
      <c r="A228" s="189" t="s">
        <v>534</v>
      </c>
      <c r="B228" s="189"/>
      <c r="C228" s="189" t="s">
        <v>531</v>
      </c>
      <c r="D228" s="189" t="s">
        <v>1151</v>
      </c>
      <c r="E228" s="189" t="s">
        <v>1164</v>
      </c>
      <c r="F228" s="189" t="s">
        <v>529</v>
      </c>
      <c r="G228" s="247">
        <v>650</v>
      </c>
      <c r="H228" s="247">
        <v>650</v>
      </c>
      <c r="I228" s="248">
        <f t="shared" si="19"/>
        <v>0</v>
      </c>
      <c r="J228" s="191">
        <v>650</v>
      </c>
      <c r="K228" s="247">
        <v>650</v>
      </c>
      <c r="L228" s="287">
        <f t="shared" si="20"/>
        <v>0</v>
      </c>
    </row>
    <row r="229" spans="1:12" ht="60" x14ac:dyDescent="0.2">
      <c r="A229" s="189" t="s">
        <v>1163</v>
      </c>
      <c r="B229" s="189"/>
      <c r="C229" s="189" t="s">
        <v>531</v>
      </c>
      <c r="D229" s="189" t="s">
        <v>1151</v>
      </c>
      <c r="E229" s="189" t="s">
        <v>1162</v>
      </c>
      <c r="F229" s="189"/>
      <c r="G229" s="247">
        <f>G230</f>
        <v>400</v>
      </c>
      <c r="H229" s="247">
        <f>H230</f>
        <v>400</v>
      </c>
      <c r="I229" s="248">
        <f t="shared" si="19"/>
        <v>0</v>
      </c>
      <c r="J229" s="191">
        <f>J230</f>
        <v>400</v>
      </c>
      <c r="K229" s="247">
        <f>K230</f>
        <v>400</v>
      </c>
      <c r="L229" s="287">
        <f t="shared" si="20"/>
        <v>0</v>
      </c>
    </row>
    <row r="230" spans="1:12" ht="24" x14ac:dyDescent="0.2">
      <c r="A230" s="189" t="s">
        <v>1347</v>
      </c>
      <c r="B230" s="189"/>
      <c r="C230" s="189" t="s">
        <v>531</v>
      </c>
      <c r="D230" s="189" t="s">
        <v>1151</v>
      </c>
      <c r="E230" s="189" t="s">
        <v>1162</v>
      </c>
      <c r="F230" s="189" t="s">
        <v>535</v>
      </c>
      <c r="G230" s="247">
        <f>G231</f>
        <v>400</v>
      </c>
      <c r="H230" s="247">
        <f>H231</f>
        <v>400</v>
      </c>
      <c r="I230" s="248">
        <f t="shared" si="19"/>
        <v>0</v>
      </c>
      <c r="J230" s="191">
        <f>J231</f>
        <v>400</v>
      </c>
      <c r="K230" s="247">
        <f>K231</f>
        <v>400</v>
      </c>
      <c r="L230" s="287">
        <f t="shared" si="20"/>
        <v>0</v>
      </c>
    </row>
    <row r="231" spans="1:12" ht="24" x14ac:dyDescent="0.2">
      <c r="A231" s="189" t="s">
        <v>534</v>
      </c>
      <c r="B231" s="189"/>
      <c r="C231" s="189" t="s">
        <v>531</v>
      </c>
      <c r="D231" s="189" t="s">
        <v>1151</v>
      </c>
      <c r="E231" s="189" t="s">
        <v>1162</v>
      </c>
      <c r="F231" s="189" t="s">
        <v>529</v>
      </c>
      <c r="G231" s="247">
        <v>400</v>
      </c>
      <c r="H231" s="247">
        <v>400</v>
      </c>
      <c r="I231" s="248">
        <f t="shared" si="19"/>
        <v>0</v>
      </c>
      <c r="J231" s="191">
        <v>400</v>
      </c>
      <c r="K231" s="247">
        <v>400</v>
      </c>
      <c r="L231" s="287">
        <f t="shared" si="20"/>
        <v>0</v>
      </c>
    </row>
    <row r="232" spans="1:12" ht="60" x14ac:dyDescent="0.2">
      <c r="A232" s="189" t="s">
        <v>1161</v>
      </c>
      <c r="B232" s="189"/>
      <c r="C232" s="189" t="s">
        <v>531</v>
      </c>
      <c r="D232" s="189" t="s">
        <v>1151</v>
      </c>
      <c r="E232" s="189" t="s">
        <v>1160</v>
      </c>
      <c r="F232" s="189"/>
      <c r="G232" s="247">
        <f>G233</f>
        <v>85</v>
      </c>
      <c r="H232" s="247">
        <f>H233</f>
        <v>85</v>
      </c>
      <c r="I232" s="248">
        <f t="shared" si="19"/>
        <v>0</v>
      </c>
      <c r="J232" s="191">
        <f>J233</f>
        <v>85</v>
      </c>
      <c r="K232" s="247">
        <f>K233</f>
        <v>85</v>
      </c>
      <c r="L232" s="287">
        <f t="shared" si="20"/>
        <v>0</v>
      </c>
    </row>
    <row r="233" spans="1:12" ht="24" x14ac:dyDescent="0.2">
      <c r="A233" s="189" t="s">
        <v>547</v>
      </c>
      <c r="B233" s="189"/>
      <c r="C233" s="189" t="s">
        <v>531</v>
      </c>
      <c r="D233" s="189" t="s">
        <v>1151</v>
      </c>
      <c r="E233" s="189" t="s">
        <v>1160</v>
      </c>
      <c r="F233" s="189" t="s">
        <v>519</v>
      </c>
      <c r="G233" s="247">
        <f>G234</f>
        <v>85</v>
      </c>
      <c r="H233" s="247">
        <f>H234</f>
        <v>85</v>
      </c>
      <c r="I233" s="248">
        <f t="shared" si="19"/>
        <v>0</v>
      </c>
      <c r="J233" s="191">
        <f>J234</f>
        <v>85</v>
      </c>
      <c r="K233" s="247">
        <f>K234</f>
        <v>85</v>
      </c>
      <c r="L233" s="287">
        <f t="shared" si="20"/>
        <v>0</v>
      </c>
    </row>
    <row r="234" spans="1:12" x14ac:dyDescent="0.2">
      <c r="A234" s="189" t="s">
        <v>546</v>
      </c>
      <c r="B234" s="189"/>
      <c r="C234" s="189" t="s">
        <v>531</v>
      </c>
      <c r="D234" s="189" t="s">
        <v>1151</v>
      </c>
      <c r="E234" s="189" t="s">
        <v>1160</v>
      </c>
      <c r="F234" s="189" t="s">
        <v>544</v>
      </c>
      <c r="G234" s="247">
        <v>85</v>
      </c>
      <c r="H234" s="247">
        <v>85</v>
      </c>
      <c r="I234" s="248">
        <f t="shared" si="19"/>
        <v>0</v>
      </c>
      <c r="J234" s="191">
        <v>85</v>
      </c>
      <c r="K234" s="247">
        <v>85</v>
      </c>
      <c r="L234" s="287">
        <f t="shared" si="20"/>
        <v>0</v>
      </c>
    </row>
    <row r="235" spans="1:12" ht="48" x14ac:dyDescent="0.2">
      <c r="A235" s="189" t="s">
        <v>1159</v>
      </c>
      <c r="B235" s="189"/>
      <c r="C235" s="189" t="s">
        <v>531</v>
      </c>
      <c r="D235" s="189" t="s">
        <v>1151</v>
      </c>
      <c r="E235" s="189" t="s">
        <v>1158</v>
      </c>
      <c r="F235" s="189"/>
      <c r="G235" s="247">
        <f t="shared" ref="G235:H237" si="30">G236</f>
        <v>18</v>
      </c>
      <c r="H235" s="247">
        <f t="shared" si="30"/>
        <v>18</v>
      </c>
      <c r="I235" s="248">
        <f t="shared" ref="I235:I302" si="31">H235-G235</f>
        <v>0</v>
      </c>
      <c r="J235" s="191">
        <f t="shared" ref="J235:K237" si="32">J236</f>
        <v>18</v>
      </c>
      <c r="K235" s="247">
        <f t="shared" si="32"/>
        <v>18</v>
      </c>
      <c r="L235" s="287">
        <f t="shared" ref="L235:L302" si="33">K235-J235</f>
        <v>0</v>
      </c>
    </row>
    <row r="236" spans="1:12" ht="24" x14ac:dyDescent="0.2">
      <c r="A236" s="189" t="s">
        <v>1157</v>
      </c>
      <c r="B236" s="189"/>
      <c r="C236" s="189" t="s">
        <v>531</v>
      </c>
      <c r="D236" s="189" t="s">
        <v>1151</v>
      </c>
      <c r="E236" s="189" t="s">
        <v>1156</v>
      </c>
      <c r="F236" s="189"/>
      <c r="G236" s="247">
        <f t="shared" si="30"/>
        <v>18</v>
      </c>
      <c r="H236" s="247">
        <f t="shared" si="30"/>
        <v>18</v>
      </c>
      <c r="I236" s="248">
        <f t="shared" si="31"/>
        <v>0</v>
      </c>
      <c r="J236" s="191">
        <f t="shared" si="32"/>
        <v>18</v>
      </c>
      <c r="K236" s="247">
        <f t="shared" si="32"/>
        <v>18</v>
      </c>
      <c r="L236" s="287">
        <f t="shared" si="33"/>
        <v>0</v>
      </c>
    </row>
    <row r="237" spans="1:12" ht="24" x14ac:dyDescent="0.2">
      <c r="A237" s="189" t="s">
        <v>547</v>
      </c>
      <c r="B237" s="189"/>
      <c r="C237" s="189" t="s">
        <v>531</v>
      </c>
      <c r="D237" s="189" t="s">
        <v>1151</v>
      </c>
      <c r="E237" s="189" t="s">
        <v>1156</v>
      </c>
      <c r="F237" s="189" t="s">
        <v>519</v>
      </c>
      <c r="G237" s="247">
        <f t="shared" si="30"/>
        <v>18</v>
      </c>
      <c r="H237" s="247">
        <f t="shared" si="30"/>
        <v>18</v>
      </c>
      <c r="I237" s="248">
        <f t="shared" si="31"/>
        <v>0</v>
      </c>
      <c r="J237" s="191">
        <f t="shared" si="32"/>
        <v>18</v>
      </c>
      <c r="K237" s="247">
        <f t="shared" si="32"/>
        <v>18</v>
      </c>
      <c r="L237" s="287">
        <f t="shared" si="33"/>
        <v>0</v>
      </c>
    </row>
    <row r="238" spans="1:12" x14ac:dyDescent="0.2">
      <c r="A238" s="189" t="s">
        <v>546</v>
      </c>
      <c r="B238" s="189"/>
      <c r="C238" s="189" t="s">
        <v>531</v>
      </c>
      <c r="D238" s="189" t="s">
        <v>1151</v>
      </c>
      <c r="E238" s="189" t="s">
        <v>1156</v>
      </c>
      <c r="F238" s="189" t="s">
        <v>544</v>
      </c>
      <c r="G238" s="247">
        <v>18</v>
      </c>
      <c r="H238" s="247">
        <v>18</v>
      </c>
      <c r="I238" s="248">
        <f t="shared" si="31"/>
        <v>0</v>
      </c>
      <c r="J238" s="191">
        <v>18</v>
      </c>
      <c r="K238" s="247">
        <v>18</v>
      </c>
      <c r="L238" s="287">
        <f t="shared" si="33"/>
        <v>0</v>
      </c>
    </row>
    <row r="239" spans="1:12" ht="36" x14ac:dyDescent="0.2">
      <c r="A239" s="189" t="s">
        <v>1155</v>
      </c>
      <c r="B239" s="189"/>
      <c r="C239" s="189" t="s">
        <v>531</v>
      </c>
      <c r="D239" s="189" t="s">
        <v>1151</v>
      </c>
      <c r="E239" s="189" t="s">
        <v>1154</v>
      </c>
      <c r="F239" s="189"/>
      <c r="G239" s="247">
        <f>G240+G243</f>
        <v>37209.5</v>
      </c>
      <c r="H239" s="247">
        <f>H240+H243</f>
        <v>37209.5</v>
      </c>
      <c r="I239" s="248">
        <f t="shared" si="31"/>
        <v>0</v>
      </c>
      <c r="J239" s="191">
        <f>J240+J243</f>
        <v>37209.5</v>
      </c>
      <c r="K239" s="247">
        <f>K240+K243</f>
        <v>37209.5</v>
      </c>
      <c r="L239" s="287">
        <f t="shared" si="33"/>
        <v>0</v>
      </c>
    </row>
    <row r="240" spans="1:12" x14ac:dyDescent="0.2">
      <c r="A240" s="189" t="s">
        <v>1153</v>
      </c>
      <c r="B240" s="189"/>
      <c r="C240" s="189" t="s">
        <v>531</v>
      </c>
      <c r="D240" s="189" t="s">
        <v>1151</v>
      </c>
      <c r="E240" s="189" t="s">
        <v>1152</v>
      </c>
      <c r="F240" s="189"/>
      <c r="G240" s="247">
        <f>G241</f>
        <v>8850</v>
      </c>
      <c r="H240" s="247">
        <f>H241</f>
        <v>8850</v>
      </c>
      <c r="I240" s="248">
        <f t="shared" si="31"/>
        <v>0</v>
      </c>
      <c r="J240" s="191">
        <f>J241</f>
        <v>8850</v>
      </c>
      <c r="K240" s="247">
        <f>K241</f>
        <v>8850</v>
      </c>
      <c r="L240" s="287">
        <f t="shared" si="33"/>
        <v>0</v>
      </c>
    </row>
    <row r="241" spans="1:12" ht="24" x14ac:dyDescent="0.2">
      <c r="A241" s="189" t="s">
        <v>1347</v>
      </c>
      <c r="B241" s="189"/>
      <c r="C241" s="189" t="s">
        <v>531</v>
      </c>
      <c r="D241" s="189" t="s">
        <v>1151</v>
      </c>
      <c r="E241" s="189" t="s">
        <v>1152</v>
      </c>
      <c r="F241" s="189" t="s">
        <v>535</v>
      </c>
      <c r="G241" s="247">
        <f>G242</f>
        <v>8850</v>
      </c>
      <c r="H241" s="247">
        <f>H242</f>
        <v>8850</v>
      </c>
      <c r="I241" s="248">
        <f t="shared" si="31"/>
        <v>0</v>
      </c>
      <c r="J241" s="191">
        <f>J242</f>
        <v>8850</v>
      </c>
      <c r="K241" s="247">
        <f>K242</f>
        <v>8850</v>
      </c>
      <c r="L241" s="287">
        <f t="shared" si="33"/>
        <v>0</v>
      </c>
    </row>
    <row r="242" spans="1:12" ht="24" x14ac:dyDescent="0.2">
      <c r="A242" s="189" t="s">
        <v>534</v>
      </c>
      <c r="B242" s="189"/>
      <c r="C242" s="189" t="s">
        <v>531</v>
      </c>
      <c r="D242" s="189" t="s">
        <v>1151</v>
      </c>
      <c r="E242" s="189" t="s">
        <v>1152</v>
      </c>
      <c r="F242" s="189" t="s">
        <v>529</v>
      </c>
      <c r="G242" s="247">
        <v>8850</v>
      </c>
      <c r="H242" s="247">
        <v>8850</v>
      </c>
      <c r="I242" s="248">
        <f t="shared" si="31"/>
        <v>0</v>
      </c>
      <c r="J242" s="191">
        <v>8850</v>
      </c>
      <c r="K242" s="247">
        <v>8850</v>
      </c>
      <c r="L242" s="287">
        <f t="shared" si="33"/>
        <v>0</v>
      </c>
    </row>
    <row r="243" spans="1:12" ht="24" x14ac:dyDescent="0.2">
      <c r="A243" s="189" t="s">
        <v>1351</v>
      </c>
      <c r="B243" s="189"/>
      <c r="C243" s="189" t="s">
        <v>531</v>
      </c>
      <c r="D243" s="189" t="s">
        <v>1151</v>
      </c>
      <c r="E243" s="189" t="s">
        <v>1150</v>
      </c>
      <c r="F243" s="189"/>
      <c r="G243" s="247">
        <f>G244</f>
        <v>28359.5</v>
      </c>
      <c r="H243" s="247">
        <f>H244</f>
        <v>28359.5</v>
      </c>
      <c r="I243" s="248">
        <f t="shared" si="31"/>
        <v>0</v>
      </c>
      <c r="J243" s="191">
        <f>J244</f>
        <v>28359.5</v>
      </c>
      <c r="K243" s="247">
        <f>K244</f>
        <v>28359.5</v>
      </c>
      <c r="L243" s="287">
        <f t="shared" si="33"/>
        <v>0</v>
      </c>
    </row>
    <row r="244" spans="1:12" ht="24" x14ac:dyDescent="0.2">
      <c r="A244" s="189" t="s">
        <v>547</v>
      </c>
      <c r="B244" s="189"/>
      <c r="C244" s="189" t="s">
        <v>531</v>
      </c>
      <c r="D244" s="189" t="s">
        <v>1151</v>
      </c>
      <c r="E244" s="189" t="s">
        <v>1150</v>
      </c>
      <c r="F244" s="189" t="s">
        <v>519</v>
      </c>
      <c r="G244" s="247">
        <f>G245</f>
        <v>28359.5</v>
      </c>
      <c r="H244" s="247">
        <f>H245</f>
        <v>28359.5</v>
      </c>
      <c r="I244" s="248">
        <f t="shared" si="31"/>
        <v>0</v>
      </c>
      <c r="J244" s="191">
        <f>J245</f>
        <v>28359.5</v>
      </c>
      <c r="K244" s="247">
        <f>K245</f>
        <v>28359.5</v>
      </c>
      <c r="L244" s="287">
        <f t="shared" si="33"/>
        <v>0</v>
      </c>
    </row>
    <row r="245" spans="1:12" x14ac:dyDescent="0.2">
      <c r="A245" s="189" t="s">
        <v>546</v>
      </c>
      <c r="B245" s="189"/>
      <c r="C245" s="189" t="s">
        <v>531</v>
      </c>
      <c r="D245" s="189" t="s">
        <v>1151</v>
      </c>
      <c r="E245" s="189" t="s">
        <v>1150</v>
      </c>
      <c r="F245" s="189" t="s">
        <v>544</v>
      </c>
      <c r="G245" s="247">
        <v>28359.5</v>
      </c>
      <c r="H245" s="247">
        <v>28359.5</v>
      </c>
      <c r="I245" s="248">
        <f t="shared" si="31"/>
        <v>0</v>
      </c>
      <c r="J245" s="191">
        <v>28359.5</v>
      </c>
      <c r="K245" s="247">
        <v>28359.5</v>
      </c>
      <c r="L245" s="287">
        <f t="shared" si="33"/>
        <v>0</v>
      </c>
    </row>
    <row r="246" spans="1:12" s="78" customFormat="1" x14ac:dyDescent="0.2">
      <c r="A246" s="185" t="s">
        <v>590</v>
      </c>
      <c r="B246" s="185"/>
      <c r="C246" s="185" t="s">
        <v>507</v>
      </c>
      <c r="D246" s="185"/>
      <c r="E246" s="185"/>
      <c r="F246" s="185"/>
      <c r="G246" s="245">
        <f>G247+G273+G294+G307+G379+G397</f>
        <v>708088</v>
      </c>
      <c r="H246" s="245">
        <f>H247+H273+H294+H307+H379+H397</f>
        <v>708440</v>
      </c>
      <c r="I246" s="246">
        <f t="shared" si="31"/>
        <v>352</v>
      </c>
      <c r="J246" s="187">
        <f>J247+J273+J294+J307+J379+J397</f>
        <v>721311.70000000007</v>
      </c>
      <c r="K246" s="245">
        <f>K247+K273+K294+K307+K379+K397</f>
        <v>721663.70000000007</v>
      </c>
      <c r="L246" s="286">
        <f t="shared" si="33"/>
        <v>352</v>
      </c>
    </row>
    <row r="247" spans="1:12" x14ac:dyDescent="0.2">
      <c r="A247" s="189" t="s">
        <v>589</v>
      </c>
      <c r="B247" s="189"/>
      <c r="C247" s="189" t="s">
        <v>507</v>
      </c>
      <c r="D247" s="189" t="s">
        <v>498</v>
      </c>
      <c r="E247" s="189"/>
      <c r="F247" s="189"/>
      <c r="G247" s="247">
        <f>G248+G258+G264</f>
        <v>1350.9</v>
      </c>
      <c r="H247" s="247">
        <f>H248+H258+H264</f>
        <v>1350.9</v>
      </c>
      <c r="I247" s="248">
        <f t="shared" si="31"/>
        <v>0</v>
      </c>
      <c r="J247" s="191">
        <f>J248+J258+J264</f>
        <v>1350.9</v>
      </c>
      <c r="K247" s="247">
        <f>K248+K258+K264</f>
        <v>1350.9</v>
      </c>
      <c r="L247" s="287">
        <f t="shared" si="33"/>
        <v>0</v>
      </c>
    </row>
    <row r="248" spans="1:12" x14ac:dyDescent="0.2">
      <c r="A248" s="189" t="s">
        <v>653</v>
      </c>
      <c r="B248" s="189"/>
      <c r="C248" s="189" t="s">
        <v>507</v>
      </c>
      <c r="D248" s="189" t="s">
        <v>498</v>
      </c>
      <c r="E248" s="189" t="s">
        <v>652</v>
      </c>
      <c r="F248" s="189"/>
      <c r="G248" s="247">
        <v>695.6</v>
      </c>
      <c r="H248" s="247">
        <v>695.6</v>
      </c>
      <c r="I248" s="248">
        <f t="shared" si="31"/>
        <v>0</v>
      </c>
      <c r="J248" s="191">
        <v>695.6</v>
      </c>
      <c r="K248" s="247">
        <v>695.6</v>
      </c>
      <c r="L248" s="287">
        <f t="shared" si="33"/>
        <v>0</v>
      </c>
    </row>
    <row r="249" spans="1:12" ht="24" x14ac:dyDescent="0.2">
      <c r="A249" s="189" t="s">
        <v>639</v>
      </c>
      <c r="B249" s="189"/>
      <c r="C249" s="189" t="s">
        <v>507</v>
      </c>
      <c r="D249" s="189" t="s">
        <v>498</v>
      </c>
      <c r="E249" s="189" t="s">
        <v>638</v>
      </c>
      <c r="F249" s="189"/>
      <c r="G249" s="247">
        <v>695.6</v>
      </c>
      <c r="H249" s="247">
        <v>695.6</v>
      </c>
      <c r="I249" s="248">
        <f t="shared" si="31"/>
        <v>0</v>
      </c>
      <c r="J249" s="191">
        <v>695.6</v>
      </c>
      <c r="K249" s="247">
        <v>695.6</v>
      </c>
      <c r="L249" s="287">
        <f t="shared" si="33"/>
        <v>0</v>
      </c>
    </row>
    <row r="250" spans="1:12" ht="24" x14ac:dyDescent="0.2">
      <c r="A250" s="189" t="s">
        <v>637</v>
      </c>
      <c r="B250" s="189"/>
      <c r="C250" s="189" t="s">
        <v>507</v>
      </c>
      <c r="D250" s="189" t="s">
        <v>498</v>
      </c>
      <c r="E250" s="189" t="s">
        <v>636</v>
      </c>
      <c r="F250" s="189"/>
      <c r="G250" s="247">
        <v>695.6</v>
      </c>
      <c r="H250" s="247">
        <v>695.6</v>
      </c>
      <c r="I250" s="248">
        <f t="shared" si="31"/>
        <v>0</v>
      </c>
      <c r="J250" s="191">
        <v>695.6</v>
      </c>
      <c r="K250" s="247">
        <v>695.6</v>
      </c>
      <c r="L250" s="287">
        <f t="shared" si="33"/>
        <v>0</v>
      </c>
    </row>
    <row r="251" spans="1:12" x14ac:dyDescent="0.2">
      <c r="A251" s="189" t="s">
        <v>622</v>
      </c>
      <c r="B251" s="189"/>
      <c r="C251" s="189" t="s">
        <v>507</v>
      </c>
      <c r="D251" s="189" t="s">
        <v>498</v>
      </c>
      <c r="E251" s="189" t="s">
        <v>635</v>
      </c>
      <c r="F251" s="189"/>
      <c r="G251" s="247">
        <v>695.6</v>
      </c>
      <c r="H251" s="247">
        <v>695.6</v>
      </c>
      <c r="I251" s="248">
        <f t="shared" si="31"/>
        <v>0</v>
      </c>
      <c r="J251" s="191">
        <v>695.6</v>
      </c>
      <c r="K251" s="247">
        <v>695.6</v>
      </c>
      <c r="L251" s="287">
        <f t="shared" si="33"/>
        <v>0</v>
      </c>
    </row>
    <row r="252" spans="1:12" ht="24" x14ac:dyDescent="0.2">
      <c r="A252" s="189" t="s">
        <v>1347</v>
      </c>
      <c r="B252" s="189"/>
      <c r="C252" s="189" t="s">
        <v>507</v>
      </c>
      <c r="D252" s="189" t="s">
        <v>498</v>
      </c>
      <c r="E252" s="189" t="s">
        <v>635</v>
      </c>
      <c r="F252" s="189" t="s">
        <v>535</v>
      </c>
      <c r="G252" s="247">
        <v>78.3</v>
      </c>
      <c r="H252" s="247">
        <v>78.3</v>
      </c>
      <c r="I252" s="248">
        <f t="shared" si="31"/>
        <v>0</v>
      </c>
      <c r="J252" s="191">
        <v>78.3</v>
      </c>
      <c r="K252" s="247">
        <v>78.3</v>
      </c>
      <c r="L252" s="287">
        <f t="shared" si="33"/>
        <v>0</v>
      </c>
    </row>
    <row r="253" spans="1:12" ht="24" x14ac:dyDescent="0.2">
      <c r="A253" s="189" t="s">
        <v>534</v>
      </c>
      <c r="B253" s="189"/>
      <c r="C253" s="189" t="s">
        <v>507</v>
      </c>
      <c r="D253" s="189" t="s">
        <v>498</v>
      </c>
      <c r="E253" s="189" t="s">
        <v>635</v>
      </c>
      <c r="F253" s="189" t="s">
        <v>529</v>
      </c>
      <c r="G253" s="247">
        <v>78.3</v>
      </c>
      <c r="H253" s="247">
        <v>78.3</v>
      </c>
      <c r="I253" s="248">
        <f t="shared" si="31"/>
        <v>0</v>
      </c>
      <c r="J253" s="191">
        <v>78.3</v>
      </c>
      <c r="K253" s="247">
        <v>78.3</v>
      </c>
      <c r="L253" s="287">
        <f t="shared" si="33"/>
        <v>0</v>
      </c>
    </row>
    <row r="254" spans="1:12" x14ac:dyDescent="0.2">
      <c r="A254" s="189" t="s">
        <v>553</v>
      </c>
      <c r="B254" s="189"/>
      <c r="C254" s="189" t="s">
        <v>507</v>
      </c>
      <c r="D254" s="189" t="s">
        <v>498</v>
      </c>
      <c r="E254" s="189" t="s">
        <v>635</v>
      </c>
      <c r="F254" s="189" t="s">
        <v>552</v>
      </c>
      <c r="G254" s="247">
        <v>517.29999999999995</v>
      </c>
      <c r="H254" s="247">
        <v>517.29999999999995</v>
      </c>
      <c r="I254" s="248">
        <f t="shared" si="31"/>
        <v>0</v>
      </c>
      <c r="J254" s="191">
        <v>517.29999999999995</v>
      </c>
      <c r="K254" s="247">
        <v>517.29999999999995</v>
      </c>
      <c r="L254" s="287">
        <f t="shared" si="33"/>
        <v>0</v>
      </c>
    </row>
    <row r="255" spans="1:12" x14ac:dyDescent="0.2">
      <c r="A255" s="189" t="s">
        <v>621</v>
      </c>
      <c r="B255" s="189"/>
      <c r="C255" s="189" t="s">
        <v>507</v>
      </c>
      <c r="D255" s="189" t="s">
        <v>498</v>
      </c>
      <c r="E255" s="189" t="s">
        <v>635</v>
      </c>
      <c r="F255" s="189" t="s">
        <v>619</v>
      </c>
      <c r="G255" s="247">
        <v>517.29999999999995</v>
      </c>
      <c r="H255" s="247">
        <v>517.29999999999995</v>
      </c>
      <c r="I255" s="248">
        <f t="shared" si="31"/>
        <v>0</v>
      </c>
      <c r="J255" s="191">
        <v>517.29999999999995</v>
      </c>
      <c r="K255" s="247">
        <v>517.29999999999995</v>
      </c>
      <c r="L255" s="287">
        <f t="shared" si="33"/>
        <v>0</v>
      </c>
    </row>
    <row r="256" spans="1:12" ht="24" x14ac:dyDescent="0.2">
      <c r="A256" s="189" t="s">
        <v>547</v>
      </c>
      <c r="B256" s="189"/>
      <c r="C256" s="189" t="s">
        <v>507</v>
      </c>
      <c r="D256" s="189" t="s">
        <v>498</v>
      </c>
      <c r="E256" s="189" t="s">
        <v>635</v>
      </c>
      <c r="F256" s="189" t="s">
        <v>519</v>
      </c>
      <c r="G256" s="247">
        <v>100</v>
      </c>
      <c r="H256" s="247">
        <v>100</v>
      </c>
      <c r="I256" s="248">
        <f t="shared" si="31"/>
        <v>0</v>
      </c>
      <c r="J256" s="191">
        <v>100</v>
      </c>
      <c r="K256" s="247">
        <v>100</v>
      </c>
      <c r="L256" s="287">
        <f t="shared" si="33"/>
        <v>0</v>
      </c>
    </row>
    <row r="257" spans="1:12" x14ac:dyDescent="0.2">
      <c r="A257" s="189" t="s">
        <v>546</v>
      </c>
      <c r="B257" s="189"/>
      <c r="C257" s="189" t="s">
        <v>507</v>
      </c>
      <c r="D257" s="189" t="s">
        <v>498</v>
      </c>
      <c r="E257" s="189" t="s">
        <v>635</v>
      </c>
      <c r="F257" s="189" t="s">
        <v>544</v>
      </c>
      <c r="G257" s="247">
        <v>100</v>
      </c>
      <c r="H257" s="247">
        <v>100</v>
      </c>
      <c r="I257" s="248">
        <f t="shared" si="31"/>
        <v>0</v>
      </c>
      <c r="J257" s="191">
        <v>100</v>
      </c>
      <c r="K257" s="247">
        <v>100</v>
      </c>
      <c r="L257" s="287">
        <f t="shared" si="33"/>
        <v>0</v>
      </c>
    </row>
    <row r="258" spans="1:12" ht="24" x14ac:dyDescent="0.2">
      <c r="A258" s="189" t="s">
        <v>604</v>
      </c>
      <c r="B258" s="189"/>
      <c r="C258" s="189" t="s">
        <v>507</v>
      </c>
      <c r="D258" s="189" t="s">
        <v>498</v>
      </c>
      <c r="E258" s="189" t="s">
        <v>603</v>
      </c>
      <c r="F258" s="189"/>
      <c r="G258" s="247">
        <v>57</v>
      </c>
      <c r="H258" s="247">
        <v>57</v>
      </c>
      <c r="I258" s="248">
        <f t="shared" si="31"/>
        <v>0</v>
      </c>
      <c r="J258" s="191">
        <v>57</v>
      </c>
      <c r="K258" s="247">
        <v>57</v>
      </c>
      <c r="L258" s="287">
        <f t="shared" si="33"/>
        <v>0</v>
      </c>
    </row>
    <row r="259" spans="1:12" x14ac:dyDescent="0.2">
      <c r="A259" s="189" t="s">
        <v>602</v>
      </c>
      <c r="B259" s="189"/>
      <c r="C259" s="189" t="s">
        <v>507</v>
      </c>
      <c r="D259" s="189" t="s">
        <v>498</v>
      </c>
      <c r="E259" s="189" t="s">
        <v>601</v>
      </c>
      <c r="F259" s="189"/>
      <c r="G259" s="247">
        <v>57</v>
      </c>
      <c r="H259" s="247">
        <v>57</v>
      </c>
      <c r="I259" s="248">
        <f t="shared" si="31"/>
        <v>0</v>
      </c>
      <c r="J259" s="191">
        <v>57</v>
      </c>
      <c r="K259" s="247">
        <v>57</v>
      </c>
      <c r="L259" s="287">
        <f t="shared" si="33"/>
        <v>0</v>
      </c>
    </row>
    <row r="260" spans="1:12" ht="24" x14ac:dyDescent="0.2">
      <c r="A260" s="189" t="s">
        <v>600</v>
      </c>
      <c r="B260" s="189"/>
      <c r="C260" s="189" t="s">
        <v>507</v>
      </c>
      <c r="D260" s="189" t="s">
        <v>498</v>
      </c>
      <c r="E260" s="189" t="s">
        <v>599</v>
      </c>
      <c r="F260" s="189"/>
      <c r="G260" s="247">
        <v>57</v>
      </c>
      <c r="H260" s="247">
        <v>57</v>
      </c>
      <c r="I260" s="248">
        <f t="shared" si="31"/>
        <v>0</v>
      </c>
      <c r="J260" s="191">
        <v>57</v>
      </c>
      <c r="K260" s="247">
        <v>57</v>
      </c>
      <c r="L260" s="287">
        <f t="shared" si="33"/>
        <v>0</v>
      </c>
    </row>
    <row r="261" spans="1:12" x14ac:dyDescent="0.2">
      <c r="A261" s="189" t="s">
        <v>598</v>
      </c>
      <c r="B261" s="189"/>
      <c r="C261" s="189" t="s">
        <v>507</v>
      </c>
      <c r="D261" s="189" t="s">
        <v>498</v>
      </c>
      <c r="E261" s="189" t="s">
        <v>597</v>
      </c>
      <c r="F261" s="189"/>
      <c r="G261" s="247">
        <v>57</v>
      </c>
      <c r="H261" s="247">
        <v>57</v>
      </c>
      <c r="I261" s="248">
        <f t="shared" si="31"/>
        <v>0</v>
      </c>
      <c r="J261" s="191">
        <v>57</v>
      </c>
      <c r="K261" s="247">
        <v>57</v>
      </c>
      <c r="L261" s="287">
        <f t="shared" si="33"/>
        <v>0</v>
      </c>
    </row>
    <row r="262" spans="1:12" ht="24" x14ac:dyDescent="0.2">
      <c r="A262" s="189" t="s">
        <v>1347</v>
      </c>
      <c r="B262" s="189"/>
      <c r="C262" s="189" t="s">
        <v>507</v>
      </c>
      <c r="D262" s="189" t="s">
        <v>498</v>
      </c>
      <c r="E262" s="189" t="s">
        <v>597</v>
      </c>
      <c r="F262" s="189" t="s">
        <v>535</v>
      </c>
      <c r="G262" s="247">
        <v>57</v>
      </c>
      <c r="H262" s="247">
        <v>57</v>
      </c>
      <c r="I262" s="248">
        <f t="shared" si="31"/>
        <v>0</v>
      </c>
      <c r="J262" s="191">
        <v>57</v>
      </c>
      <c r="K262" s="247">
        <v>57</v>
      </c>
      <c r="L262" s="287">
        <f t="shared" si="33"/>
        <v>0</v>
      </c>
    </row>
    <row r="263" spans="1:12" ht="24" x14ac:dyDescent="0.2">
      <c r="A263" s="189" t="s">
        <v>534</v>
      </c>
      <c r="B263" s="189"/>
      <c r="C263" s="189" t="s">
        <v>507</v>
      </c>
      <c r="D263" s="189" t="s">
        <v>498</v>
      </c>
      <c r="E263" s="189" t="s">
        <v>597</v>
      </c>
      <c r="F263" s="189" t="s">
        <v>529</v>
      </c>
      <c r="G263" s="247">
        <v>57</v>
      </c>
      <c r="H263" s="247">
        <v>57</v>
      </c>
      <c r="I263" s="248">
        <f t="shared" si="31"/>
        <v>0</v>
      </c>
      <c r="J263" s="191">
        <v>57</v>
      </c>
      <c r="K263" s="247">
        <v>57</v>
      </c>
      <c r="L263" s="287">
        <f t="shared" si="33"/>
        <v>0</v>
      </c>
    </row>
    <row r="264" spans="1:12" ht="36" x14ac:dyDescent="0.2">
      <c r="A264" s="189" t="s">
        <v>588</v>
      </c>
      <c r="B264" s="189"/>
      <c r="C264" s="189" t="s">
        <v>507</v>
      </c>
      <c r="D264" s="189" t="s">
        <v>498</v>
      </c>
      <c r="E264" s="189" t="s">
        <v>587</v>
      </c>
      <c r="F264" s="189"/>
      <c r="G264" s="247">
        <f>G265</f>
        <v>598.29999999999995</v>
      </c>
      <c r="H264" s="247">
        <f>H265</f>
        <v>598.29999999999995</v>
      </c>
      <c r="I264" s="248">
        <f t="shared" si="31"/>
        <v>0</v>
      </c>
      <c r="J264" s="191">
        <f>J265</f>
        <v>598.29999999999995</v>
      </c>
      <c r="K264" s="247">
        <f>K265</f>
        <v>598.29999999999995</v>
      </c>
      <c r="L264" s="287">
        <f t="shared" si="33"/>
        <v>0</v>
      </c>
    </row>
    <row r="265" spans="1:12" x14ac:dyDescent="0.2">
      <c r="A265" s="189" t="s">
        <v>586</v>
      </c>
      <c r="B265" s="189"/>
      <c r="C265" s="189" t="s">
        <v>507</v>
      </c>
      <c r="D265" s="189" t="s">
        <v>498</v>
      </c>
      <c r="E265" s="189" t="s">
        <v>585</v>
      </c>
      <c r="F265" s="189"/>
      <c r="G265" s="247">
        <f>G266</f>
        <v>598.29999999999995</v>
      </c>
      <c r="H265" s="247">
        <f>H266</f>
        <v>598.29999999999995</v>
      </c>
      <c r="I265" s="248">
        <f t="shared" si="31"/>
        <v>0</v>
      </c>
      <c r="J265" s="191">
        <f>J266</f>
        <v>598.29999999999995</v>
      </c>
      <c r="K265" s="247">
        <f>K266</f>
        <v>598.29999999999995</v>
      </c>
      <c r="L265" s="287">
        <f t="shared" si="33"/>
        <v>0</v>
      </c>
    </row>
    <row r="266" spans="1:12" ht="48" x14ac:dyDescent="0.2">
      <c r="A266" s="189" t="s">
        <v>584</v>
      </c>
      <c r="B266" s="189"/>
      <c r="C266" s="189" t="s">
        <v>507</v>
      </c>
      <c r="D266" s="189" t="s">
        <v>498</v>
      </c>
      <c r="E266" s="189" t="s">
        <v>583</v>
      </c>
      <c r="F266" s="189"/>
      <c r="G266" s="247">
        <f>G267+G270</f>
        <v>598.29999999999995</v>
      </c>
      <c r="H266" s="247">
        <f>H267+H270</f>
        <v>598.29999999999995</v>
      </c>
      <c r="I266" s="248">
        <f t="shared" si="31"/>
        <v>0</v>
      </c>
      <c r="J266" s="191">
        <f>J267+J270</f>
        <v>598.29999999999995</v>
      </c>
      <c r="K266" s="247">
        <f>K267+K270</f>
        <v>598.29999999999995</v>
      </c>
      <c r="L266" s="287">
        <f t="shared" si="33"/>
        <v>0</v>
      </c>
    </row>
    <row r="267" spans="1:12" ht="24" x14ac:dyDescent="0.2">
      <c r="A267" s="189" t="s">
        <v>1526</v>
      </c>
      <c r="B267" s="189"/>
      <c r="C267" s="189" t="s">
        <v>507</v>
      </c>
      <c r="D267" s="189" t="s">
        <v>498</v>
      </c>
      <c r="E267" s="189" t="s">
        <v>1149</v>
      </c>
      <c r="F267" s="189"/>
      <c r="G267" s="247">
        <f>G268</f>
        <v>459.6</v>
      </c>
      <c r="H267" s="247">
        <f>H268</f>
        <v>459.6</v>
      </c>
      <c r="I267" s="248">
        <f t="shared" si="31"/>
        <v>0</v>
      </c>
      <c r="J267" s="191">
        <f>J268</f>
        <v>459.6</v>
      </c>
      <c r="K267" s="247">
        <f>K268</f>
        <v>459.6</v>
      </c>
      <c r="L267" s="287">
        <f t="shared" si="33"/>
        <v>0</v>
      </c>
    </row>
    <row r="268" spans="1:12" s="390" customFormat="1" ht="24" x14ac:dyDescent="0.2">
      <c r="A268" s="189" t="s">
        <v>547</v>
      </c>
      <c r="B268" s="189"/>
      <c r="C268" s="189" t="s">
        <v>507</v>
      </c>
      <c r="D268" s="189" t="s">
        <v>498</v>
      </c>
      <c r="E268" s="189" t="s">
        <v>1149</v>
      </c>
      <c r="F268" s="189" t="s">
        <v>519</v>
      </c>
      <c r="G268" s="247">
        <f>G269</f>
        <v>459.6</v>
      </c>
      <c r="H268" s="247">
        <f>H269</f>
        <v>459.6</v>
      </c>
      <c r="I268" s="248">
        <f t="shared" si="31"/>
        <v>0</v>
      </c>
      <c r="J268" s="191">
        <f>J269</f>
        <v>459.6</v>
      </c>
      <c r="K268" s="247">
        <f>K269</f>
        <v>459.6</v>
      </c>
      <c r="L268" s="287">
        <f t="shared" si="33"/>
        <v>0</v>
      </c>
    </row>
    <row r="269" spans="1:12" s="390" customFormat="1" x14ac:dyDescent="0.2">
      <c r="A269" s="189" t="s">
        <v>571</v>
      </c>
      <c r="B269" s="189"/>
      <c r="C269" s="189" t="s">
        <v>507</v>
      </c>
      <c r="D269" s="189" t="s">
        <v>498</v>
      </c>
      <c r="E269" s="189" t="s">
        <v>1149</v>
      </c>
      <c r="F269" s="189" t="s">
        <v>522</v>
      </c>
      <c r="G269" s="247">
        <v>459.6</v>
      </c>
      <c r="H269" s="247">
        <v>459.6</v>
      </c>
      <c r="I269" s="248">
        <f t="shared" si="31"/>
        <v>0</v>
      </c>
      <c r="J269" s="191">
        <v>459.6</v>
      </c>
      <c r="K269" s="247">
        <v>459.6</v>
      </c>
      <c r="L269" s="287">
        <f t="shared" si="33"/>
        <v>0</v>
      </c>
    </row>
    <row r="270" spans="1:12" ht="24" x14ac:dyDescent="0.2">
      <c r="A270" s="189" t="s">
        <v>1148</v>
      </c>
      <c r="B270" s="189"/>
      <c r="C270" s="189" t="s">
        <v>507</v>
      </c>
      <c r="D270" s="189" t="s">
        <v>498</v>
      </c>
      <c r="E270" s="189" t="s">
        <v>1147</v>
      </c>
      <c r="F270" s="189"/>
      <c r="G270" s="247">
        <f>G271</f>
        <v>138.69999999999999</v>
      </c>
      <c r="H270" s="247">
        <f>H271</f>
        <v>138.69999999999999</v>
      </c>
      <c r="I270" s="248">
        <f t="shared" si="31"/>
        <v>0</v>
      </c>
      <c r="J270" s="191">
        <f>J271</f>
        <v>138.69999999999999</v>
      </c>
      <c r="K270" s="247">
        <f>K271</f>
        <v>138.69999999999999</v>
      </c>
      <c r="L270" s="287">
        <f t="shared" si="33"/>
        <v>0</v>
      </c>
    </row>
    <row r="271" spans="1:12" ht="24" x14ac:dyDescent="0.2">
      <c r="A271" s="189" t="s">
        <v>547</v>
      </c>
      <c r="B271" s="189"/>
      <c r="C271" s="189" t="s">
        <v>507</v>
      </c>
      <c r="D271" s="189" t="s">
        <v>498</v>
      </c>
      <c r="E271" s="189" t="s">
        <v>1147</v>
      </c>
      <c r="F271" s="189" t="s">
        <v>519</v>
      </c>
      <c r="G271" s="247">
        <f>G272</f>
        <v>138.69999999999999</v>
      </c>
      <c r="H271" s="247">
        <f>H272</f>
        <v>138.69999999999999</v>
      </c>
      <c r="I271" s="248">
        <f t="shared" si="31"/>
        <v>0</v>
      </c>
      <c r="J271" s="191">
        <f>J272</f>
        <v>138.69999999999999</v>
      </c>
      <c r="K271" s="247">
        <f>K272</f>
        <v>138.69999999999999</v>
      </c>
      <c r="L271" s="287">
        <f t="shared" si="33"/>
        <v>0</v>
      </c>
    </row>
    <row r="272" spans="1:12" x14ac:dyDescent="0.2">
      <c r="A272" s="189" t="s">
        <v>571</v>
      </c>
      <c r="B272" s="189"/>
      <c r="C272" s="189" t="s">
        <v>507</v>
      </c>
      <c r="D272" s="189" t="s">
        <v>498</v>
      </c>
      <c r="E272" s="189" t="s">
        <v>1147</v>
      </c>
      <c r="F272" s="189" t="s">
        <v>522</v>
      </c>
      <c r="G272" s="247">
        <v>138.69999999999999</v>
      </c>
      <c r="H272" s="247">
        <v>138.69999999999999</v>
      </c>
      <c r="I272" s="248">
        <f t="shared" si="31"/>
        <v>0</v>
      </c>
      <c r="J272" s="191">
        <v>138.69999999999999</v>
      </c>
      <c r="K272" s="247">
        <v>138.69999999999999</v>
      </c>
      <c r="L272" s="287">
        <f t="shared" si="33"/>
        <v>0</v>
      </c>
    </row>
    <row r="273" spans="1:12" x14ac:dyDescent="0.2">
      <c r="A273" s="189" t="s">
        <v>1146</v>
      </c>
      <c r="B273" s="189"/>
      <c r="C273" s="189" t="s">
        <v>507</v>
      </c>
      <c r="D273" s="189" t="s">
        <v>512</v>
      </c>
      <c r="E273" s="189"/>
      <c r="F273" s="189"/>
      <c r="G273" s="247">
        <v>11178</v>
      </c>
      <c r="H273" s="247">
        <f>H274</f>
        <v>11530</v>
      </c>
      <c r="I273" s="248">
        <f t="shared" si="31"/>
        <v>352</v>
      </c>
      <c r="J273" s="191">
        <v>11178</v>
      </c>
      <c r="K273" s="247">
        <f>K274</f>
        <v>11530</v>
      </c>
      <c r="L273" s="287">
        <f t="shared" si="33"/>
        <v>352</v>
      </c>
    </row>
    <row r="274" spans="1:12" x14ac:dyDescent="0.2">
      <c r="A274" s="189" t="s">
        <v>1145</v>
      </c>
      <c r="B274" s="189"/>
      <c r="C274" s="189" t="s">
        <v>507</v>
      </c>
      <c r="D274" s="189" t="s">
        <v>512</v>
      </c>
      <c r="E274" s="189" t="s">
        <v>1144</v>
      </c>
      <c r="F274" s="189"/>
      <c r="G274" s="247">
        <v>11178</v>
      </c>
      <c r="H274" s="247">
        <f>H275+H284+H289</f>
        <v>11530</v>
      </c>
      <c r="I274" s="248">
        <f t="shared" si="31"/>
        <v>352</v>
      </c>
      <c r="J274" s="191">
        <v>11178</v>
      </c>
      <c r="K274" s="247">
        <f>K275+K284+K289</f>
        <v>11530</v>
      </c>
      <c r="L274" s="287">
        <f t="shared" si="33"/>
        <v>352</v>
      </c>
    </row>
    <row r="275" spans="1:12" x14ac:dyDescent="0.2">
      <c r="A275" s="189" t="s">
        <v>1285</v>
      </c>
      <c r="B275" s="189"/>
      <c r="C275" s="189" t="s">
        <v>507</v>
      </c>
      <c r="D275" s="189" t="s">
        <v>512</v>
      </c>
      <c r="E275" s="189" t="s">
        <v>1286</v>
      </c>
      <c r="F275" s="189"/>
      <c r="G275" s="247">
        <v>400</v>
      </c>
      <c r="H275" s="247">
        <f>H276+H280</f>
        <v>400</v>
      </c>
      <c r="I275" s="248">
        <f t="shared" si="31"/>
        <v>0</v>
      </c>
      <c r="J275" s="191">
        <v>400</v>
      </c>
      <c r="K275" s="247">
        <f>K276+K280</f>
        <v>400</v>
      </c>
      <c r="L275" s="287">
        <f t="shared" si="33"/>
        <v>0</v>
      </c>
    </row>
    <row r="276" spans="1:12" ht="36" x14ac:dyDescent="0.2">
      <c r="A276" s="189" t="s">
        <v>1287</v>
      </c>
      <c r="B276" s="189"/>
      <c r="C276" s="189" t="s">
        <v>507</v>
      </c>
      <c r="D276" s="189" t="s">
        <v>512</v>
      </c>
      <c r="E276" s="189" t="s">
        <v>1288</v>
      </c>
      <c r="F276" s="189"/>
      <c r="G276" s="247">
        <v>400</v>
      </c>
      <c r="H276" s="247">
        <f>H277</f>
        <v>0</v>
      </c>
      <c r="I276" s="248">
        <f t="shared" si="31"/>
        <v>-400</v>
      </c>
      <c r="J276" s="191">
        <v>400</v>
      </c>
      <c r="K276" s="247">
        <f>K277</f>
        <v>0</v>
      </c>
      <c r="L276" s="287">
        <f t="shared" si="33"/>
        <v>-400</v>
      </c>
    </row>
    <row r="277" spans="1:12" x14ac:dyDescent="0.2">
      <c r="A277" s="189" t="s">
        <v>1289</v>
      </c>
      <c r="B277" s="189"/>
      <c r="C277" s="189" t="s">
        <v>507</v>
      </c>
      <c r="D277" s="189" t="s">
        <v>512</v>
      </c>
      <c r="E277" s="189" t="s">
        <v>1290</v>
      </c>
      <c r="F277" s="189"/>
      <c r="G277" s="247">
        <v>400</v>
      </c>
      <c r="H277" s="247">
        <f>H278</f>
        <v>0</v>
      </c>
      <c r="I277" s="248">
        <f t="shared" si="31"/>
        <v>-400</v>
      </c>
      <c r="J277" s="191">
        <v>400</v>
      </c>
      <c r="K277" s="247">
        <f>K278</f>
        <v>0</v>
      </c>
      <c r="L277" s="287">
        <f t="shared" si="33"/>
        <v>-400</v>
      </c>
    </row>
    <row r="278" spans="1:12" ht="24" x14ac:dyDescent="0.2">
      <c r="A278" s="189" t="s">
        <v>1347</v>
      </c>
      <c r="B278" s="189"/>
      <c r="C278" s="189" t="s">
        <v>507</v>
      </c>
      <c r="D278" s="189" t="s">
        <v>512</v>
      </c>
      <c r="E278" s="189" t="s">
        <v>1290</v>
      </c>
      <c r="F278" s="189" t="s">
        <v>535</v>
      </c>
      <c r="G278" s="247">
        <v>400</v>
      </c>
      <c r="H278" s="247">
        <f>H279</f>
        <v>0</v>
      </c>
      <c r="I278" s="248">
        <f t="shared" si="31"/>
        <v>-400</v>
      </c>
      <c r="J278" s="191">
        <v>400</v>
      </c>
      <c r="K278" s="247">
        <f>K279</f>
        <v>0</v>
      </c>
      <c r="L278" s="287">
        <f t="shared" si="33"/>
        <v>-400</v>
      </c>
    </row>
    <row r="279" spans="1:12" ht="24" x14ac:dyDescent="0.2">
      <c r="A279" s="189" t="s">
        <v>534</v>
      </c>
      <c r="B279" s="189"/>
      <c r="C279" s="189" t="s">
        <v>507</v>
      </c>
      <c r="D279" s="189" t="s">
        <v>512</v>
      </c>
      <c r="E279" s="189" t="s">
        <v>1290</v>
      </c>
      <c r="F279" s="189" t="s">
        <v>529</v>
      </c>
      <c r="G279" s="247">
        <v>400</v>
      </c>
      <c r="H279" s="247">
        <f>400-400</f>
        <v>0</v>
      </c>
      <c r="I279" s="248">
        <f t="shared" si="31"/>
        <v>-400</v>
      </c>
      <c r="J279" s="191">
        <v>400</v>
      </c>
      <c r="K279" s="247">
        <f>400-400</f>
        <v>0</v>
      </c>
      <c r="L279" s="287">
        <f t="shared" si="33"/>
        <v>-400</v>
      </c>
    </row>
    <row r="280" spans="1:12" s="443" customFormat="1" ht="36" x14ac:dyDescent="0.2">
      <c r="A280" s="189" t="s">
        <v>1660</v>
      </c>
      <c r="B280" s="189"/>
      <c r="C280" s="189" t="s">
        <v>507</v>
      </c>
      <c r="D280" s="189" t="s">
        <v>512</v>
      </c>
      <c r="E280" s="189" t="s">
        <v>1661</v>
      </c>
      <c r="F280" s="189"/>
      <c r="G280" s="247">
        <f t="shared" ref="G280:H282" si="34">G281</f>
        <v>0</v>
      </c>
      <c r="H280" s="247">
        <f t="shared" si="34"/>
        <v>400</v>
      </c>
      <c r="I280" s="248">
        <f t="shared" si="31"/>
        <v>400</v>
      </c>
      <c r="J280" s="191">
        <f t="shared" ref="J280:K282" si="35">J281</f>
        <v>0</v>
      </c>
      <c r="K280" s="247">
        <f t="shared" si="35"/>
        <v>400</v>
      </c>
      <c r="L280" s="287">
        <f t="shared" si="33"/>
        <v>400</v>
      </c>
    </row>
    <row r="281" spans="1:12" s="443" customFormat="1" x14ac:dyDescent="0.2">
      <c r="A281" s="189" t="s">
        <v>1289</v>
      </c>
      <c r="B281" s="189"/>
      <c r="C281" s="189" t="s">
        <v>507</v>
      </c>
      <c r="D281" s="189" t="s">
        <v>512</v>
      </c>
      <c r="E281" s="189" t="s">
        <v>1662</v>
      </c>
      <c r="F281" s="189"/>
      <c r="G281" s="247">
        <f t="shared" si="34"/>
        <v>0</v>
      </c>
      <c r="H281" s="247">
        <f t="shared" si="34"/>
        <v>400</v>
      </c>
      <c r="I281" s="248">
        <f t="shared" si="31"/>
        <v>400</v>
      </c>
      <c r="J281" s="191">
        <f t="shared" si="35"/>
        <v>0</v>
      </c>
      <c r="K281" s="247">
        <f t="shared" si="35"/>
        <v>400</v>
      </c>
      <c r="L281" s="287">
        <f t="shared" si="33"/>
        <v>400</v>
      </c>
    </row>
    <row r="282" spans="1:12" s="443" customFormat="1" ht="24" x14ac:dyDescent="0.2">
      <c r="A282" s="189" t="s">
        <v>1347</v>
      </c>
      <c r="B282" s="189"/>
      <c r="C282" s="189" t="s">
        <v>507</v>
      </c>
      <c r="D282" s="189" t="s">
        <v>512</v>
      </c>
      <c r="E282" s="189" t="s">
        <v>1662</v>
      </c>
      <c r="F282" s="189" t="s">
        <v>535</v>
      </c>
      <c r="G282" s="247">
        <f t="shared" si="34"/>
        <v>0</v>
      </c>
      <c r="H282" s="247">
        <f t="shared" si="34"/>
        <v>400</v>
      </c>
      <c r="I282" s="248">
        <f t="shared" si="31"/>
        <v>400</v>
      </c>
      <c r="J282" s="191">
        <f t="shared" si="35"/>
        <v>0</v>
      </c>
      <c r="K282" s="247">
        <f t="shared" si="35"/>
        <v>400</v>
      </c>
      <c r="L282" s="287">
        <f t="shared" si="33"/>
        <v>400</v>
      </c>
    </row>
    <row r="283" spans="1:12" s="443" customFormat="1" ht="24" x14ac:dyDescent="0.2">
      <c r="A283" s="189" t="s">
        <v>534</v>
      </c>
      <c r="B283" s="189"/>
      <c r="C283" s="189" t="s">
        <v>507</v>
      </c>
      <c r="D283" s="189" t="s">
        <v>512</v>
      </c>
      <c r="E283" s="189" t="s">
        <v>1662</v>
      </c>
      <c r="F283" s="189" t="s">
        <v>529</v>
      </c>
      <c r="G283" s="247">
        <v>0</v>
      </c>
      <c r="H283" s="247">
        <v>400</v>
      </c>
      <c r="I283" s="248">
        <f t="shared" si="31"/>
        <v>400</v>
      </c>
      <c r="J283" s="191">
        <v>0</v>
      </c>
      <c r="K283" s="247">
        <v>400</v>
      </c>
      <c r="L283" s="287">
        <f t="shared" si="33"/>
        <v>400</v>
      </c>
    </row>
    <row r="284" spans="1:12" ht="24" x14ac:dyDescent="0.2">
      <c r="A284" s="189" t="s">
        <v>1143</v>
      </c>
      <c r="B284" s="189"/>
      <c r="C284" s="189" t="s">
        <v>507</v>
      </c>
      <c r="D284" s="189" t="s">
        <v>512</v>
      </c>
      <c r="E284" s="189" t="s">
        <v>1142</v>
      </c>
      <c r="F284" s="189"/>
      <c r="G284" s="247">
        <v>8690</v>
      </c>
      <c r="H284" s="247">
        <v>8690</v>
      </c>
      <c r="I284" s="248">
        <f t="shared" si="31"/>
        <v>0</v>
      </c>
      <c r="J284" s="191">
        <v>8690</v>
      </c>
      <c r="K284" s="247">
        <v>8690</v>
      </c>
      <c r="L284" s="287">
        <f t="shared" si="33"/>
        <v>0</v>
      </c>
    </row>
    <row r="285" spans="1:12" ht="36" x14ac:dyDescent="0.2">
      <c r="A285" s="189" t="s">
        <v>1141</v>
      </c>
      <c r="B285" s="189"/>
      <c r="C285" s="189" t="s">
        <v>507</v>
      </c>
      <c r="D285" s="189" t="s">
        <v>512</v>
      </c>
      <c r="E285" s="189" t="s">
        <v>1140</v>
      </c>
      <c r="F285" s="189"/>
      <c r="G285" s="247">
        <v>8690</v>
      </c>
      <c r="H285" s="247">
        <v>8690</v>
      </c>
      <c r="I285" s="248">
        <f t="shared" si="31"/>
        <v>0</v>
      </c>
      <c r="J285" s="191">
        <v>8690</v>
      </c>
      <c r="K285" s="247">
        <v>8690</v>
      </c>
      <c r="L285" s="287">
        <f t="shared" si="33"/>
        <v>0</v>
      </c>
    </row>
    <row r="286" spans="1:12" ht="24" x14ac:dyDescent="0.2">
      <c r="A286" s="189" t="s">
        <v>1139</v>
      </c>
      <c r="B286" s="189"/>
      <c r="C286" s="189" t="s">
        <v>507</v>
      </c>
      <c r="D286" s="189" t="s">
        <v>512</v>
      </c>
      <c r="E286" s="189" t="s">
        <v>1138</v>
      </c>
      <c r="F286" s="189"/>
      <c r="G286" s="247">
        <v>8690</v>
      </c>
      <c r="H286" s="247">
        <v>8690</v>
      </c>
      <c r="I286" s="248">
        <f t="shared" si="31"/>
        <v>0</v>
      </c>
      <c r="J286" s="191">
        <v>8690</v>
      </c>
      <c r="K286" s="247">
        <v>8690</v>
      </c>
      <c r="L286" s="287">
        <f t="shared" si="33"/>
        <v>0</v>
      </c>
    </row>
    <row r="287" spans="1:12" ht="24" x14ac:dyDescent="0.2">
      <c r="A287" s="189" t="s">
        <v>1347</v>
      </c>
      <c r="B287" s="189"/>
      <c r="C287" s="189" t="s">
        <v>507</v>
      </c>
      <c r="D287" s="189" t="s">
        <v>512</v>
      </c>
      <c r="E287" s="189" t="s">
        <v>1138</v>
      </c>
      <c r="F287" s="189" t="s">
        <v>535</v>
      </c>
      <c r="G287" s="247">
        <v>8690</v>
      </c>
      <c r="H287" s="247">
        <v>8690</v>
      </c>
      <c r="I287" s="248">
        <f t="shared" si="31"/>
        <v>0</v>
      </c>
      <c r="J287" s="191">
        <v>8690</v>
      </c>
      <c r="K287" s="247">
        <v>8690</v>
      </c>
      <c r="L287" s="287">
        <f t="shared" si="33"/>
        <v>0</v>
      </c>
    </row>
    <row r="288" spans="1:12" ht="24" x14ac:dyDescent="0.2">
      <c r="A288" s="189" t="s">
        <v>534</v>
      </c>
      <c r="B288" s="189"/>
      <c r="C288" s="189" t="s">
        <v>507</v>
      </c>
      <c r="D288" s="189" t="s">
        <v>512</v>
      </c>
      <c r="E288" s="189" t="s">
        <v>1138</v>
      </c>
      <c r="F288" s="189" t="s">
        <v>529</v>
      </c>
      <c r="G288" s="247">
        <v>8690</v>
      </c>
      <c r="H288" s="247">
        <v>8690</v>
      </c>
      <c r="I288" s="248">
        <f t="shared" si="31"/>
        <v>0</v>
      </c>
      <c r="J288" s="191">
        <v>8690</v>
      </c>
      <c r="K288" s="247">
        <v>8690</v>
      </c>
      <c r="L288" s="287">
        <f t="shared" si="33"/>
        <v>0</v>
      </c>
    </row>
    <row r="289" spans="1:12" ht="24" x14ac:dyDescent="0.2">
      <c r="A289" s="189" t="s">
        <v>1137</v>
      </c>
      <c r="B289" s="189"/>
      <c r="C289" s="189" t="s">
        <v>507</v>
      </c>
      <c r="D289" s="189" t="s">
        <v>512</v>
      </c>
      <c r="E289" s="189" t="s">
        <v>1136</v>
      </c>
      <c r="F289" s="189"/>
      <c r="G289" s="247">
        <v>2088</v>
      </c>
      <c r="H289" s="247">
        <f>H290</f>
        <v>2440</v>
      </c>
      <c r="I289" s="248">
        <f t="shared" si="31"/>
        <v>352</v>
      </c>
      <c r="J289" s="191">
        <v>2088</v>
      </c>
      <c r="K289" s="247">
        <f>K290</f>
        <v>2440</v>
      </c>
      <c r="L289" s="287">
        <f t="shared" si="33"/>
        <v>352</v>
      </c>
    </row>
    <row r="290" spans="1:12" ht="36" x14ac:dyDescent="0.2">
      <c r="A290" s="189" t="s">
        <v>1135</v>
      </c>
      <c r="B290" s="189"/>
      <c r="C290" s="189" t="s">
        <v>507</v>
      </c>
      <c r="D290" s="189" t="s">
        <v>512</v>
      </c>
      <c r="E290" s="189" t="s">
        <v>1134</v>
      </c>
      <c r="F290" s="189"/>
      <c r="G290" s="247">
        <v>2088</v>
      </c>
      <c r="H290" s="247">
        <f>H291</f>
        <v>2440</v>
      </c>
      <c r="I290" s="248">
        <f t="shared" si="31"/>
        <v>352</v>
      </c>
      <c r="J290" s="191">
        <v>2088</v>
      </c>
      <c r="K290" s="247">
        <f>K291</f>
        <v>2440</v>
      </c>
      <c r="L290" s="287">
        <f t="shared" si="33"/>
        <v>352</v>
      </c>
    </row>
    <row r="291" spans="1:12" ht="39" customHeight="1" x14ac:dyDescent="0.2">
      <c r="A291" s="189" t="s">
        <v>1606</v>
      </c>
      <c r="B291" s="189"/>
      <c r="C291" s="189" t="s">
        <v>507</v>
      </c>
      <c r="D291" s="189" t="s">
        <v>512</v>
      </c>
      <c r="E291" s="189" t="s">
        <v>1133</v>
      </c>
      <c r="F291" s="189"/>
      <c r="G291" s="247">
        <v>2088</v>
      </c>
      <c r="H291" s="247">
        <f>H292</f>
        <v>2440</v>
      </c>
      <c r="I291" s="248">
        <f t="shared" si="31"/>
        <v>352</v>
      </c>
      <c r="J291" s="191">
        <v>2088</v>
      </c>
      <c r="K291" s="247">
        <f>K292</f>
        <v>2440</v>
      </c>
      <c r="L291" s="287">
        <f t="shared" si="33"/>
        <v>352</v>
      </c>
    </row>
    <row r="292" spans="1:12" ht="24" x14ac:dyDescent="0.2">
      <c r="A292" s="189" t="s">
        <v>1347</v>
      </c>
      <c r="B292" s="189"/>
      <c r="C292" s="189" t="s">
        <v>507</v>
      </c>
      <c r="D292" s="189" t="s">
        <v>512</v>
      </c>
      <c r="E292" s="189" t="s">
        <v>1133</v>
      </c>
      <c r="F292" s="189" t="s">
        <v>535</v>
      </c>
      <c r="G292" s="247">
        <v>2088</v>
      </c>
      <c r="H292" s="247">
        <f>H293</f>
        <v>2440</v>
      </c>
      <c r="I292" s="248">
        <f t="shared" si="31"/>
        <v>352</v>
      </c>
      <c r="J292" s="191">
        <v>2088</v>
      </c>
      <c r="K292" s="247">
        <f>K293</f>
        <v>2440</v>
      </c>
      <c r="L292" s="287">
        <f t="shared" si="33"/>
        <v>352</v>
      </c>
    </row>
    <row r="293" spans="1:12" ht="24" x14ac:dyDescent="0.2">
      <c r="A293" s="189" t="s">
        <v>534</v>
      </c>
      <c r="B293" s="189"/>
      <c r="C293" s="189" t="s">
        <v>507</v>
      </c>
      <c r="D293" s="189" t="s">
        <v>512</v>
      </c>
      <c r="E293" s="189" t="s">
        <v>1133</v>
      </c>
      <c r="F293" s="189" t="s">
        <v>529</v>
      </c>
      <c r="G293" s="247">
        <v>2088</v>
      </c>
      <c r="H293" s="247">
        <f>2088+352</f>
        <v>2440</v>
      </c>
      <c r="I293" s="248">
        <f t="shared" si="31"/>
        <v>352</v>
      </c>
      <c r="J293" s="191">
        <v>2088</v>
      </c>
      <c r="K293" s="247">
        <f>2088+352</f>
        <v>2440</v>
      </c>
      <c r="L293" s="287">
        <f t="shared" si="33"/>
        <v>352</v>
      </c>
    </row>
    <row r="294" spans="1:12" x14ac:dyDescent="0.2">
      <c r="A294" s="189" t="s">
        <v>1131</v>
      </c>
      <c r="B294" s="189"/>
      <c r="C294" s="189" t="s">
        <v>507</v>
      </c>
      <c r="D294" s="189" t="s">
        <v>617</v>
      </c>
      <c r="E294" s="189"/>
      <c r="F294" s="189"/>
      <c r="G294" s="247">
        <f t="shared" ref="G294:H296" si="36">G295</f>
        <v>57922</v>
      </c>
      <c r="H294" s="247">
        <f t="shared" si="36"/>
        <v>57922</v>
      </c>
      <c r="I294" s="248">
        <f t="shared" si="31"/>
        <v>0</v>
      </c>
      <c r="J294" s="191">
        <f t="shared" ref="J294:K296" si="37">J295</f>
        <v>57922</v>
      </c>
      <c r="K294" s="247">
        <f t="shared" si="37"/>
        <v>57922</v>
      </c>
      <c r="L294" s="287">
        <f t="shared" si="33"/>
        <v>0</v>
      </c>
    </row>
    <row r="295" spans="1:12" ht="24" x14ac:dyDescent="0.2">
      <c r="A295" s="189" t="s">
        <v>1117</v>
      </c>
      <c r="B295" s="189"/>
      <c r="C295" s="189" t="s">
        <v>507</v>
      </c>
      <c r="D295" s="189" t="s">
        <v>617</v>
      </c>
      <c r="E295" s="189" t="s">
        <v>1116</v>
      </c>
      <c r="F295" s="189"/>
      <c r="G295" s="247">
        <f t="shared" si="36"/>
        <v>57922</v>
      </c>
      <c r="H295" s="247">
        <f t="shared" si="36"/>
        <v>57922</v>
      </c>
      <c r="I295" s="248">
        <f t="shared" si="31"/>
        <v>0</v>
      </c>
      <c r="J295" s="191">
        <f t="shared" si="37"/>
        <v>57922</v>
      </c>
      <c r="K295" s="247">
        <f t="shared" si="37"/>
        <v>57922</v>
      </c>
      <c r="L295" s="287">
        <f t="shared" si="33"/>
        <v>0</v>
      </c>
    </row>
    <row r="296" spans="1:12" x14ac:dyDescent="0.2">
      <c r="A296" s="189" t="s">
        <v>1130</v>
      </c>
      <c r="B296" s="189"/>
      <c r="C296" s="189" t="s">
        <v>507</v>
      </c>
      <c r="D296" s="189" t="s">
        <v>617</v>
      </c>
      <c r="E296" s="189" t="s">
        <v>1129</v>
      </c>
      <c r="F296" s="189"/>
      <c r="G296" s="247">
        <f t="shared" si="36"/>
        <v>57922</v>
      </c>
      <c r="H296" s="247">
        <f t="shared" si="36"/>
        <v>57922</v>
      </c>
      <c r="I296" s="248">
        <f t="shared" si="31"/>
        <v>0</v>
      </c>
      <c r="J296" s="191">
        <f t="shared" si="37"/>
        <v>57922</v>
      </c>
      <c r="K296" s="247">
        <f t="shared" si="37"/>
        <v>57922</v>
      </c>
      <c r="L296" s="287">
        <f t="shared" si="33"/>
        <v>0</v>
      </c>
    </row>
    <row r="297" spans="1:12" ht="48" x14ac:dyDescent="0.2">
      <c r="A297" s="189" t="s">
        <v>1128</v>
      </c>
      <c r="B297" s="189"/>
      <c r="C297" s="189" t="s">
        <v>507</v>
      </c>
      <c r="D297" s="189" t="s">
        <v>617</v>
      </c>
      <c r="E297" s="189" t="s">
        <v>1127</v>
      </c>
      <c r="F297" s="189"/>
      <c r="G297" s="247">
        <f>G298+G301+G304</f>
        <v>57922</v>
      </c>
      <c r="H297" s="247">
        <f>H298+H301+H304</f>
        <v>57922</v>
      </c>
      <c r="I297" s="248">
        <f t="shared" si="31"/>
        <v>0</v>
      </c>
      <c r="J297" s="191">
        <f>J298+J301+J304</f>
        <v>57922</v>
      </c>
      <c r="K297" s="247">
        <f>K298+K301+K304</f>
        <v>57922</v>
      </c>
      <c r="L297" s="287">
        <f t="shared" si="33"/>
        <v>0</v>
      </c>
    </row>
    <row r="298" spans="1:12" ht="36" x14ac:dyDescent="0.2">
      <c r="A298" s="189" t="s">
        <v>1126</v>
      </c>
      <c r="B298" s="189"/>
      <c r="C298" s="189" t="s">
        <v>507</v>
      </c>
      <c r="D298" s="189" t="s">
        <v>617</v>
      </c>
      <c r="E298" s="189" t="s">
        <v>1125</v>
      </c>
      <c r="F298" s="189"/>
      <c r="G298" s="247">
        <v>6000</v>
      </c>
      <c r="H298" s="247">
        <v>6000</v>
      </c>
      <c r="I298" s="248">
        <f t="shared" si="31"/>
        <v>0</v>
      </c>
      <c r="J298" s="191">
        <v>6000</v>
      </c>
      <c r="K298" s="247">
        <v>6000</v>
      </c>
      <c r="L298" s="287">
        <f t="shared" si="33"/>
        <v>0</v>
      </c>
    </row>
    <row r="299" spans="1:12" ht="24" x14ac:dyDescent="0.2">
      <c r="A299" s="189" t="s">
        <v>1347</v>
      </c>
      <c r="B299" s="189"/>
      <c r="C299" s="189" t="s">
        <v>507</v>
      </c>
      <c r="D299" s="189" t="s">
        <v>617</v>
      </c>
      <c r="E299" s="189" t="s">
        <v>1125</v>
      </c>
      <c r="F299" s="189" t="s">
        <v>535</v>
      </c>
      <c r="G299" s="247">
        <v>6000</v>
      </c>
      <c r="H299" s="247">
        <v>6000</v>
      </c>
      <c r="I299" s="248">
        <f t="shared" si="31"/>
        <v>0</v>
      </c>
      <c r="J299" s="191">
        <v>6000</v>
      </c>
      <c r="K299" s="247">
        <v>6000</v>
      </c>
      <c r="L299" s="287">
        <f t="shared" si="33"/>
        <v>0</v>
      </c>
    </row>
    <row r="300" spans="1:12" ht="24" x14ac:dyDescent="0.2">
      <c r="A300" s="189" t="s">
        <v>534</v>
      </c>
      <c r="B300" s="189"/>
      <c r="C300" s="189" t="s">
        <v>507</v>
      </c>
      <c r="D300" s="189" t="s">
        <v>617</v>
      </c>
      <c r="E300" s="189" t="s">
        <v>1125</v>
      </c>
      <c r="F300" s="189" t="s">
        <v>529</v>
      </c>
      <c r="G300" s="247">
        <v>6000</v>
      </c>
      <c r="H300" s="247">
        <v>6000</v>
      </c>
      <c r="I300" s="248">
        <f t="shared" si="31"/>
        <v>0</v>
      </c>
      <c r="J300" s="191">
        <v>6000</v>
      </c>
      <c r="K300" s="247">
        <v>6000</v>
      </c>
      <c r="L300" s="287">
        <f t="shared" si="33"/>
        <v>0</v>
      </c>
    </row>
    <row r="301" spans="1:12" ht="36" x14ac:dyDescent="0.2">
      <c r="A301" s="189" t="s">
        <v>1124</v>
      </c>
      <c r="B301" s="189"/>
      <c r="C301" s="189" t="s">
        <v>507</v>
      </c>
      <c r="D301" s="189" t="s">
        <v>617</v>
      </c>
      <c r="E301" s="189" t="s">
        <v>1123</v>
      </c>
      <c r="F301" s="189"/>
      <c r="G301" s="247">
        <v>3500</v>
      </c>
      <c r="H301" s="247">
        <v>3500</v>
      </c>
      <c r="I301" s="248">
        <f t="shared" si="31"/>
        <v>0</v>
      </c>
      <c r="J301" s="191">
        <v>3500</v>
      </c>
      <c r="K301" s="247">
        <v>3500</v>
      </c>
      <c r="L301" s="287">
        <f t="shared" si="33"/>
        <v>0</v>
      </c>
    </row>
    <row r="302" spans="1:12" ht="24" x14ac:dyDescent="0.2">
      <c r="A302" s="189" t="s">
        <v>1347</v>
      </c>
      <c r="B302" s="189"/>
      <c r="C302" s="189" t="s">
        <v>507</v>
      </c>
      <c r="D302" s="189" t="s">
        <v>617</v>
      </c>
      <c r="E302" s="189" t="s">
        <v>1123</v>
      </c>
      <c r="F302" s="189" t="s">
        <v>535</v>
      </c>
      <c r="G302" s="247">
        <v>3500</v>
      </c>
      <c r="H302" s="247">
        <v>3500</v>
      </c>
      <c r="I302" s="248">
        <f t="shared" si="31"/>
        <v>0</v>
      </c>
      <c r="J302" s="191">
        <v>3500</v>
      </c>
      <c r="K302" s="247">
        <v>3500</v>
      </c>
      <c r="L302" s="287">
        <f t="shared" si="33"/>
        <v>0</v>
      </c>
    </row>
    <row r="303" spans="1:12" ht="24" x14ac:dyDescent="0.2">
      <c r="A303" s="189" t="s">
        <v>534</v>
      </c>
      <c r="B303" s="189"/>
      <c r="C303" s="189" t="s">
        <v>507</v>
      </c>
      <c r="D303" s="189" t="s">
        <v>617</v>
      </c>
      <c r="E303" s="189" t="s">
        <v>1123</v>
      </c>
      <c r="F303" s="189" t="s">
        <v>529</v>
      </c>
      <c r="G303" s="247">
        <v>3500</v>
      </c>
      <c r="H303" s="247">
        <v>3500</v>
      </c>
      <c r="I303" s="248">
        <f t="shared" ref="I303:I361" si="38">H303-G303</f>
        <v>0</v>
      </c>
      <c r="J303" s="191">
        <v>3500</v>
      </c>
      <c r="K303" s="247">
        <v>3500</v>
      </c>
      <c r="L303" s="287">
        <f t="shared" ref="L303:L361" si="39">K303-J303</f>
        <v>0</v>
      </c>
    </row>
    <row r="304" spans="1:12" ht="36" x14ac:dyDescent="0.2">
      <c r="A304" s="189" t="s">
        <v>1122</v>
      </c>
      <c r="B304" s="189"/>
      <c r="C304" s="189" t="s">
        <v>507</v>
      </c>
      <c r="D304" s="189" t="s">
        <v>617</v>
      </c>
      <c r="E304" s="189" t="s">
        <v>1121</v>
      </c>
      <c r="F304" s="189"/>
      <c r="G304" s="247">
        <f>G305</f>
        <v>48422</v>
      </c>
      <c r="H304" s="247">
        <f>H305</f>
        <v>48422</v>
      </c>
      <c r="I304" s="248">
        <f t="shared" si="38"/>
        <v>0</v>
      </c>
      <c r="J304" s="191">
        <f>J305</f>
        <v>48422</v>
      </c>
      <c r="K304" s="247">
        <f>K305</f>
        <v>48422</v>
      </c>
      <c r="L304" s="287">
        <f t="shared" si="39"/>
        <v>0</v>
      </c>
    </row>
    <row r="305" spans="1:12" ht="24" x14ac:dyDescent="0.2">
      <c r="A305" s="189" t="s">
        <v>1347</v>
      </c>
      <c r="B305" s="189"/>
      <c r="C305" s="189" t="s">
        <v>507</v>
      </c>
      <c r="D305" s="189" t="s">
        <v>617</v>
      </c>
      <c r="E305" s="189" t="s">
        <v>1121</v>
      </c>
      <c r="F305" s="189" t="s">
        <v>535</v>
      </c>
      <c r="G305" s="247">
        <f>G306</f>
        <v>48422</v>
      </c>
      <c r="H305" s="247">
        <f>H306</f>
        <v>48422</v>
      </c>
      <c r="I305" s="248">
        <f t="shared" si="38"/>
        <v>0</v>
      </c>
      <c r="J305" s="191">
        <f>J306</f>
        <v>48422</v>
      </c>
      <c r="K305" s="247">
        <f>K306</f>
        <v>48422</v>
      </c>
      <c r="L305" s="287">
        <f t="shared" si="39"/>
        <v>0</v>
      </c>
    </row>
    <row r="306" spans="1:12" ht="24" x14ac:dyDescent="0.2">
      <c r="A306" s="189" t="s">
        <v>534</v>
      </c>
      <c r="B306" s="189"/>
      <c r="C306" s="189" t="s">
        <v>507</v>
      </c>
      <c r="D306" s="189" t="s">
        <v>617</v>
      </c>
      <c r="E306" s="189" t="s">
        <v>1121</v>
      </c>
      <c r="F306" s="189" t="s">
        <v>529</v>
      </c>
      <c r="G306" s="247">
        <f>48580-158</f>
        <v>48422</v>
      </c>
      <c r="H306" s="247">
        <f>48580-158</f>
        <v>48422</v>
      </c>
      <c r="I306" s="248">
        <f t="shared" si="38"/>
        <v>0</v>
      </c>
      <c r="J306" s="191">
        <f>48580-158</f>
        <v>48422</v>
      </c>
      <c r="K306" s="247">
        <f>48580-158</f>
        <v>48422</v>
      </c>
      <c r="L306" s="287">
        <f t="shared" si="39"/>
        <v>0</v>
      </c>
    </row>
    <row r="307" spans="1:12" x14ac:dyDescent="0.2">
      <c r="A307" s="189" t="s">
        <v>1120</v>
      </c>
      <c r="B307" s="189"/>
      <c r="C307" s="189" t="s">
        <v>507</v>
      </c>
      <c r="D307" s="189" t="s">
        <v>670</v>
      </c>
      <c r="E307" s="189"/>
      <c r="F307" s="189"/>
      <c r="G307" s="247">
        <v>584307.9</v>
      </c>
      <c r="H307" s="247">
        <v>584307.9</v>
      </c>
      <c r="I307" s="248">
        <f t="shared" si="38"/>
        <v>0</v>
      </c>
      <c r="J307" s="191">
        <v>586408.9</v>
      </c>
      <c r="K307" s="247">
        <v>586408.9</v>
      </c>
      <c r="L307" s="287">
        <f t="shared" si="39"/>
        <v>0</v>
      </c>
    </row>
    <row r="308" spans="1:12" x14ac:dyDescent="0.2">
      <c r="A308" s="189" t="s">
        <v>568</v>
      </c>
      <c r="B308" s="189"/>
      <c r="C308" s="189" t="s">
        <v>507</v>
      </c>
      <c r="D308" s="189" t="s">
        <v>670</v>
      </c>
      <c r="E308" s="189" t="s">
        <v>567</v>
      </c>
      <c r="F308" s="189"/>
      <c r="G308" s="247">
        <v>2000</v>
      </c>
      <c r="H308" s="247">
        <v>2000</v>
      </c>
      <c r="I308" s="248">
        <f t="shared" si="38"/>
        <v>0</v>
      </c>
      <c r="J308" s="191">
        <v>2000</v>
      </c>
      <c r="K308" s="247">
        <v>2000</v>
      </c>
      <c r="L308" s="287">
        <f t="shared" si="39"/>
        <v>0</v>
      </c>
    </row>
    <row r="309" spans="1:12" x14ac:dyDescent="0.2">
      <c r="A309" s="189" t="s">
        <v>566</v>
      </c>
      <c r="B309" s="189"/>
      <c r="C309" s="189" t="s">
        <v>507</v>
      </c>
      <c r="D309" s="189" t="s">
        <v>670</v>
      </c>
      <c r="E309" s="189" t="s">
        <v>565</v>
      </c>
      <c r="F309" s="189"/>
      <c r="G309" s="247">
        <v>2000</v>
      </c>
      <c r="H309" s="247">
        <v>2000</v>
      </c>
      <c r="I309" s="248">
        <f t="shared" si="38"/>
        <v>0</v>
      </c>
      <c r="J309" s="191">
        <v>2000</v>
      </c>
      <c r="K309" s="247">
        <v>2000</v>
      </c>
      <c r="L309" s="287">
        <f t="shared" si="39"/>
        <v>0</v>
      </c>
    </row>
    <row r="310" spans="1:12" ht="25.5" customHeight="1" x14ac:dyDescent="0.2">
      <c r="A310" s="189" t="s">
        <v>1387</v>
      </c>
      <c r="B310" s="189"/>
      <c r="C310" s="189" t="s">
        <v>507</v>
      </c>
      <c r="D310" s="189" t="s">
        <v>670</v>
      </c>
      <c r="E310" s="189" t="s">
        <v>578</v>
      </c>
      <c r="F310" s="189"/>
      <c r="G310" s="247">
        <v>2000</v>
      </c>
      <c r="H310" s="247">
        <v>2000</v>
      </c>
      <c r="I310" s="248">
        <f t="shared" si="38"/>
        <v>0</v>
      </c>
      <c r="J310" s="191">
        <v>2000</v>
      </c>
      <c r="K310" s="247">
        <v>2000</v>
      </c>
      <c r="L310" s="287">
        <f t="shared" si="39"/>
        <v>0</v>
      </c>
    </row>
    <row r="311" spans="1:12" ht="48" x14ac:dyDescent="0.2">
      <c r="A311" s="189" t="s">
        <v>1389</v>
      </c>
      <c r="B311" s="189"/>
      <c r="C311" s="189" t="s">
        <v>507</v>
      </c>
      <c r="D311" s="189" t="s">
        <v>670</v>
      </c>
      <c r="E311" s="189" t="s">
        <v>1119</v>
      </c>
      <c r="F311" s="189"/>
      <c r="G311" s="247">
        <v>500</v>
      </c>
      <c r="H311" s="247">
        <v>500</v>
      </c>
      <c r="I311" s="248">
        <f t="shared" si="38"/>
        <v>0</v>
      </c>
      <c r="J311" s="191">
        <v>500</v>
      </c>
      <c r="K311" s="247">
        <v>500</v>
      </c>
      <c r="L311" s="287">
        <f t="shared" si="39"/>
        <v>0</v>
      </c>
    </row>
    <row r="312" spans="1:12" ht="24" x14ac:dyDescent="0.2">
      <c r="A312" s="189" t="s">
        <v>547</v>
      </c>
      <c r="B312" s="189"/>
      <c r="C312" s="189" t="s">
        <v>507</v>
      </c>
      <c r="D312" s="189" t="s">
        <v>670</v>
      </c>
      <c r="E312" s="189" t="s">
        <v>1119</v>
      </c>
      <c r="F312" s="189" t="s">
        <v>519</v>
      </c>
      <c r="G312" s="247">
        <v>500</v>
      </c>
      <c r="H312" s="247">
        <v>500</v>
      </c>
      <c r="I312" s="248">
        <f t="shared" si="38"/>
        <v>0</v>
      </c>
      <c r="J312" s="191">
        <v>500</v>
      </c>
      <c r="K312" s="247">
        <v>500</v>
      </c>
      <c r="L312" s="287">
        <f t="shared" si="39"/>
        <v>0</v>
      </c>
    </row>
    <row r="313" spans="1:12" x14ac:dyDescent="0.2">
      <c r="A313" s="189" t="s">
        <v>571</v>
      </c>
      <c r="B313" s="189"/>
      <c r="C313" s="189" t="s">
        <v>507</v>
      </c>
      <c r="D313" s="189" t="s">
        <v>670</v>
      </c>
      <c r="E313" s="189" t="s">
        <v>1119</v>
      </c>
      <c r="F313" s="189" t="s">
        <v>522</v>
      </c>
      <c r="G313" s="247">
        <v>500</v>
      </c>
      <c r="H313" s="247">
        <v>500</v>
      </c>
      <c r="I313" s="248">
        <f t="shared" si="38"/>
        <v>0</v>
      </c>
      <c r="J313" s="191">
        <v>500</v>
      </c>
      <c r="K313" s="247">
        <v>500</v>
      </c>
      <c r="L313" s="287">
        <f t="shared" si="39"/>
        <v>0</v>
      </c>
    </row>
    <row r="314" spans="1:12" ht="47.25" customHeight="1" x14ac:dyDescent="0.2">
      <c r="A314" s="189" t="s">
        <v>1390</v>
      </c>
      <c r="B314" s="189"/>
      <c r="C314" s="189" t="s">
        <v>507</v>
      </c>
      <c r="D314" s="189" t="s">
        <v>670</v>
      </c>
      <c r="E314" s="189" t="s">
        <v>1118</v>
      </c>
      <c r="F314" s="189"/>
      <c r="G314" s="247">
        <v>1500</v>
      </c>
      <c r="H314" s="247">
        <v>1500</v>
      </c>
      <c r="I314" s="248">
        <f t="shared" si="38"/>
        <v>0</v>
      </c>
      <c r="J314" s="191">
        <v>1500</v>
      </c>
      <c r="K314" s="247">
        <v>1500</v>
      </c>
      <c r="L314" s="287">
        <f t="shared" si="39"/>
        <v>0</v>
      </c>
    </row>
    <row r="315" spans="1:12" ht="24" x14ac:dyDescent="0.2">
      <c r="A315" s="189" t="s">
        <v>1347</v>
      </c>
      <c r="B315" s="189"/>
      <c r="C315" s="189" t="s">
        <v>507</v>
      </c>
      <c r="D315" s="189" t="s">
        <v>670</v>
      </c>
      <c r="E315" s="189" t="s">
        <v>1118</v>
      </c>
      <c r="F315" s="189" t="s">
        <v>535</v>
      </c>
      <c r="G315" s="247">
        <v>1500</v>
      </c>
      <c r="H315" s="247">
        <v>1500</v>
      </c>
      <c r="I315" s="248">
        <f t="shared" si="38"/>
        <v>0</v>
      </c>
      <c r="J315" s="191">
        <v>1500</v>
      </c>
      <c r="K315" s="247">
        <v>1500</v>
      </c>
      <c r="L315" s="287">
        <f t="shared" si="39"/>
        <v>0</v>
      </c>
    </row>
    <row r="316" spans="1:12" ht="24" x14ac:dyDescent="0.2">
      <c r="A316" s="189" t="s">
        <v>534</v>
      </c>
      <c r="B316" s="189"/>
      <c r="C316" s="189" t="s">
        <v>507</v>
      </c>
      <c r="D316" s="189" t="s">
        <v>670</v>
      </c>
      <c r="E316" s="189" t="s">
        <v>1118</v>
      </c>
      <c r="F316" s="189" t="s">
        <v>529</v>
      </c>
      <c r="G316" s="247">
        <v>1500</v>
      </c>
      <c r="H316" s="247">
        <v>1500</v>
      </c>
      <c r="I316" s="248">
        <f t="shared" si="38"/>
        <v>0</v>
      </c>
      <c r="J316" s="191">
        <v>1500</v>
      </c>
      <c r="K316" s="247">
        <v>1500</v>
      </c>
      <c r="L316" s="287">
        <f t="shared" si="39"/>
        <v>0</v>
      </c>
    </row>
    <row r="317" spans="1:12" ht="24" x14ac:dyDescent="0.2">
      <c r="A317" s="189" t="s">
        <v>1117</v>
      </c>
      <c r="B317" s="189"/>
      <c r="C317" s="189" t="s">
        <v>507</v>
      </c>
      <c r="D317" s="189" t="s">
        <v>670</v>
      </c>
      <c r="E317" s="189" t="s">
        <v>1116</v>
      </c>
      <c r="F317" s="189"/>
      <c r="G317" s="247">
        <f>G318</f>
        <v>582307.9</v>
      </c>
      <c r="H317" s="247">
        <f>H318</f>
        <v>582307.9</v>
      </c>
      <c r="I317" s="248">
        <f t="shared" si="38"/>
        <v>0</v>
      </c>
      <c r="J317" s="191">
        <f>J318</f>
        <v>584408.9</v>
      </c>
      <c r="K317" s="247">
        <f>K318</f>
        <v>584408.9</v>
      </c>
      <c r="L317" s="287">
        <f t="shared" si="39"/>
        <v>0</v>
      </c>
    </row>
    <row r="318" spans="1:12" x14ac:dyDescent="0.2">
      <c r="A318" s="189" t="s">
        <v>1115</v>
      </c>
      <c r="B318" s="189"/>
      <c r="C318" s="189" t="s">
        <v>507</v>
      </c>
      <c r="D318" s="189" t="s">
        <v>670</v>
      </c>
      <c r="E318" s="189" t="s">
        <v>1114</v>
      </c>
      <c r="F318" s="189"/>
      <c r="G318" s="247">
        <f>G319</f>
        <v>582307.9</v>
      </c>
      <c r="H318" s="247">
        <f>H319</f>
        <v>582307.9</v>
      </c>
      <c r="I318" s="248">
        <f t="shared" si="38"/>
        <v>0</v>
      </c>
      <c r="J318" s="191">
        <f>J319</f>
        <v>584408.9</v>
      </c>
      <c r="K318" s="247">
        <f>K319</f>
        <v>584408.9</v>
      </c>
      <c r="L318" s="287">
        <f t="shared" si="39"/>
        <v>0</v>
      </c>
    </row>
    <row r="319" spans="1:12" ht="24" x14ac:dyDescent="0.2">
      <c r="A319" s="189" t="s">
        <v>1113</v>
      </c>
      <c r="B319" s="189"/>
      <c r="C319" s="189" t="s">
        <v>507</v>
      </c>
      <c r="D319" s="189" t="s">
        <v>670</v>
      </c>
      <c r="E319" s="189" t="s">
        <v>1112</v>
      </c>
      <c r="F319" s="189"/>
      <c r="G319" s="247">
        <f>G320+G323+G326+G333+G336+G339+G342+G345+G352+G355+G358+G361+G364+G367+G370+G373+G376</f>
        <v>582307.9</v>
      </c>
      <c r="H319" s="247">
        <f>H320+H323+H326+H333+H336+H339+H342+H345+H352+H355+H358+H361+H364+H367+H370+H373+H376</f>
        <v>582307.9</v>
      </c>
      <c r="I319" s="248">
        <f t="shared" si="38"/>
        <v>0</v>
      </c>
      <c r="J319" s="191">
        <f>J320+J323+J326+J333+J336+J339+J342+J345+J352+J355+J358+J361+J364+J367+J370+J373+J376</f>
        <v>584408.9</v>
      </c>
      <c r="K319" s="247">
        <f>K320+K323+K326+K333+K336+K339+K342+K345+K352+K355+K358+K361+K364+K367+K370+K373+K376</f>
        <v>584408.9</v>
      </c>
      <c r="L319" s="287">
        <f t="shared" si="39"/>
        <v>0</v>
      </c>
    </row>
    <row r="320" spans="1:12" ht="24" x14ac:dyDescent="0.2">
      <c r="A320" s="189" t="s">
        <v>1111</v>
      </c>
      <c r="B320" s="189"/>
      <c r="C320" s="189" t="s">
        <v>507</v>
      </c>
      <c r="D320" s="189" t="s">
        <v>670</v>
      </c>
      <c r="E320" s="189" t="s">
        <v>1110</v>
      </c>
      <c r="F320" s="189"/>
      <c r="G320" s="247">
        <v>12124.1</v>
      </c>
      <c r="H320" s="247">
        <v>12124.1</v>
      </c>
      <c r="I320" s="248">
        <f t="shared" si="38"/>
        <v>0</v>
      </c>
      <c r="J320" s="191">
        <v>12124.1</v>
      </c>
      <c r="K320" s="247">
        <v>12124.1</v>
      </c>
      <c r="L320" s="287">
        <f t="shared" si="39"/>
        <v>0</v>
      </c>
    </row>
    <row r="321" spans="1:12" ht="24" x14ac:dyDescent="0.2">
      <c r="A321" s="189" t="s">
        <v>1347</v>
      </c>
      <c r="B321" s="189"/>
      <c r="C321" s="189" t="s">
        <v>507</v>
      </c>
      <c r="D321" s="189" t="s">
        <v>670</v>
      </c>
      <c r="E321" s="189" t="s">
        <v>1110</v>
      </c>
      <c r="F321" s="189" t="s">
        <v>535</v>
      </c>
      <c r="G321" s="247">
        <v>12124.1</v>
      </c>
      <c r="H321" s="247">
        <v>12124.1</v>
      </c>
      <c r="I321" s="248">
        <f t="shared" si="38"/>
        <v>0</v>
      </c>
      <c r="J321" s="191">
        <v>12124.1</v>
      </c>
      <c r="K321" s="247">
        <v>12124.1</v>
      </c>
      <c r="L321" s="287">
        <f t="shared" si="39"/>
        <v>0</v>
      </c>
    </row>
    <row r="322" spans="1:12" ht="24" x14ac:dyDescent="0.2">
      <c r="A322" s="189" t="s">
        <v>534</v>
      </c>
      <c r="B322" s="189"/>
      <c r="C322" s="189" t="s">
        <v>507</v>
      </c>
      <c r="D322" s="189" t="s">
        <v>670</v>
      </c>
      <c r="E322" s="189" t="s">
        <v>1110</v>
      </c>
      <c r="F322" s="189" t="s">
        <v>529</v>
      </c>
      <c r="G322" s="247">
        <v>12124.1</v>
      </c>
      <c r="H322" s="247">
        <v>12124.1</v>
      </c>
      <c r="I322" s="248">
        <f t="shared" si="38"/>
        <v>0</v>
      </c>
      <c r="J322" s="191">
        <v>12124.1</v>
      </c>
      <c r="K322" s="247">
        <v>12124.1</v>
      </c>
      <c r="L322" s="287">
        <f t="shared" si="39"/>
        <v>0</v>
      </c>
    </row>
    <row r="323" spans="1:12" ht="24" x14ac:dyDescent="0.2">
      <c r="A323" s="189" t="s">
        <v>1099</v>
      </c>
      <c r="B323" s="189"/>
      <c r="C323" s="189" t="s">
        <v>507</v>
      </c>
      <c r="D323" s="189" t="s">
        <v>670</v>
      </c>
      <c r="E323" s="189" t="s">
        <v>1109</v>
      </c>
      <c r="F323" s="189"/>
      <c r="G323" s="247">
        <v>4791.2</v>
      </c>
      <c r="H323" s="247">
        <v>4791.2</v>
      </c>
      <c r="I323" s="248">
        <f t="shared" si="38"/>
        <v>0</v>
      </c>
      <c r="J323" s="191">
        <v>4791.2</v>
      </c>
      <c r="K323" s="247">
        <v>4791.2</v>
      </c>
      <c r="L323" s="287">
        <f t="shared" si="39"/>
        <v>0</v>
      </c>
    </row>
    <row r="324" spans="1:12" ht="24" x14ac:dyDescent="0.2">
      <c r="A324" s="189" t="s">
        <v>1347</v>
      </c>
      <c r="B324" s="189"/>
      <c r="C324" s="189" t="s">
        <v>507</v>
      </c>
      <c r="D324" s="189" t="s">
        <v>670</v>
      </c>
      <c r="E324" s="189" t="s">
        <v>1109</v>
      </c>
      <c r="F324" s="189" t="s">
        <v>535</v>
      </c>
      <c r="G324" s="247">
        <v>4791.2</v>
      </c>
      <c r="H324" s="247">
        <v>4791.2</v>
      </c>
      <c r="I324" s="248">
        <f t="shared" si="38"/>
        <v>0</v>
      </c>
      <c r="J324" s="191">
        <v>4791.2</v>
      </c>
      <c r="K324" s="247">
        <v>4791.2</v>
      </c>
      <c r="L324" s="287">
        <f t="shared" si="39"/>
        <v>0</v>
      </c>
    </row>
    <row r="325" spans="1:12" ht="24" x14ac:dyDescent="0.2">
      <c r="A325" s="189" t="s">
        <v>534</v>
      </c>
      <c r="B325" s="189"/>
      <c r="C325" s="189" t="s">
        <v>507</v>
      </c>
      <c r="D325" s="189" t="s">
        <v>670</v>
      </c>
      <c r="E325" s="189" t="s">
        <v>1109</v>
      </c>
      <c r="F325" s="189" t="s">
        <v>529</v>
      </c>
      <c r="G325" s="247">
        <v>4791.2</v>
      </c>
      <c r="H325" s="247">
        <v>4791.2</v>
      </c>
      <c r="I325" s="248">
        <f t="shared" si="38"/>
        <v>0</v>
      </c>
      <c r="J325" s="191">
        <v>4791.2</v>
      </c>
      <c r="K325" s="247">
        <v>4791.2</v>
      </c>
      <c r="L325" s="287">
        <f t="shared" si="39"/>
        <v>0</v>
      </c>
    </row>
    <row r="326" spans="1:12" ht="24" x14ac:dyDescent="0.2">
      <c r="A326" s="189" t="s">
        <v>1108</v>
      </c>
      <c r="B326" s="189"/>
      <c r="C326" s="189" t="s">
        <v>507</v>
      </c>
      <c r="D326" s="189" t="s">
        <v>670</v>
      </c>
      <c r="E326" s="189" t="s">
        <v>1107</v>
      </c>
      <c r="F326" s="189"/>
      <c r="G326" s="247">
        <v>36971.4</v>
      </c>
      <c r="H326" s="247">
        <v>36971.4</v>
      </c>
      <c r="I326" s="248">
        <f t="shared" si="38"/>
        <v>0</v>
      </c>
      <c r="J326" s="191">
        <v>36971.4</v>
      </c>
      <c r="K326" s="247">
        <v>36971.4</v>
      </c>
      <c r="L326" s="287">
        <f t="shared" si="39"/>
        <v>0</v>
      </c>
    </row>
    <row r="327" spans="1:12" ht="36" x14ac:dyDescent="0.2">
      <c r="A327" s="189" t="s">
        <v>1348</v>
      </c>
      <c r="B327" s="189"/>
      <c r="C327" s="189" t="s">
        <v>507</v>
      </c>
      <c r="D327" s="189" t="s">
        <v>670</v>
      </c>
      <c r="E327" s="189" t="s">
        <v>1107</v>
      </c>
      <c r="F327" s="189" t="s">
        <v>556</v>
      </c>
      <c r="G327" s="247">
        <v>28096.2</v>
      </c>
      <c r="H327" s="247">
        <v>28096.2</v>
      </c>
      <c r="I327" s="248">
        <f t="shared" si="38"/>
        <v>0</v>
      </c>
      <c r="J327" s="191">
        <v>28096.2</v>
      </c>
      <c r="K327" s="247">
        <v>28096.2</v>
      </c>
      <c r="L327" s="287">
        <f t="shared" si="39"/>
        <v>0</v>
      </c>
    </row>
    <row r="328" spans="1:12" x14ac:dyDescent="0.2">
      <c r="A328" s="189" t="s">
        <v>555</v>
      </c>
      <c r="B328" s="189"/>
      <c r="C328" s="189" t="s">
        <v>507</v>
      </c>
      <c r="D328" s="189" t="s">
        <v>670</v>
      </c>
      <c r="E328" s="189" t="s">
        <v>1107</v>
      </c>
      <c r="F328" s="189" t="s">
        <v>554</v>
      </c>
      <c r="G328" s="247">
        <v>28096.2</v>
      </c>
      <c r="H328" s="247">
        <v>28096.2</v>
      </c>
      <c r="I328" s="248">
        <f t="shared" si="38"/>
        <v>0</v>
      </c>
      <c r="J328" s="191">
        <v>28096.2</v>
      </c>
      <c r="K328" s="247">
        <v>28096.2</v>
      </c>
      <c r="L328" s="287">
        <f t="shared" si="39"/>
        <v>0</v>
      </c>
    </row>
    <row r="329" spans="1:12" ht="24" x14ac:dyDescent="0.2">
      <c r="A329" s="189" t="s">
        <v>1347</v>
      </c>
      <c r="B329" s="189"/>
      <c r="C329" s="189" t="s">
        <v>507</v>
      </c>
      <c r="D329" s="189" t="s">
        <v>670</v>
      </c>
      <c r="E329" s="189" t="s">
        <v>1107</v>
      </c>
      <c r="F329" s="189" t="s">
        <v>535</v>
      </c>
      <c r="G329" s="247">
        <v>7068.9</v>
      </c>
      <c r="H329" s="247">
        <v>7068.9</v>
      </c>
      <c r="I329" s="248">
        <f t="shared" si="38"/>
        <v>0</v>
      </c>
      <c r="J329" s="191">
        <v>7068.9</v>
      </c>
      <c r="K329" s="247">
        <v>7068.9</v>
      </c>
      <c r="L329" s="287">
        <f t="shared" si="39"/>
        <v>0</v>
      </c>
    </row>
    <row r="330" spans="1:12" ht="24" x14ac:dyDescent="0.2">
      <c r="A330" s="189" t="s">
        <v>534</v>
      </c>
      <c r="B330" s="189"/>
      <c r="C330" s="189" t="s">
        <v>507</v>
      </c>
      <c r="D330" s="189" t="s">
        <v>670</v>
      </c>
      <c r="E330" s="189" t="s">
        <v>1107</v>
      </c>
      <c r="F330" s="189" t="s">
        <v>529</v>
      </c>
      <c r="G330" s="247">
        <v>7068.9</v>
      </c>
      <c r="H330" s="247">
        <v>7068.9</v>
      </c>
      <c r="I330" s="248">
        <f t="shared" si="38"/>
        <v>0</v>
      </c>
      <c r="J330" s="191">
        <v>7068.9</v>
      </c>
      <c r="K330" s="247">
        <v>7068.9</v>
      </c>
      <c r="L330" s="287">
        <f t="shared" si="39"/>
        <v>0</v>
      </c>
    </row>
    <row r="331" spans="1:12" x14ac:dyDescent="0.2">
      <c r="A331" s="189" t="s">
        <v>615</v>
      </c>
      <c r="B331" s="189"/>
      <c r="C331" s="189" t="s">
        <v>507</v>
      </c>
      <c r="D331" s="189" t="s">
        <v>670</v>
      </c>
      <c r="E331" s="189" t="s">
        <v>1107</v>
      </c>
      <c r="F331" s="189" t="s">
        <v>509</v>
      </c>
      <c r="G331" s="247">
        <v>1806.3</v>
      </c>
      <c r="H331" s="247">
        <v>1806.3</v>
      </c>
      <c r="I331" s="248">
        <f t="shared" si="38"/>
        <v>0</v>
      </c>
      <c r="J331" s="191">
        <v>1806.3</v>
      </c>
      <c r="K331" s="247">
        <v>1806.3</v>
      </c>
      <c r="L331" s="287">
        <f t="shared" si="39"/>
        <v>0</v>
      </c>
    </row>
    <row r="332" spans="1:12" x14ac:dyDescent="0.2">
      <c r="A332" s="189" t="s">
        <v>614</v>
      </c>
      <c r="B332" s="189"/>
      <c r="C332" s="189" t="s">
        <v>507</v>
      </c>
      <c r="D332" s="189" t="s">
        <v>670</v>
      </c>
      <c r="E332" s="189" t="s">
        <v>1107</v>
      </c>
      <c r="F332" s="189" t="s">
        <v>613</v>
      </c>
      <c r="G332" s="247">
        <v>1806.3</v>
      </c>
      <c r="H332" s="247">
        <v>1806.3</v>
      </c>
      <c r="I332" s="248">
        <f t="shared" si="38"/>
        <v>0</v>
      </c>
      <c r="J332" s="191">
        <v>1806.3</v>
      </c>
      <c r="K332" s="247">
        <v>1806.3</v>
      </c>
      <c r="L332" s="287">
        <f t="shared" si="39"/>
        <v>0</v>
      </c>
    </row>
    <row r="333" spans="1:12" ht="24" x14ac:dyDescent="0.2">
      <c r="A333" s="189" t="s">
        <v>1106</v>
      </c>
      <c r="B333" s="189"/>
      <c r="C333" s="189" t="s">
        <v>507</v>
      </c>
      <c r="D333" s="189" t="s">
        <v>670</v>
      </c>
      <c r="E333" s="189" t="s">
        <v>1105</v>
      </c>
      <c r="F333" s="189"/>
      <c r="G333" s="247">
        <v>2750</v>
      </c>
      <c r="H333" s="247">
        <v>2750</v>
      </c>
      <c r="I333" s="248">
        <f t="shared" si="38"/>
        <v>0</v>
      </c>
      <c r="J333" s="191">
        <v>2750</v>
      </c>
      <c r="K333" s="247">
        <v>2750</v>
      </c>
      <c r="L333" s="287">
        <f t="shared" si="39"/>
        <v>0</v>
      </c>
    </row>
    <row r="334" spans="1:12" ht="24" x14ac:dyDescent="0.2">
      <c r="A334" s="189" t="s">
        <v>547</v>
      </c>
      <c r="B334" s="189"/>
      <c r="C334" s="189" t="s">
        <v>507</v>
      </c>
      <c r="D334" s="189" t="s">
        <v>670</v>
      </c>
      <c r="E334" s="189" t="s">
        <v>1105</v>
      </c>
      <c r="F334" s="189" t="s">
        <v>519</v>
      </c>
      <c r="G334" s="247">
        <v>2750</v>
      </c>
      <c r="H334" s="247">
        <v>2750</v>
      </c>
      <c r="I334" s="248">
        <f t="shared" si="38"/>
        <v>0</v>
      </c>
      <c r="J334" s="191">
        <v>2750</v>
      </c>
      <c r="K334" s="247">
        <v>2750</v>
      </c>
      <c r="L334" s="287">
        <f t="shared" si="39"/>
        <v>0</v>
      </c>
    </row>
    <row r="335" spans="1:12" x14ac:dyDescent="0.2">
      <c r="A335" s="189" t="s">
        <v>571</v>
      </c>
      <c r="B335" s="189"/>
      <c r="C335" s="189" t="s">
        <v>507</v>
      </c>
      <c r="D335" s="189" t="s">
        <v>670</v>
      </c>
      <c r="E335" s="189" t="s">
        <v>1105</v>
      </c>
      <c r="F335" s="189" t="s">
        <v>522</v>
      </c>
      <c r="G335" s="247">
        <v>2750</v>
      </c>
      <c r="H335" s="247">
        <v>2750</v>
      </c>
      <c r="I335" s="248">
        <f t="shared" si="38"/>
        <v>0</v>
      </c>
      <c r="J335" s="191">
        <v>2750</v>
      </c>
      <c r="K335" s="247">
        <v>2750</v>
      </c>
      <c r="L335" s="287">
        <f t="shared" si="39"/>
        <v>0</v>
      </c>
    </row>
    <row r="336" spans="1:12" ht="24" x14ac:dyDescent="0.2">
      <c r="A336" s="189" t="s">
        <v>1104</v>
      </c>
      <c r="B336" s="189"/>
      <c r="C336" s="189" t="s">
        <v>507</v>
      </c>
      <c r="D336" s="189" t="s">
        <v>670</v>
      </c>
      <c r="E336" s="189" t="s">
        <v>1103</v>
      </c>
      <c r="F336" s="189"/>
      <c r="G336" s="247">
        <v>197770.7</v>
      </c>
      <c r="H336" s="247">
        <v>197770.7</v>
      </c>
      <c r="I336" s="248">
        <f t="shared" si="38"/>
        <v>0</v>
      </c>
      <c r="J336" s="191">
        <v>197660.7</v>
      </c>
      <c r="K336" s="247">
        <v>197660.7</v>
      </c>
      <c r="L336" s="287">
        <f t="shared" si="39"/>
        <v>0</v>
      </c>
    </row>
    <row r="337" spans="1:12" ht="24" x14ac:dyDescent="0.2">
      <c r="A337" s="189" t="s">
        <v>1347</v>
      </c>
      <c r="B337" s="189"/>
      <c r="C337" s="189" t="s">
        <v>507</v>
      </c>
      <c r="D337" s="189" t="s">
        <v>670</v>
      </c>
      <c r="E337" s="189" t="s">
        <v>1103</v>
      </c>
      <c r="F337" s="189" t="s">
        <v>535</v>
      </c>
      <c r="G337" s="247">
        <v>197770.7</v>
      </c>
      <c r="H337" s="247">
        <v>197770.7</v>
      </c>
      <c r="I337" s="248">
        <f t="shared" si="38"/>
        <v>0</v>
      </c>
      <c r="J337" s="191">
        <v>197660.7</v>
      </c>
      <c r="K337" s="247">
        <v>197660.7</v>
      </c>
      <c r="L337" s="287">
        <f t="shared" si="39"/>
        <v>0</v>
      </c>
    </row>
    <row r="338" spans="1:12" ht="24" x14ac:dyDescent="0.2">
      <c r="A338" s="189" t="s">
        <v>534</v>
      </c>
      <c r="B338" s="189"/>
      <c r="C338" s="189" t="s">
        <v>507</v>
      </c>
      <c r="D338" s="189" t="s">
        <v>670</v>
      </c>
      <c r="E338" s="189" t="s">
        <v>1103</v>
      </c>
      <c r="F338" s="189" t="s">
        <v>529</v>
      </c>
      <c r="G338" s="247">
        <v>197770.7</v>
      </c>
      <c r="H338" s="247">
        <v>197770.7</v>
      </c>
      <c r="I338" s="248">
        <f t="shared" si="38"/>
        <v>0</v>
      </c>
      <c r="J338" s="191">
        <v>197660.7</v>
      </c>
      <c r="K338" s="247">
        <v>197660.7</v>
      </c>
      <c r="L338" s="287">
        <f t="shared" si="39"/>
        <v>0</v>
      </c>
    </row>
    <row r="339" spans="1:12" ht="24" x14ac:dyDescent="0.2">
      <c r="A339" s="189" t="s">
        <v>1527</v>
      </c>
      <c r="B339" s="189"/>
      <c r="C339" s="189" t="s">
        <v>507</v>
      </c>
      <c r="D339" s="189" t="s">
        <v>670</v>
      </c>
      <c r="E339" s="189" t="s">
        <v>1102</v>
      </c>
      <c r="F339" s="189"/>
      <c r="G339" s="247">
        <f>G340</f>
        <v>157791.79999999999</v>
      </c>
      <c r="H339" s="247">
        <f>H340</f>
        <v>157791.79999999999</v>
      </c>
      <c r="I339" s="248">
        <f t="shared" si="38"/>
        <v>0</v>
      </c>
      <c r="J339" s="191">
        <f t="shared" ref="J339:K339" si="40">J340</f>
        <v>157791.79999999999</v>
      </c>
      <c r="K339" s="247">
        <f t="shared" si="40"/>
        <v>157791.79999999999</v>
      </c>
      <c r="L339" s="287">
        <f t="shared" si="39"/>
        <v>0</v>
      </c>
    </row>
    <row r="340" spans="1:12" s="392" customFormat="1" ht="24" x14ac:dyDescent="0.2">
      <c r="A340" s="189" t="s">
        <v>547</v>
      </c>
      <c r="B340" s="189"/>
      <c r="C340" s="189" t="s">
        <v>507</v>
      </c>
      <c r="D340" s="189" t="s">
        <v>670</v>
      </c>
      <c r="E340" s="189" t="s">
        <v>1102</v>
      </c>
      <c r="F340" s="189" t="s">
        <v>519</v>
      </c>
      <c r="G340" s="247">
        <f>G341</f>
        <v>157791.79999999999</v>
      </c>
      <c r="H340" s="247">
        <f>H341</f>
        <v>157791.79999999999</v>
      </c>
      <c r="I340" s="248">
        <f>H340-G340</f>
        <v>0</v>
      </c>
      <c r="J340" s="191">
        <f>J341</f>
        <v>157791.79999999999</v>
      </c>
      <c r="K340" s="247">
        <f>K341</f>
        <v>157791.79999999999</v>
      </c>
      <c r="L340" s="287">
        <f>K340-J340</f>
        <v>0</v>
      </c>
    </row>
    <row r="341" spans="1:12" s="392" customFormat="1" x14ac:dyDescent="0.2">
      <c r="A341" s="189" t="s">
        <v>571</v>
      </c>
      <c r="B341" s="189"/>
      <c r="C341" s="189" t="s">
        <v>507</v>
      </c>
      <c r="D341" s="189" t="s">
        <v>670</v>
      </c>
      <c r="E341" s="189" t="s">
        <v>1102</v>
      </c>
      <c r="F341" s="189" t="s">
        <v>522</v>
      </c>
      <c r="G341" s="247">
        <f>157791.8</f>
        <v>157791.79999999999</v>
      </c>
      <c r="H341" s="247">
        <f>157791.8</f>
        <v>157791.79999999999</v>
      </c>
      <c r="I341" s="248">
        <f>H341-G341</f>
        <v>0</v>
      </c>
      <c r="J341" s="191">
        <f>157791.8</f>
        <v>157791.79999999999</v>
      </c>
      <c r="K341" s="247">
        <f>157791.8</f>
        <v>157791.79999999999</v>
      </c>
      <c r="L341" s="287">
        <f>K341-J341</f>
        <v>0</v>
      </c>
    </row>
    <row r="342" spans="1:12" ht="24" x14ac:dyDescent="0.2">
      <c r="A342" s="189" t="s">
        <v>1101</v>
      </c>
      <c r="B342" s="189"/>
      <c r="C342" s="189" t="s">
        <v>507</v>
      </c>
      <c r="D342" s="189" t="s">
        <v>670</v>
      </c>
      <c r="E342" s="189" t="s">
        <v>1100</v>
      </c>
      <c r="F342" s="189"/>
      <c r="G342" s="247">
        <v>41792.699999999997</v>
      </c>
      <c r="H342" s="247">
        <v>41792.699999999997</v>
      </c>
      <c r="I342" s="248">
        <f t="shared" si="38"/>
        <v>0</v>
      </c>
      <c r="J342" s="191">
        <v>41792.699999999997</v>
      </c>
      <c r="K342" s="247">
        <v>41792.699999999997</v>
      </c>
      <c r="L342" s="287">
        <f t="shared" si="39"/>
        <v>0</v>
      </c>
    </row>
    <row r="343" spans="1:12" ht="24" x14ac:dyDescent="0.2">
      <c r="A343" s="189" t="s">
        <v>1347</v>
      </c>
      <c r="B343" s="189"/>
      <c r="C343" s="189" t="s">
        <v>507</v>
      </c>
      <c r="D343" s="189" t="s">
        <v>670</v>
      </c>
      <c r="E343" s="189" t="s">
        <v>1100</v>
      </c>
      <c r="F343" s="189" t="s">
        <v>535</v>
      </c>
      <c r="G343" s="247">
        <v>41792.699999999997</v>
      </c>
      <c r="H343" s="247">
        <v>41792.699999999997</v>
      </c>
      <c r="I343" s="248">
        <f t="shared" si="38"/>
        <v>0</v>
      </c>
      <c r="J343" s="191">
        <v>41792.699999999997</v>
      </c>
      <c r="K343" s="247">
        <v>41792.699999999997</v>
      </c>
      <c r="L343" s="287">
        <f t="shared" si="39"/>
        <v>0</v>
      </c>
    </row>
    <row r="344" spans="1:12" ht="24" x14ac:dyDescent="0.2">
      <c r="A344" s="189" t="s">
        <v>534</v>
      </c>
      <c r="B344" s="189"/>
      <c r="C344" s="189" t="s">
        <v>507</v>
      </c>
      <c r="D344" s="189" t="s">
        <v>670</v>
      </c>
      <c r="E344" s="189" t="s">
        <v>1100</v>
      </c>
      <c r="F344" s="189" t="s">
        <v>529</v>
      </c>
      <c r="G344" s="247">
        <v>41792.699999999997</v>
      </c>
      <c r="H344" s="247">
        <v>41792.699999999997</v>
      </c>
      <c r="I344" s="248">
        <f t="shared" si="38"/>
        <v>0</v>
      </c>
      <c r="J344" s="191">
        <v>41792.699999999997</v>
      </c>
      <c r="K344" s="247">
        <v>41792.699999999997</v>
      </c>
      <c r="L344" s="287">
        <f t="shared" si="39"/>
        <v>0</v>
      </c>
    </row>
    <row r="345" spans="1:12" ht="24" x14ac:dyDescent="0.2">
      <c r="A345" s="189" t="s">
        <v>1099</v>
      </c>
      <c r="B345" s="189"/>
      <c r="C345" s="189" t="s">
        <v>507</v>
      </c>
      <c r="D345" s="189" t="s">
        <v>670</v>
      </c>
      <c r="E345" s="189" t="s">
        <v>1098</v>
      </c>
      <c r="F345" s="189"/>
      <c r="G345" s="247">
        <v>9581</v>
      </c>
      <c r="H345" s="247">
        <v>9581</v>
      </c>
      <c r="I345" s="248">
        <f t="shared" si="38"/>
        <v>0</v>
      </c>
      <c r="J345" s="191">
        <v>9581</v>
      </c>
      <c r="K345" s="247">
        <v>9581</v>
      </c>
      <c r="L345" s="287">
        <f t="shared" si="39"/>
        <v>0</v>
      </c>
    </row>
    <row r="346" spans="1:12" ht="36" x14ac:dyDescent="0.2">
      <c r="A346" s="189" t="s">
        <v>1348</v>
      </c>
      <c r="B346" s="189"/>
      <c r="C346" s="189" t="s">
        <v>507</v>
      </c>
      <c r="D346" s="189" t="s">
        <v>670</v>
      </c>
      <c r="E346" s="189" t="s">
        <v>1098</v>
      </c>
      <c r="F346" s="189" t="s">
        <v>556</v>
      </c>
      <c r="G346" s="247">
        <v>5217.3</v>
      </c>
      <c r="H346" s="247">
        <v>5217.3</v>
      </c>
      <c r="I346" s="248">
        <f t="shared" si="38"/>
        <v>0</v>
      </c>
      <c r="J346" s="191">
        <v>5217.3</v>
      </c>
      <c r="K346" s="247">
        <v>5217.3</v>
      </c>
      <c r="L346" s="287">
        <f t="shared" si="39"/>
        <v>0</v>
      </c>
    </row>
    <row r="347" spans="1:12" x14ac:dyDescent="0.2">
      <c r="A347" s="189" t="s">
        <v>555</v>
      </c>
      <c r="B347" s="189"/>
      <c r="C347" s="189" t="s">
        <v>507</v>
      </c>
      <c r="D347" s="189" t="s">
        <v>670</v>
      </c>
      <c r="E347" s="189" t="s">
        <v>1098</v>
      </c>
      <c r="F347" s="189" t="s">
        <v>554</v>
      </c>
      <c r="G347" s="247">
        <v>5217.3</v>
      </c>
      <c r="H347" s="247">
        <v>5217.3</v>
      </c>
      <c r="I347" s="248">
        <f t="shared" si="38"/>
        <v>0</v>
      </c>
      <c r="J347" s="191">
        <v>5217.3</v>
      </c>
      <c r="K347" s="247">
        <v>5217.3</v>
      </c>
      <c r="L347" s="287">
        <f t="shared" si="39"/>
        <v>0</v>
      </c>
    </row>
    <row r="348" spans="1:12" ht="24" x14ac:dyDescent="0.2">
      <c r="A348" s="189" t="s">
        <v>1347</v>
      </c>
      <c r="B348" s="189"/>
      <c r="C348" s="189" t="s">
        <v>507</v>
      </c>
      <c r="D348" s="189" t="s">
        <v>670</v>
      </c>
      <c r="E348" s="189" t="s">
        <v>1098</v>
      </c>
      <c r="F348" s="189" t="s">
        <v>535</v>
      </c>
      <c r="G348" s="247">
        <v>4263.7</v>
      </c>
      <c r="H348" s="247">
        <v>4263.7</v>
      </c>
      <c r="I348" s="248">
        <f t="shared" si="38"/>
        <v>0</v>
      </c>
      <c r="J348" s="191">
        <v>4263.7</v>
      </c>
      <c r="K348" s="247">
        <v>4263.7</v>
      </c>
      <c r="L348" s="287">
        <f t="shared" si="39"/>
        <v>0</v>
      </c>
    </row>
    <row r="349" spans="1:12" ht="24" x14ac:dyDescent="0.2">
      <c r="A349" s="189" t="s">
        <v>534</v>
      </c>
      <c r="B349" s="189"/>
      <c r="C349" s="189" t="s">
        <v>507</v>
      </c>
      <c r="D349" s="189" t="s">
        <v>670</v>
      </c>
      <c r="E349" s="189" t="s">
        <v>1098</v>
      </c>
      <c r="F349" s="189" t="s">
        <v>529</v>
      </c>
      <c r="G349" s="247">
        <v>4263.7</v>
      </c>
      <c r="H349" s="247">
        <v>4263.7</v>
      </c>
      <c r="I349" s="248">
        <f t="shared" si="38"/>
        <v>0</v>
      </c>
      <c r="J349" s="191">
        <v>4263.7</v>
      </c>
      <c r="K349" s="247">
        <v>4263.7</v>
      </c>
      <c r="L349" s="287">
        <f t="shared" si="39"/>
        <v>0</v>
      </c>
    </row>
    <row r="350" spans="1:12" x14ac:dyDescent="0.2">
      <c r="A350" s="189" t="s">
        <v>615</v>
      </c>
      <c r="B350" s="189"/>
      <c r="C350" s="189" t="s">
        <v>507</v>
      </c>
      <c r="D350" s="189" t="s">
        <v>670</v>
      </c>
      <c r="E350" s="189" t="s">
        <v>1098</v>
      </c>
      <c r="F350" s="189" t="s">
        <v>509</v>
      </c>
      <c r="G350" s="247">
        <v>100</v>
      </c>
      <c r="H350" s="247">
        <v>100</v>
      </c>
      <c r="I350" s="248">
        <f t="shared" si="38"/>
        <v>0</v>
      </c>
      <c r="J350" s="191">
        <v>100</v>
      </c>
      <c r="K350" s="247">
        <v>100</v>
      </c>
      <c r="L350" s="287">
        <f t="shared" si="39"/>
        <v>0</v>
      </c>
    </row>
    <row r="351" spans="1:12" x14ac:dyDescent="0.2">
      <c r="A351" s="189" t="s">
        <v>614</v>
      </c>
      <c r="B351" s="189"/>
      <c r="C351" s="189" t="s">
        <v>507</v>
      </c>
      <c r="D351" s="189" t="s">
        <v>670</v>
      </c>
      <c r="E351" s="189" t="s">
        <v>1098</v>
      </c>
      <c r="F351" s="189" t="s">
        <v>613</v>
      </c>
      <c r="G351" s="247">
        <v>100</v>
      </c>
      <c r="H351" s="247">
        <v>100</v>
      </c>
      <c r="I351" s="248">
        <f t="shared" si="38"/>
        <v>0</v>
      </c>
      <c r="J351" s="191">
        <v>100</v>
      </c>
      <c r="K351" s="247">
        <v>100</v>
      </c>
      <c r="L351" s="287">
        <f t="shared" si="39"/>
        <v>0</v>
      </c>
    </row>
    <row r="352" spans="1:12" ht="24" x14ac:dyDescent="0.2">
      <c r="A352" s="189" t="s">
        <v>1097</v>
      </c>
      <c r="B352" s="189"/>
      <c r="C352" s="189" t="s">
        <v>507</v>
      </c>
      <c r="D352" s="189" t="s">
        <v>670</v>
      </c>
      <c r="E352" s="189" t="s">
        <v>1096</v>
      </c>
      <c r="F352" s="189"/>
      <c r="G352" s="247">
        <v>50</v>
      </c>
      <c r="H352" s="247">
        <v>50</v>
      </c>
      <c r="I352" s="248">
        <f t="shared" si="38"/>
        <v>0</v>
      </c>
      <c r="J352" s="191">
        <v>50</v>
      </c>
      <c r="K352" s="247">
        <v>50</v>
      </c>
      <c r="L352" s="287">
        <f t="shared" si="39"/>
        <v>0</v>
      </c>
    </row>
    <row r="353" spans="1:12" ht="24" x14ac:dyDescent="0.2">
      <c r="A353" s="189" t="s">
        <v>1347</v>
      </c>
      <c r="B353" s="189"/>
      <c r="C353" s="189" t="s">
        <v>507</v>
      </c>
      <c r="D353" s="189" t="s">
        <v>670</v>
      </c>
      <c r="E353" s="189" t="s">
        <v>1096</v>
      </c>
      <c r="F353" s="189" t="s">
        <v>535</v>
      </c>
      <c r="G353" s="247">
        <v>50</v>
      </c>
      <c r="H353" s="247">
        <v>50</v>
      </c>
      <c r="I353" s="248">
        <f t="shared" si="38"/>
        <v>0</v>
      </c>
      <c r="J353" s="191">
        <v>50</v>
      </c>
      <c r="K353" s="247">
        <v>50</v>
      </c>
      <c r="L353" s="287">
        <f t="shared" si="39"/>
        <v>0</v>
      </c>
    </row>
    <row r="354" spans="1:12" ht="24" x14ac:dyDescent="0.2">
      <c r="A354" s="189" t="s">
        <v>534</v>
      </c>
      <c r="B354" s="189"/>
      <c r="C354" s="189" t="s">
        <v>507</v>
      </c>
      <c r="D354" s="189" t="s">
        <v>670</v>
      </c>
      <c r="E354" s="189" t="s">
        <v>1096</v>
      </c>
      <c r="F354" s="189" t="s">
        <v>529</v>
      </c>
      <c r="G354" s="247">
        <v>50</v>
      </c>
      <c r="H354" s="247">
        <v>50</v>
      </c>
      <c r="I354" s="248">
        <f t="shared" si="38"/>
        <v>0</v>
      </c>
      <c r="J354" s="191">
        <v>50</v>
      </c>
      <c r="K354" s="247">
        <v>50</v>
      </c>
      <c r="L354" s="287">
        <f t="shared" si="39"/>
        <v>0</v>
      </c>
    </row>
    <row r="355" spans="1:12" ht="24" x14ac:dyDescent="0.2">
      <c r="A355" s="189" t="s">
        <v>1095</v>
      </c>
      <c r="B355" s="189"/>
      <c r="C355" s="189" t="s">
        <v>507</v>
      </c>
      <c r="D355" s="189" t="s">
        <v>670</v>
      </c>
      <c r="E355" s="189" t="s">
        <v>1094</v>
      </c>
      <c r="F355" s="189"/>
      <c r="G355" s="247">
        <v>50</v>
      </c>
      <c r="H355" s="247">
        <v>50</v>
      </c>
      <c r="I355" s="248">
        <f t="shared" si="38"/>
        <v>0</v>
      </c>
      <c r="J355" s="191">
        <v>50</v>
      </c>
      <c r="K355" s="247">
        <v>50</v>
      </c>
      <c r="L355" s="287">
        <f t="shared" si="39"/>
        <v>0</v>
      </c>
    </row>
    <row r="356" spans="1:12" ht="24" x14ac:dyDescent="0.2">
      <c r="A356" s="189" t="s">
        <v>1347</v>
      </c>
      <c r="B356" s="189"/>
      <c r="C356" s="189" t="s">
        <v>507</v>
      </c>
      <c r="D356" s="189" t="s">
        <v>670</v>
      </c>
      <c r="E356" s="189" t="s">
        <v>1094</v>
      </c>
      <c r="F356" s="189" t="s">
        <v>535</v>
      </c>
      <c r="G356" s="247">
        <v>50</v>
      </c>
      <c r="H356" s="247">
        <v>50</v>
      </c>
      <c r="I356" s="248">
        <f t="shared" si="38"/>
        <v>0</v>
      </c>
      <c r="J356" s="191">
        <v>50</v>
      </c>
      <c r="K356" s="247">
        <v>50</v>
      </c>
      <c r="L356" s="287">
        <f t="shared" si="39"/>
        <v>0</v>
      </c>
    </row>
    <row r="357" spans="1:12" ht="24" x14ac:dyDescent="0.2">
      <c r="A357" s="189" t="s">
        <v>534</v>
      </c>
      <c r="B357" s="189"/>
      <c r="C357" s="189" t="s">
        <v>507</v>
      </c>
      <c r="D357" s="189" t="s">
        <v>670</v>
      </c>
      <c r="E357" s="189" t="s">
        <v>1094</v>
      </c>
      <c r="F357" s="189" t="s">
        <v>529</v>
      </c>
      <c r="G357" s="247">
        <v>50</v>
      </c>
      <c r="H357" s="247">
        <v>50</v>
      </c>
      <c r="I357" s="248">
        <f t="shared" si="38"/>
        <v>0</v>
      </c>
      <c r="J357" s="191">
        <v>50</v>
      </c>
      <c r="K357" s="247">
        <v>50</v>
      </c>
      <c r="L357" s="287">
        <f t="shared" si="39"/>
        <v>0</v>
      </c>
    </row>
    <row r="358" spans="1:12" ht="24" x14ac:dyDescent="0.2">
      <c r="A358" s="189" t="s">
        <v>1093</v>
      </c>
      <c r="B358" s="189"/>
      <c r="C358" s="189" t="s">
        <v>507</v>
      </c>
      <c r="D358" s="189" t="s">
        <v>670</v>
      </c>
      <c r="E358" s="189" t="s">
        <v>1092</v>
      </c>
      <c r="F358" s="189"/>
      <c r="G358" s="247">
        <v>7430</v>
      </c>
      <c r="H358" s="247">
        <v>7430</v>
      </c>
      <c r="I358" s="248">
        <f t="shared" si="38"/>
        <v>0</v>
      </c>
      <c r="J358" s="191">
        <v>7430</v>
      </c>
      <c r="K358" s="247">
        <v>7430</v>
      </c>
      <c r="L358" s="287">
        <f t="shared" si="39"/>
        <v>0</v>
      </c>
    </row>
    <row r="359" spans="1:12" ht="24" x14ac:dyDescent="0.2">
      <c r="A359" s="189" t="s">
        <v>1347</v>
      </c>
      <c r="B359" s="189"/>
      <c r="C359" s="189" t="s">
        <v>507</v>
      </c>
      <c r="D359" s="189" t="s">
        <v>670</v>
      </c>
      <c r="E359" s="189" t="s">
        <v>1092</v>
      </c>
      <c r="F359" s="189" t="s">
        <v>535</v>
      </c>
      <c r="G359" s="247">
        <v>7430</v>
      </c>
      <c r="H359" s="247">
        <v>7430</v>
      </c>
      <c r="I359" s="248">
        <f t="shared" si="38"/>
        <v>0</v>
      </c>
      <c r="J359" s="191">
        <v>7430</v>
      </c>
      <c r="K359" s="247">
        <v>7430</v>
      </c>
      <c r="L359" s="287">
        <f t="shared" si="39"/>
        <v>0</v>
      </c>
    </row>
    <row r="360" spans="1:12" ht="24" x14ac:dyDescent="0.2">
      <c r="A360" s="189" t="s">
        <v>534</v>
      </c>
      <c r="B360" s="189"/>
      <c r="C360" s="189" t="s">
        <v>507</v>
      </c>
      <c r="D360" s="189" t="s">
        <v>670</v>
      </c>
      <c r="E360" s="189" t="s">
        <v>1092</v>
      </c>
      <c r="F360" s="189" t="s">
        <v>529</v>
      </c>
      <c r="G360" s="247">
        <v>7430</v>
      </c>
      <c r="H360" s="247">
        <v>7430</v>
      </c>
      <c r="I360" s="248">
        <f t="shared" si="38"/>
        <v>0</v>
      </c>
      <c r="J360" s="191">
        <v>7430</v>
      </c>
      <c r="K360" s="247">
        <v>7430</v>
      </c>
      <c r="L360" s="287">
        <f t="shared" si="39"/>
        <v>0</v>
      </c>
    </row>
    <row r="361" spans="1:12" ht="24" x14ac:dyDescent="0.2">
      <c r="A361" s="189" t="s">
        <v>1528</v>
      </c>
      <c r="B361" s="189"/>
      <c r="C361" s="189" t="s">
        <v>507</v>
      </c>
      <c r="D361" s="189" t="s">
        <v>670</v>
      </c>
      <c r="E361" s="189" t="s">
        <v>1091</v>
      </c>
      <c r="F361" s="189"/>
      <c r="G361" s="247">
        <f>G362</f>
        <v>660</v>
      </c>
      <c r="H361" s="247">
        <f>H362</f>
        <v>660</v>
      </c>
      <c r="I361" s="248">
        <f t="shared" si="38"/>
        <v>0</v>
      </c>
      <c r="J361" s="191">
        <f t="shared" ref="J361:K361" si="41">J362</f>
        <v>660</v>
      </c>
      <c r="K361" s="247">
        <f t="shared" si="41"/>
        <v>660</v>
      </c>
      <c r="L361" s="287">
        <f t="shared" si="39"/>
        <v>0</v>
      </c>
    </row>
    <row r="362" spans="1:12" s="390" customFormat="1" ht="24" x14ac:dyDescent="0.2">
      <c r="A362" s="189" t="s">
        <v>547</v>
      </c>
      <c r="B362" s="189"/>
      <c r="C362" s="189" t="s">
        <v>507</v>
      </c>
      <c r="D362" s="189" t="s">
        <v>670</v>
      </c>
      <c r="E362" s="189" t="s">
        <v>1091</v>
      </c>
      <c r="F362" s="189">
        <v>600</v>
      </c>
      <c r="G362" s="247">
        <f>G363</f>
        <v>660</v>
      </c>
      <c r="H362" s="247">
        <f>H363</f>
        <v>660</v>
      </c>
      <c r="I362" s="248">
        <f t="shared" ref="I362:I438" si="42">H362-G362</f>
        <v>0</v>
      </c>
      <c r="J362" s="191">
        <f>J363</f>
        <v>660</v>
      </c>
      <c r="K362" s="247">
        <f>K363</f>
        <v>660</v>
      </c>
      <c r="L362" s="287">
        <f t="shared" ref="L362:L438" si="43">K362-J362</f>
        <v>0</v>
      </c>
    </row>
    <row r="363" spans="1:12" s="390" customFormat="1" x14ac:dyDescent="0.2">
      <c r="A363" s="189" t="s">
        <v>571</v>
      </c>
      <c r="B363" s="189"/>
      <c r="C363" s="189" t="s">
        <v>507</v>
      </c>
      <c r="D363" s="189" t="s">
        <v>670</v>
      </c>
      <c r="E363" s="189" t="s">
        <v>1091</v>
      </c>
      <c r="F363" s="189">
        <v>610</v>
      </c>
      <c r="G363" s="247">
        <f>660</f>
        <v>660</v>
      </c>
      <c r="H363" s="247">
        <f>660</f>
        <v>660</v>
      </c>
      <c r="I363" s="248">
        <f t="shared" si="42"/>
        <v>0</v>
      </c>
      <c r="J363" s="191">
        <f>660</f>
        <v>660</v>
      </c>
      <c r="K363" s="247">
        <f>660</f>
        <v>660</v>
      </c>
      <c r="L363" s="287">
        <f t="shared" si="43"/>
        <v>0</v>
      </c>
    </row>
    <row r="364" spans="1:12" ht="24" x14ac:dyDescent="0.2">
      <c r="A364" s="189" t="s">
        <v>1090</v>
      </c>
      <c r="B364" s="189"/>
      <c r="C364" s="189" t="s">
        <v>507</v>
      </c>
      <c r="D364" s="189" t="s">
        <v>670</v>
      </c>
      <c r="E364" s="189" t="s">
        <v>1089</v>
      </c>
      <c r="F364" s="189"/>
      <c r="G364" s="247">
        <v>70</v>
      </c>
      <c r="H364" s="247">
        <v>70</v>
      </c>
      <c r="I364" s="248">
        <f t="shared" si="42"/>
        <v>0</v>
      </c>
      <c r="J364" s="191">
        <v>70</v>
      </c>
      <c r="K364" s="247">
        <v>70</v>
      </c>
      <c r="L364" s="287">
        <f t="shared" si="43"/>
        <v>0</v>
      </c>
    </row>
    <row r="365" spans="1:12" ht="24" x14ac:dyDescent="0.2">
      <c r="A365" s="189" t="s">
        <v>1347</v>
      </c>
      <c r="B365" s="189"/>
      <c r="C365" s="189" t="s">
        <v>507</v>
      </c>
      <c r="D365" s="189" t="s">
        <v>670</v>
      </c>
      <c r="E365" s="189" t="s">
        <v>1089</v>
      </c>
      <c r="F365" s="189" t="s">
        <v>535</v>
      </c>
      <c r="G365" s="247">
        <v>70</v>
      </c>
      <c r="H365" s="247">
        <v>70</v>
      </c>
      <c r="I365" s="248">
        <f t="shared" si="42"/>
        <v>0</v>
      </c>
      <c r="J365" s="191">
        <v>70</v>
      </c>
      <c r="K365" s="247">
        <v>70</v>
      </c>
      <c r="L365" s="287">
        <f t="shared" si="43"/>
        <v>0</v>
      </c>
    </row>
    <row r="366" spans="1:12" ht="24" x14ac:dyDescent="0.2">
      <c r="A366" s="189" t="s">
        <v>534</v>
      </c>
      <c r="B366" s="189"/>
      <c r="C366" s="189" t="s">
        <v>507</v>
      </c>
      <c r="D366" s="189" t="s">
        <v>670</v>
      </c>
      <c r="E366" s="189" t="s">
        <v>1089</v>
      </c>
      <c r="F366" s="189" t="s">
        <v>529</v>
      </c>
      <c r="G366" s="247">
        <v>70</v>
      </c>
      <c r="H366" s="247">
        <v>70</v>
      </c>
      <c r="I366" s="248">
        <f t="shared" si="42"/>
        <v>0</v>
      </c>
      <c r="J366" s="191">
        <v>70</v>
      </c>
      <c r="K366" s="247">
        <v>70</v>
      </c>
      <c r="L366" s="287">
        <f t="shared" si="43"/>
        <v>0</v>
      </c>
    </row>
    <row r="367" spans="1:12" ht="24" x14ac:dyDescent="0.2">
      <c r="A367" s="189" t="s">
        <v>1088</v>
      </c>
      <c r="B367" s="189"/>
      <c r="C367" s="189" t="s">
        <v>507</v>
      </c>
      <c r="D367" s="189" t="s">
        <v>670</v>
      </c>
      <c r="E367" s="189" t="s">
        <v>1087</v>
      </c>
      <c r="F367" s="189"/>
      <c r="G367" s="247">
        <v>1250</v>
      </c>
      <c r="H367" s="247">
        <v>1250</v>
      </c>
      <c r="I367" s="248">
        <f t="shared" si="42"/>
        <v>0</v>
      </c>
      <c r="J367" s="191">
        <v>1250</v>
      </c>
      <c r="K367" s="247">
        <v>1250</v>
      </c>
      <c r="L367" s="287">
        <f t="shared" si="43"/>
        <v>0</v>
      </c>
    </row>
    <row r="368" spans="1:12" ht="24" x14ac:dyDescent="0.2">
      <c r="A368" s="189" t="s">
        <v>547</v>
      </c>
      <c r="B368" s="189"/>
      <c r="C368" s="189" t="s">
        <v>507</v>
      </c>
      <c r="D368" s="189" t="s">
        <v>670</v>
      </c>
      <c r="E368" s="189" t="s">
        <v>1087</v>
      </c>
      <c r="F368" s="189" t="s">
        <v>519</v>
      </c>
      <c r="G368" s="247">
        <v>1250</v>
      </c>
      <c r="H368" s="247">
        <v>1250</v>
      </c>
      <c r="I368" s="248">
        <f t="shared" si="42"/>
        <v>0</v>
      </c>
      <c r="J368" s="191">
        <v>1250</v>
      </c>
      <c r="K368" s="247">
        <v>1250</v>
      </c>
      <c r="L368" s="287">
        <f t="shared" si="43"/>
        <v>0</v>
      </c>
    </row>
    <row r="369" spans="1:12" x14ac:dyDescent="0.2">
      <c r="A369" s="189" t="s">
        <v>571</v>
      </c>
      <c r="B369" s="189"/>
      <c r="C369" s="189" t="s">
        <v>507</v>
      </c>
      <c r="D369" s="189" t="s">
        <v>670</v>
      </c>
      <c r="E369" s="189" t="s">
        <v>1087</v>
      </c>
      <c r="F369" s="189" t="s">
        <v>522</v>
      </c>
      <c r="G369" s="247">
        <v>1250</v>
      </c>
      <c r="H369" s="247">
        <v>1250</v>
      </c>
      <c r="I369" s="248">
        <f t="shared" si="42"/>
        <v>0</v>
      </c>
      <c r="J369" s="191">
        <v>1250</v>
      </c>
      <c r="K369" s="247">
        <v>1250</v>
      </c>
      <c r="L369" s="287">
        <f t="shared" si="43"/>
        <v>0</v>
      </c>
    </row>
    <row r="370" spans="1:12" ht="36" x14ac:dyDescent="0.2">
      <c r="A370" s="189" t="s">
        <v>1086</v>
      </c>
      <c r="B370" s="189"/>
      <c r="C370" s="189" t="s">
        <v>507</v>
      </c>
      <c r="D370" s="189" t="s">
        <v>670</v>
      </c>
      <c r="E370" s="189" t="s">
        <v>1085</v>
      </c>
      <c r="F370" s="189"/>
      <c r="G370" s="247">
        <v>14000</v>
      </c>
      <c r="H370" s="247">
        <v>14000</v>
      </c>
      <c r="I370" s="248">
        <f t="shared" si="42"/>
        <v>0</v>
      </c>
      <c r="J370" s="191">
        <v>18000</v>
      </c>
      <c r="K370" s="247">
        <v>18000</v>
      </c>
      <c r="L370" s="287">
        <f t="shared" si="43"/>
        <v>0</v>
      </c>
    </row>
    <row r="371" spans="1:12" ht="24" x14ac:dyDescent="0.2">
      <c r="A371" s="189" t="s">
        <v>1347</v>
      </c>
      <c r="B371" s="189"/>
      <c r="C371" s="189" t="s">
        <v>507</v>
      </c>
      <c r="D371" s="189" t="s">
        <v>670</v>
      </c>
      <c r="E371" s="189" t="s">
        <v>1085</v>
      </c>
      <c r="F371" s="189" t="s">
        <v>535</v>
      </c>
      <c r="G371" s="247">
        <v>14000</v>
      </c>
      <c r="H371" s="247">
        <v>14000</v>
      </c>
      <c r="I371" s="248">
        <f t="shared" si="42"/>
        <v>0</v>
      </c>
      <c r="J371" s="191">
        <v>18000</v>
      </c>
      <c r="K371" s="247">
        <v>18000</v>
      </c>
      <c r="L371" s="287">
        <f t="shared" si="43"/>
        <v>0</v>
      </c>
    </row>
    <row r="372" spans="1:12" ht="24" x14ac:dyDescent="0.2">
      <c r="A372" s="189" t="s">
        <v>534</v>
      </c>
      <c r="B372" s="189"/>
      <c r="C372" s="189" t="s">
        <v>507</v>
      </c>
      <c r="D372" s="189" t="s">
        <v>670</v>
      </c>
      <c r="E372" s="189" t="s">
        <v>1085</v>
      </c>
      <c r="F372" s="189" t="s">
        <v>529</v>
      </c>
      <c r="G372" s="247">
        <v>14000</v>
      </c>
      <c r="H372" s="247">
        <v>14000</v>
      </c>
      <c r="I372" s="248">
        <f t="shared" si="42"/>
        <v>0</v>
      </c>
      <c r="J372" s="191">
        <v>18000</v>
      </c>
      <c r="K372" s="247">
        <v>18000</v>
      </c>
      <c r="L372" s="287">
        <f t="shared" si="43"/>
        <v>0</v>
      </c>
    </row>
    <row r="373" spans="1:12" ht="36" x14ac:dyDescent="0.2">
      <c r="A373" s="189" t="s">
        <v>1084</v>
      </c>
      <c r="B373" s="189"/>
      <c r="C373" s="189" t="s">
        <v>507</v>
      </c>
      <c r="D373" s="189" t="s">
        <v>670</v>
      </c>
      <c r="E373" s="189" t="s">
        <v>1083</v>
      </c>
      <c r="F373" s="189"/>
      <c r="G373" s="247">
        <v>65225</v>
      </c>
      <c r="H373" s="247">
        <v>65225</v>
      </c>
      <c r="I373" s="248">
        <f t="shared" si="42"/>
        <v>0</v>
      </c>
      <c r="J373" s="191">
        <v>73436</v>
      </c>
      <c r="K373" s="247">
        <v>73436</v>
      </c>
      <c r="L373" s="287">
        <f t="shared" si="43"/>
        <v>0</v>
      </c>
    </row>
    <row r="374" spans="1:12" ht="24" x14ac:dyDescent="0.2">
      <c r="A374" s="189" t="s">
        <v>1347</v>
      </c>
      <c r="B374" s="189"/>
      <c r="C374" s="189" t="s">
        <v>507</v>
      </c>
      <c r="D374" s="189" t="s">
        <v>670</v>
      </c>
      <c r="E374" s="189" t="s">
        <v>1083</v>
      </c>
      <c r="F374" s="189" t="s">
        <v>535</v>
      </c>
      <c r="G374" s="247">
        <v>65225</v>
      </c>
      <c r="H374" s="247">
        <v>65225</v>
      </c>
      <c r="I374" s="248">
        <f t="shared" si="42"/>
        <v>0</v>
      </c>
      <c r="J374" s="191">
        <v>73436</v>
      </c>
      <c r="K374" s="247">
        <v>73436</v>
      </c>
      <c r="L374" s="287">
        <f t="shared" si="43"/>
        <v>0</v>
      </c>
    </row>
    <row r="375" spans="1:12" ht="24" x14ac:dyDescent="0.2">
      <c r="A375" s="189" t="s">
        <v>534</v>
      </c>
      <c r="B375" s="189"/>
      <c r="C375" s="189" t="s">
        <v>507</v>
      </c>
      <c r="D375" s="189" t="s">
        <v>670</v>
      </c>
      <c r="E375" s="189" t="s">
        <v>1083</v>
      </c>
      <c r="F375" s="189" t="s">
        <v>529</v>
      </c>
      <c r="G375" s="247">
        <v>65225</v>
      </c>
      <c r="H375" s="247">
        <v>65225</v>
      </c>
      <c r="I375" s="248">
        <f t="shared" si="42"/>
        <v>0</v>
      </c>
      <c r="J375" s="191">
        <v>73436</v>
      </c>
      <c r="K375" s="247">
        <v>73436</v>
      </c>
      <c r="L375" s="287">
        <f t="shared" si="43"/>
        <v>0</v>
      </c>
    </row>
    <row r="376" spans="1:12" ht="36" x14ac:dyDescent="0.2">
      <c r="A376" s="189" t="s">
        <v>1082</v>
      </c>
      <c r="B376" s="189"/>
      <c r="C376" s="189" t="s">
        <v>507</v>
      </c>
      <c r="D376" s="189" t="s">
        <v>670</v>
      </c>
      <c r="E376" s="189" t="s">
        <v>1081</v>
      </c>
      <c r="F376" s="189"/>
      <c r="G376" s="247">
        <v>30000</v>
      </c>
      <c r="H376" s="247">
        <v>30000</v>
      </c>
      <c r="I376" s="248">
        <f t="shared" si="42"/>
        <v>0</v>
      </c>
      <c r="J376" s="191">
        <v>20000</v>
      </c>
      <c r="K376" s="247">
        <v>20000</v>
      </c>
      <c r="L376" s="287">
        <f t="shared" si="43"/>
        <v>0</v>
      </c>
    </row>
    <row r="377" spans="1:12" ht="24" x14ac:dyDescent="0.2">
      <c r="A377" s="189" t="s">
        <v>1347</v>
      </c>
      <c r="B377" s="189"/>
      <c r="C377" s="189" t="s">
        <v>507</v>
      </c>
      <c r="D377" s="189" t="s">
        <v>670</v>
      </c>
      <c r="E377" s="189" t="s">
        <v>1081</v>
      </c>
      <c r="F377" s="189" t="s">
        <v>535</v>
      </c>
      <c r="G377" s="247">
        <v>30000</v>
      </c>
      <c r="H377" s="247">
        <v>30000</v>
      </c>
      <c r="I377" s="248">
        <f t="shared" si="42"/>
        <v>0</v>
      </c>
      <c r="J377" s="191">
        <v>20000</v>
      </c>
      <c r="K377" s="247">
        <v>20000</v>
      </c>
      <c r="L377" s="287">
        <f t="shared" si="43"/>
        <v>0</v>
      </c>
    </row>
    <row r="378" spans="1:12" ht="24" x14ac:dyDescent="0.2">
      <c r="A378" s="189" t="s">
        <v>534</v>
      </c>
      <c r="B378" s="189"/>
      <c r="C378" s="189" t="s">
        <v>507</v>
      </c>
      <c r="D378" s="189" t="s">
        <v>670</v>
      </c>
      <c r="E378" s="189" t="s">
        <v>1081</v>
      </c>
      <c r="F378" s="189" t="s">
        <v>529</v>
      </c>
      <c r="G378" s="247">
        <v>30000</v>
      </c>
      <c r="H378" s="247">
        <v>30000</v>
      </c>
      <c r="I378" s="248">
        <f t="shared" si="42"/>
        <v>0</v>
      </c>
      <c r="J378" s="191">
        <v>20000</v>
      </c>
      <c r="K378" s="247">
        <v>20000</v>
      </c>
      <c r="L378" s="287">
        <f t="shared" si="43"/>
        <v>0</v>
      </c>
    </row>
    <row r="379" spans="1:12" x14ac:dyDescent="0.2">
      <c r="A379" s="189" t="s">
        <v>743</v>
      </c>
      <c r="B379" s="189"/>
      <c r="C379" s="189" t="s">
        <v>507</v>
      </c>
      <c r="D379" s="189" t="s">
        <v>657</v>
      </c>
      <c r="E379" s="189"/>
      <c r="F379" s="189"/>
      <c r="G379" s="247">
        <v>38946.699999999997</v>
      </c>
      <c r="H379" s="247">
        <v>38946.699999999997</v>
      </c>
      <c r="I379" s="248">
        <f t="shared" si="42"/>
        <v>0</v>
      </c>
      <c r="J379" s="191">
        <v>50669.4</v>
      </c>
      <c r="K379" s="247">
        <v>50669.4</v>
      </c>
      <c r="L379" s="287">
        <f t="shared" si="43"/>
        <v>0</v>
      </c>
    </row>
    <row r="380" spans="1:12" x14ac:dyDescent="0.2">
      <c r="A380" s="189" t="s">
        <v>742</v>
      </c>
      <c r="B380" s="189"/>
      <c r="C380" s="189" t="s">
        <v>507</v>
      </c>
      <c r="D380" s="189" t="s">
        <v>657</v>
      </c>
      <c r="E380" s="189" t="s">
        <v>741</v>
      </c>
      <c r="F380" s="189"/>
      <c r="G380" s="247">
        <v>38946.699999999997</v>
      </c>
      <c r="H380" s="247">
        <v>38946.699999999997</v>
      </c>
      <c r="I380" s="248">
        <f t="shared" si="42"/>
        <v>0</v>
      </c>
      <c r="J380" s="191">
        <v>50669.4</v>
      </c>
      <c r="K380" s="247">
        <v>50669.4</v>
      </c>
      <c r="L380" s="287">
        <f t="shared" si="43"/>
        <v>0</v>
      </c>
    </row>
    <row r="381" spans="1:12" ht="36" x14ac:dyDescent="0.2">
      <c r="A381" s="189" t="s">
        <v>740</v>
      </c>
      <c r="B381" s="189"/>
      <c r="C381" s="189" t="s">
        <v>507</v>
      </c>
      <c r="D381" s="189" t="s">
        <v>657</v>
      </c>
      <c r="E381" s="189" t="s">
        <v>739</v>
      </c>
      <c r="F381" s="189"/>
      <c r="G381" s="247">
        <v>38946.699999999997</v>
      </c>
      <c r="H381" s="247">
        <v>38946.699999999997</v>
      </c>
      <c r="I381" s="248">
        <f t="shared" si="42"/>
        <v>0</v>
      </c>
      <c r="J381" s="191">
        <v>50669.4</v>
      </c>
      <c r="K381" s="247">
        <v>50669.4</v>
      </c>
      <c r="L381" s="287">
        <f t="shared" si="43"/>
        <v>0</v>
      </c>
    </row>
    <row r="382" spans="1:12" x14ac:dyDescent="0.2">
      <c r="A382" s="189" t="s">
        <v>786</v>
      </c>
      <c r="B382" s="189"/>
      <c r="C382" s="189" t="s">
        <v>507</v>
      </c>
      <c r="D382" s="189" t="s">
        <v>657</v>
      </c>
      <c r="E382" s="189" t="s">
        <v>785</v>
      </c>
      <c r="F382" s="189"/>
      <c r="G382" s="247">
        <v>14331.1</v>
      </c>
      <c r="H382" s="247">
        <v>14331.1</v>
      </c>
      <c r="I382" s="248">
        <f t="shared" si="42"/>
        <v>0</v>
      </c>
      <c r="J382" s="191">
        <v>22800</v>
      </c>
      <c r="K382" s="247">
        <v>22800</v>
      </c>
      <c r="L382" s="287">
        <f t="shared" si="43"/>
        <v>0</v>
      </c>
    </row>
    <row r="383" spans="1:12" x14ac:dyDescent="0.2">
      <c r="A383" s="189" t="s">
        <v>1080</v>
      </c>
      <c r="B383" s="189"/>
      <c r="C383" s="189" t="s">
        <v>507</v>
      </c>
      <c r="D383" s="189" t="s">
        <v>657</v>
      </c>
      <c r="E383" s="189" t="s">
        <v>1079</v>
      </c>
      <c r="F383" s="189"/>
      <c r="G383" s="247">
        <v>14331.1</v>
      </c>
      <c r="H383" s="247">
        <v>14331.1</v>
      </c>
      <c r="I383" s="248">
        <f t="shared" si="42"/>
        <v>0</v>
      </c>
      <c r="J383" s="191">
        <v>22800</v>
      </c>
      <c r="K383" s="247">
        <v>22800</v>
      </c>
      <c r="L383" s="287">
        <f t="shared" si="43"/>
        <v>0</v>
      </c>
    </row>
    <row r="384" spans="1:12" ht="24" x14ac:dyDescent="0.2">
      <c r="A384" s="189" t="s">
        <v>1347</v>
      </c>
      <c r="B384" s="189"/>
      <c r="C384" s="189" t="s">
        <v>507</v>
      </c>
      <c r="D384" s="189" t="s">
        <v>657</v>
      </c>
      <c r="E384" s="189" t="s">
        <v>1079</v>
      </c>
      <c r="F384" s="189" t="s">
        <v>535</v>
      </c>
      <c r="G384" s="247">
        <v>14331.1</v>
      </c>
      <c r="H384" s="247">
        <v>14331.1</v>
      </c>
      <c r="I384" s="248">
        <f t="shared" si="42"/>
        <v>0</v>
      </c>
      <c r="J384" s="191">
        <v>22800</v>
      </c>
      <c r="K384" s="247">
        <v>22800</v>
      </c>
      <c r="L384" s="287">
        <f t="shared" si="43"/>
        <v>0</v>
      </c>
    </row>
    <row r="385" spans="1:12" ht="24" x14ac:dyDescent="0.2">
      <c r="A385" s="189" t="s">
        <v>534</v>
      </c>
      <c r="B385" s="189"/>
      <c r="C385" s="189" t="s">
        <v>507</v>
      </c>
      <c r="D385" s="189" t="s">
        <v>657</v>
      </c>
      <c r="E385" s="189" t="s">
        <v>1079</v>
      </c>
      <c r="F385" s="189" t="s">
        <v>529</v>
      </c>
      <c r="G385" s="247">
        <v>14331.1</v>
      </c>
      <c r="H385" s="247">
        <v>14331.1</v>
      </c>
      <c r="I385" s="248">
        <f t="shared" si="42"/>
        <v>0</v>
      </c>
      <c r="J385" s="191">
        <v>22800</v>
      </c>
      <c r="K385" s="247">
        <v>22800</v>
      </c>
      <c r="L385" s="287">
        <f t="shared" si="43"/>
        <v>0</v>
      </c>
    </row>
    <row r="386" spans="1:12" x14ac:dyDescent="0.2">
      <c r="A386" s="189" t="s">
        <v>1078</v>
      </c>
      <c r="B386" s="189"/>
      <c r="C386" s="189" t="s">
        <v>507</v>
      </c>
      <c r="D386" s="189" t="s">
        <v>657</v>
      </c>
      <c r="E386" s="189" t="s">
        <v>1077</v>
      </c>
      <c r="F386" s="189"/>
      <c r="G386" s="247">
        <v>200</v>
      </c>
      <c r="H386" s="247">
        <v>200</v>
      </c>
      <c r="I386" s="248">
        <f t="shared" si="42"/>
        <v>0</v>
      </c>
      <c r="J386" s="191">
        <v>710</v>
      </c>
      <c r="K386" s="247">
        <v>710</v>
      </c>
      <c r="L386" s="287">
        <f t="shared" si="43"/>
        <v>0</v>
      </c>
    </row>
    <row r="387" spans="1:12" x14ac:dyDescent="0.2">
      <c r="A387" s="189" t="s">
        <v>1076</v>
      </c>
      <c r="B387" s="189"/>
      <c r="C387" s="189" t="s">
        <v>507</v>
      </c>
      <c r="D387" s="189" t="s">
        <v>657</v>
      </c>
      <c r="E387" s="189" t="s">
        <v>1075</v>
      </c>
      <c r="F387" s="189"/>
      <c r="G387" s="247">
        <v>200</v>
      </c>
      <c r="H387" s="247">
        <v>200</v>
      </c>
      <c r="I387" s="248">
        <f t="shared" si="42"/>
        <v>0</v>
      </c>
      <c r="J387" s="191">
        <v>710</v>
      </c>
      <c r="K387" s="247">
        <v>710</v>
      </c>
      <c r="L387" s="287">
        <f t="shared" si="43"/>
        <v>0</v>
      </c>
    </row>
    <row r="388" spans="1:12" ht="24" x14ac:dyDescent="0.2">
      <c r="A388" s="189" t="s">
        <v>1347</v>
      </c>
      <c r="B388" s="189"/>
      <c r="C388" s="189" t="s">
        <v>507</v>
      </c>
      <c r="D388" s="189" t="s">
        <v>657</v>
      </c>
      <c r="E388" s="189" t="s">
        <v>1075</v>
      </c>
      <c r="F388" s="189" t="s">
        <v>535</v>
      </c>
      <c r="G388" s="247">
        <v>200</v>
      </c>
      <c r="H388" s="247">
        <v>200</v>
      </c>
      <c r="I388" s="248">
        <f t="shared" si="42"/>
        <v>0</v>
      </c>
      <c r="J388" s="191">
        <v>710</v>
      </c>
      <c r="K388" s="247">
        <v>710</v>
      </c>
      <c r="L388" s="287">
        <f t="shared" si="43"/>
        <v>0</v>
      </c>
    </row>
    <row r="389" spans="1:12" ht="24" x14ac:dyDescent="0.2">
      <c r="A389" s="189" t="s">
        <v>534</v>
      </c>
      <c r="B389" s="189"/>
      <c r="C389" s="189" t="s">
        <v>507</v>
      </c>
      <c r="D389" s="189" t="s">
        <v>657</v>
      </c>
      <c r="E389" s="189" t="s">
        <v>1075</v>
      </c>
      <c r="F389" s="189" t="s">
        <v>529</v>
      </c>
      <c r="G389" s="247">
        <v>200</v>
      </c>
      <c r="H389" s="247">
        <v>200</v>
      </c>
      <c r="I389" s="248">
        <f t="shared" si="42"/>
        <v>0</v>
      </c>
      <c r="J389" s="191">
        <v>710</v>
      </c>
      <c r="K389" s="247">
        <v>710</v>
      </c>
      <c r="L389" s="287">
        <f t="shared" si="43"/>
        <v>0</v>
      </c>
    </row>
    <row r="390" spans="1:12" x14ac:dyDescent="0.2">
      <c r="A390" s="189" t="s">
        <v>1074</v>
      </c>
      <c r="B390" s="189"/>
      <c r="C390" s="189" t="s">
        <v>507</v>
      </c>
      <c r="D390" s="189" t="s">
        <v>657</v>
      </c>
      <c r="E390" s="189" t="s">
        <v>1073</v>
      </c>
      <c r="F390" s="189"/>
      <c r="G390" s="247">
        <v>24415.599999999999</v>
      </c>
      <c r="H390" s="247">
        <v>24415.599999999999</v>
      </c>
      <c r="I390" s="248">
        <f t="shared" si="42"/>
        <v>0</v>
      </c>
      <c r="J390" s="191">
        <v>27159.4</v>
      </c>
      <c r="K390" s="247">
        <v>27159.4</v>
      </c>
      <c r="L390" s="287">
        <f t="shared" si="43"/>
        <v>0</v>
      </c>
    </row>
    <row r="391" spans="1:12" x14ac:dyDescent="0.2">
      <c r="A391" s="189" t="s">
        <v>1072</v>
      </c>
      <c r="B391" s="189"/>
      <c r="C391" s="189" t="s">
        <v>507</v>
      </c>
      <c r="D391" s="189" t="s">
        <v>657</v>
      </c>
      <c r="E391" s="189" t="s">
        <v>1071</v>
      </c>
      <c r="F391" s="189"/>
      <c r="G391" s="247">
        <v>5491.6</v>
      </c>
      <c r="H391" s="247">
        <v>5491.6</v>
      </c>
      <c r="I391" s="248">
        <f t="shared" si="42"/>
        <v>0</v>
      </c>
      <c r="J391" s="191">
        <v>13578</v>
      </c>
      <c r="K391" s="247">
        <v>13578</v>
      </c>
      <c r="L391" s="287">
        <f t="shared" si="43"/>
        <v>0</v>
      </c>
    </row>
    <row r="392" spans="1:12" ht="24" x14ac:dyDescent="0.2">
      <c r="A392" s="189" t="s">
        <v>1347</v>
      </c>
      <c r="B392" s="189"/>
      <c r="C392" s="189" t="s">
        <v>507</v>
      </c>
      <c r="D392" s="189" t="s">
        <v>657</v>
      </c>
      <c r="E392" s="189" t="s">
        <v>1071</v>
      </c>
      <c r="F392" s="189" t="s">
        <v>535</v>
      </c>
      <c r="G392" s="247">
        <v>5491.6</v>
      </c>
      <c r="H392" s="247">
        <v>5491.6</v>
      </c>
      <c r="I392" s="248">
        <f t="shared" si="42"/>
        <v>0</v>
      </c>
      <c r="J392" s="191">
        <v>13578</v>
      </c>
      <c r="K392" s="247">
        <v>13578</v>
      </c>
      <c r="L392" s="287">
        <f t="shared" si="43"/>
        <v>0</v>
      </c>
    </row>
    <row r="393" spans="1:12" ht="24" x14ac:dyDescent="0.2">
      <c r="A393" s="189" t="s">
        <v>534</v>
      </c>
      <c r="B393" s="189"/>
      <c r="C393" s="189" t="s">
        <v>507</v>
      </c>
      <c r="D393" s="189" t="s">
        <v>657</v>
      </c>
      <c r="E393" s="189" t="s">
        <v>1071</v>
      </c>
      <c r="F393" s="189" t="s">
        <v>529</v>
      </c>
      <c r="G393" s="247">
        <v>5491.6</v>
      </c>
      <c r="H393" s="247">
        <v>5491.6</v>
      </c>
      <c r="I393" s="248">
        <f t="shared" si="42"/>
        <v>0</v>
      </c>
      <c r="J393" s="191">
        <v>13578</v>
      </c>
      <c r="K393" s="247">
        <v>13578</v>
      </c>
      <c r="L393" s="287">
        <f t="shared" si="43"/>
        <v>0</v>
      </c>
    </row>
    <row r="394" spans="1:12" x14ac:dyDescent="0.2">
      <c r="A394" s="189" t="s">
        <v>1352</v>
      </c>
      <c r="B394" s="189"/>
      <c r="C394" s="189" t="s">
        <v>507</v>
      </c>
      <c r="D394" s="189" t="s">
        <v>657</v>
      </c>
      <c r="E394" s="189" t="s">
        <v>1070</v>
      </c>
      <c r="F394" s="189"/>
      <c r="G394" s="247">
        <v>18924</v>
      </c>
      <c r="H394" s="247">
        <v>18924</v>
      </c>
      <c r="I394" s="248">
        <f t="shared" si="42"/>
        <v>0</v>
      </c>
      <c r="J394" s="191">
        <v>13581.4</v>
      </c>
      <c r="K394" s="247">
        <v>13581.4</v>
      </c>
      <c r="L394" s="287">
        <f t="shared" si="43"/>
        <v>0</v>
      </c>
    </row>
    <row r="395" spans="1:12" ht="24" x14ac:dyDescent="0.2">
      <c r="A395" s="189" t="s">
        <v>547</v>
      </c>
      <c r="B395" s="189"/>
      <c r="C395" s="189" t="s">
        <v>507</v>
      </c>
      <c r="D395" s="189" t="s">
        <v>657</v>
      </c>
      <c r="E395" s="189" t="s">
        <v>1070</v>
      </c>
      <c r="F395" s="189" t="s">
        <v>519</v>
      </c>
      <c r="G395" s="247">
        <v>18924</v>
      </c>
      <c r="H395" s="247">
        <v>18924</v>
      </c>
      <c r="I395" s="248">
        <f t="shared" si="42"/>
        <v>0</v>
      </c>
      <c r="J395" s="191">
        <v>13581.4</v>
      </c>
      <c r="K395" s="247">
        <v>13581.4</v>
      </c>
      <c r="L395" s="287">
        <f t="shared" si="43"/>
        <v>0</v>
      </c>
    </row>
    <row r="396" spans="1:12" x14ac:dyDescent="0.2">
      <c r="A396" s="189" t="s">
        <v>546</v>
      </c>
      <c r="B396" s="189"/>
      <c r="C396" s="189" t="s">
        <v>507</v>
      </c>
      <c r="D396" s="189" t="s">
        <v>657</v>
      </c>
      <c r="E396" s="189" t="s">
        <v>1070</v>
      </c>
      <c r="F396" s="189" t="s">
        <v>544</v>
      </c>
      <c r="G396" s="247">
        <v>18924</v>
      </c>
      <c r="H396" s="247">
        <v>18924</v>
      </c>
      <c r="I396" s="248">
        <f t="shared" si="42"/>
        <v>0</v>
      </c>
      <c r="J396" s="191">
        <v>13581.4</v>
      </c>
      <c r="K396" s="247">
        <v>13581.4</v>
      </c>
      <c r="L396" s="287">
        <f t="shared" si="43"/>
        <v>0</v>
      </c>
    </row>
    <row r="397" spans="1:12" x14ac:dyDescent="0.2">
      <c r="A397" s="189" t="s">
        <v>1065</v>
      </c>
      <c r="B397" s="189"/>
      <c r="C397" s="189" t="s">
        <v>507</v>
      </c>
      <c r="D397" s="189" t="s">
        <v>783</v>
      </c>
      <c r="E397" s="189"/>
      <c r="F397" s="189"/>
      <c r="G397" s="247">
        <f>G398+G422+G433</f>
        <v>14382.5</v>
      </c>
      <c r="H397" s="247">
        <f>H398+H422+H433</f>
        <v>14382.5</v>
      </c>
      <c r="I397" s="248">
        <f t="shared" si="42"/>
        <v>0</v>
      </c>
      <c r="J397" s="191">
        <f>J398+J422+J433</f>
        <v>13782.5</v>
      </c>
      <c r="K397" s="247">
        <f>K398+K422+K433</f>
        <v>13782.5</v>
      </c>
      <c r="L397" s="287">
        <f t="shared" si="43"/>
        <v>0</v>
      </c>
    </row>
    <row r="398" spans="1:12" ht="24" x14ac:dyDescent="0.2">
      <c r="A398" s="189" t="s">
        <v>1005</v>
      </c>
      <c r="B398" s="189"/>
      <c r="C398" s="189" t="s">
        <v>507</v>
      </c>
      <c r="D398" s="189" t="s">
        <v>783</v>
      </c>
      <c r="E398" s="189" t="s">
        <v>1004</v>
      </c>
      <c r="F398" s="189"/>
      <c r="G398" s="247">
        <f>G399</f>
        <v>4453.6000000000004</v>
      </c>
      <c r="H398" s="247">
        <f>H399</f>
        <v>4453.6000000000004</v>
      </c>
      <c r="I398" s="248">
        <f t="shared" si="42"/>
        <v>0</v>
      </c>
      <c r="J398" s="191">
        <f>J399</f>
        <v>4453.6000000000004</v>
      </c>
      <c r="K398" s="247">
        <f>K399</f>
        <v>4453.6000000000004</v>
      </c>
      <c r="L398" s="287">
        <f t="shared" si="43"/>
        <v>0</v>
      </c>
    </row>
    <row r="399" spans="1:12" x14ac:dyDescent="0.2">
      <c r="A399" s="189" t="s">
        <v>1003</v>
      </c>
      <c r="B399" s="189"/>
      <c r="C399" s="189" t="s">
        <v>507</v>
      </c>
      <c r="D399" s="189" t="s">
        <v>783</v>
      </c>
      <c r="E399" s="189" t="s">
        <v>1002</v>
      </c>
      <c r="F399" s="189"/>
      <c r="G399" s="247">
        <f>G400</f>
        <v>4453.6000000000004</v>
      </c>
      <c r="H399" s="247">
        <f>H400+H411</f>
        <v>4453.6000000000004</v>
      </c>
      <c r="I399" s="248">
        <f t="shared" si="42"/>
        <v>0</v>
      </c>
      <c r="J399" s="191">
        <f>J400</f>
        <v>4453.6000000000004</v>
      </c>
      <c r="K399" s="247">
        <f>K400+K411</f>
        <v>4453.6000000000004</v>
      </c>
      <c r="L399" s="287">
        <f t="shared" si="43"/>
        <v>0</v>
      </c>
    </row>
    <row r="400" spans="1:12" ht="60" x14ac:dyDescent="0.2">
      <c r="A400" s="189" t="s">
        <v>1001</v>
      </c>
      <c r="B400" s="189"/>
      <c r="C400" s="189" t="s">
        <v>507</v>
      </c>
      <c r="D400" s="189" t="s">
        <v>783</v>
      </c>
      <c r="E400" s="189" t="s">
        <v>1000</v>
      </c>
      <c r="F400" s="189"/>
      <c r="G400" s="247">
        <f>G401+G406</f>
        <v>4453.6000000000004</v>
      </c>
      <c r="H400" s="247">
        <f>H401+H406</f>
        <v>0</v>
      </c>
      <c r="I400" s="248">
        <f t="shared" si="42"/>
        <v>-4453.6000000000004</v>
      </c>
      <c r="J400" s="191">
        <f>J401+J406</f>
        <v>4453.6000000000004</v>
      </c>
      <c r="K400" s="247">
        <f>K401+K406</f>
        <v>0</v>
      </c>
      <c r="L400" s="287">
        <f t="shared" si="43"/>
        <v>-4453.6000000000004</v>
      </c>
    </row>
    <row r="401" spans="1:12" ht="60" x14ac:dyDescent="0.2">
      <c r="A401" s="189" t="s">
        <v>1064</v>
      </c>
      <c r="B401" s="189"/>
      <c r="C401" s="189" t="s">
        <v>507</v>
      </c>
      <c r="D401" s="189" t="s">
        <v>783</v>
      </c>
      <c r="E401" s="189" t="s">
        <v>1063</v>
      </c>
      <c r="F401" s="189"/>
      <c r="G401" s="247">
        <v>2399</v>
      </c>
      <c r="H401" s="247">
        <f>H402+H404</f>
        <v>0</v>
      </c>
      <c r="I401" s="248">
        <f t="shared" si="42"/>
        <v>-2399</v>
      </c>
      <c r="J401" s="191">
        <v>2399</v>
      </c>
      <c r="K401" s="247">
        <f>K402+K404</f>
        <v>0</v>
      </c>
      <c r="L401" s="287">
        <f t="shared" si="43"/>
        <v>-2399</v>
      </c>
    </row>
    <row r="402" spans="1:12" ht="36" x14ac:dyDescent="0.2">
      <c r="A402" s="189" t="s">
        <v>1348</v>
      </c>
      <c r="B402" s="189"/>
      <c r="C402" s="189" t="s">
        <v>507</v>
      </c>
      <c r="D402" s="189" t="s">
        <v>783</v>
      </c>
      <c r="E402" s="189" t="s">
        <v>1063</v>
      </c>
      <c r="F402" s="189" t="s">
        <v>556</v>
      </c>
      <c r="G402" s="247">
        <v>1385.1</v>
      </c>
      <c r="H402" s="247">
        <f>H403</f>
        <v>0</v>
      </c>
      <c r="I402" s="248">
        <f t="shared" si="42"/>
        <v>-1385.1</v>
      </c>
      <c r="J402" s="191">
        <v>1385.1</v>
      </c>
      <c r="K402" s="247">
        <f>K403</f>
        <v>0</v>
      </c>
      <c r="L402" s="287">
        <f t="shared" si="43"/>
        <v>-1385.1</v>
      </c>
    </row>
    <row r="403" spans="1:12" x14ac:dyDescent="0.2">
      <c r="A403" s="189" t="s">
        <v>555</v>
      </c>
      <c r="B403" s="189"/>
      <c r="C403" s="189" t="s">
        <v>507</v>
      </c>
      <c r="D403" s="189" t="s">
        <v>783</v>
      </c>
      <c r="E403" s="189" t="s">
        <v>1063</v>
      </c>
      <c r="F403" s="189" t="s">
        <v>554</v>
      </c>
      <c r="G403" s="247">
        <v>1385.1</v>
      </c>
      <c r="H403" s="247">
        <f>1385.1-1063.8-321.3</f>
        <v>0</v>
      </c>
      <c r="I403" s="248">
        <f t="shared" si="42"/>
        <v>-1385.1</v>
      </c>
      <c r="J403" s="191">
        <v>1385.1</v>
      </c>
      <c r="K403" s="247">
        <f>1385.1-1063.8-321.3</f>
        <v>0</v>
      </c>
      <c r="L403" s="287">
        <f t="shared" si="43"/>
        <v>-1385.1</v>
      </c>
    </row>
    <row r="404" spans="1:12" ht="24" x14ac:dyDescent="0.2">
      <c r="A404" s="189" t="s">
        <v>1347</v>
      </c>
      <c r="B404" s="189"/>
      <c r="C404" s="189" t="s">
        <v>507</v>
      </c>
      <c r="D404" s="189" t="s">
        <v>783</v>
      </c>
      <c r="E404" s="189" t="s">
        <v>1063</v>
      </c>
      <c r="F404" s="189" t="s">
        <v>535</v>
      </c>
      <c r="G404" s="247">
        <v>1013.9</v>
      </c>
      <c r="H404" s="247">
        <f>H405</f>
        <v>0</v>
      </c>
      <c r="I404" s="248">
        <f t="shared" si="42"/>
        <v>-1013.9</v>
      </c>
      <c r="J404" s="191">
        <v>1013.9</v>
      </c>
      <c r="K404" s="247">
        <f>K405</f>
        <v>0</v>
      </c>
      <c r="L404" s="287">
        <f t="shared" si="43"/>
        <v>-1013.9</v>
      </c>
    </row>
    <row r="405" spans="1:12" ht="24" x14ac:dyDescent="0.2">
      <c r="A405" s="189" t="s">
        <v>534</v>
      </c>
      <c r="B405" s="189"/>
      <c r="C405" s="189" t="s">
        <v>507</v>
      </c>
      <c r="D405" s="189" t="s">
        <v>783</v>
      </c>
      <c r="E405" s="189" t="s">
        <v>1063</v>
      </c>
      <c r="F405" s="189" t="s">
        <v>529</v>
      </c>
      <c r="G405" s="247">
        <v>1013.9</v>
      </c>
      <c r="H405" s="247">
        <f>1013.9-99.6-85-348.5-55.3-64.1-361.4</f>
        <v>0</v>
      </c>
      <c r="I405" s="248">
        <f t="shared" si="42"/>
        <v>-1013.9</v>
      </c>
      <c r="J405" s="191">
        <v>1013.9</v>
      </c>
      <c r="K405" s="247">
        <f>1013.9-99.6-85-348.5-55.3-64.1-361.4</f>
        <v>0</v>
      </c>
      <c r="L405" s="287">
        <f t="shared" si="43"/>
        <v>-1013.9</v>
      </c>
    </row>
    <row r="406" spans="1:12" s="305" customFormat="1" ht="48.75" customHeight="1" x14ac:dyDescent="0.2">
      <c r="A406" s="189" t="s">
        <v>1368</v>
      </c>
      <c r="B406" s="190"/>
      <c r="C406" s="189" t="s">
        <v>507</v>
      </c>
      <c r="D406" s="189" t="s">
        <v>783</v>
      </c>
      <c r="E406" s="189" t="s">
        <v>999</v>
      </c>
      <c r="F406" s="190"/>
      <c r="G406" s="247">
        <f>G407+G409</f>
        <v>2054.6000000000004</v>
      </c>
      <c r="H406" s="247">
        <f>H407+H409</f>
        <v>0</v>
      </c>
      <c r="I406" s="248">
        <f t="shared" si="42"/>
        <v>-2054.6000000000004</v>
      </c>
      <c r="J406" s="191">
        <f>J407+J409</f>
        <v>2054.6000000000004</v>
      </c>
      <c r="K406" s="247">
        <f>K407+K409</f>
        <v>0</v>
      </c>
      <c r="L406" s="287">
        <f t="shared" si="43"/>
        <v>-2054.6000000000004</v>
      </c>
    </row>
    <row r="407" spans="1:12" s="305" customFormat="1" ht="39.75" customHeight="1" x14ac:dyDescent="0.2">
      <c r="A407" s="189" t="s">
        <v>1348</v>
      </c>
      <c r="B407" s="190"/>
      <c r="C407" s="189" t="s">
        <v>507</v>
      </c>
      <c r="D407" s="189" t="s">
        <v>783</v>
      </c>
      <c r="E407" s="189" t="s">
        <v>999</v>
      </c>
      <c r="F407" s="190" t="s">
        <v>556</v>
      </c>
      <c r="G407" s="247">
        <f>G408</f>
        <v>1499.1000000000001</v>
      </c>
      <c r="H407" s="247">
        <f>H408</f>
        <v>0</v>
      </c>
      <c r="I407" s="248">
        <f t="shared" si="42"/>
        <v>-1499.1000000000001</v>
      </c>
      <c r="J407" s="191">
        <f>J408</f>
        <v>1499.1000000000001</v>
      </c>
      <c r="K407" s="247">
        <f>K408</f>
        <v>0</v>
      </c>
      <c r="L407" s="287">
        <f t="shared" si="43"/>
        <v>-1499.1000000000001</v>
      </c>
    </row>
    <row r="408" spans="1:12" s="305" customFormat="1" x14ac:dyDescent="0.2">
      <c r="A408" s="189" t="s">
        <v>555</v>
      </c>
      <c r="B408" s="190"/>
      <c r="C408" s="189" t="s">
        <v>507</v>
      </c>
      <c r="D408" s="189" t="s">
        <v>783</v>
      </c>
      <c r="E408" s="189" t="s">
        <v>999</v>
      </c>
      <c r="F408" s="190" t="s">
        <v>554</v>
      </c>
      <c r="G408" s="247">
        <f>1151.4+347.7</f>
        <v>1499.1000000000001</v>
      </c>
      <c r="H408" s="247">
        <f>1151.4+347.7-1151.4-347.7</f>
        <v>0</v>
      </c>
      <c r="I408" s="248">
        <f t="shared" si="42"/>
        <v>-1499.1000000000001</v>
      </c>
      <c r="J408" s="191">
        <f>1151.4+347.7</f>
        <v>1499.1000000000001</v>
      </c>
      <c r="K408" s="247">
        <f>1151.4+347.7-1151.4-347.7</f>
        <v>0</v>
      </c>
      <c r="L408" s="287">
        <f t="shared" si="43"/>
        <v>-1499.1000000000001</v>
      </c>
    </row>
    <row r="409" spans="1:12" s="305" customFormat="1" ht="24" x14ac:dyDescent="0.2">
      <c r="A409" s="189" t="s">
        <v>1347</v>
      </c>
      <c r="B409" s="190"/>
      <c r="C409" s="189" t="s">
        <v>507</v>
      </c>
      <c r="D409" s="189" t="s">
        <v>783</v>
      </c>
      <c r="E409" s="189" t="s">
        <v>999</v>
      </c>
      <c r="F409" s="190" t="s">
        <v>535</v>
      </c>
      <c r="G409" s="247">
        <f>G410</f>
        <v>555.5</v>
      </c>
      <c r="H409" s="247">
        <f>H410</f>
        <v>0</v>
      </c>
      <c r="I409" s="248">
        <f t="shared" si="42"/>
        <v>-555.5</v>
      </c>
      <c r="J409" s="191">
        <f>J410</f>
        <v>555.5</v>
      </c>
      <c r="K409" s="247">
        <f>K410</f>
        <v>0</v>
      </c>
      <c r="L409" s="287">
        <f t="shared" si="43"/>
        <v>-555.5</v>
      </c>
    </row>
    <row r="410" spans="1:12" s="305" customFormat="1" ht="24" x14ac:dyDescent="0.2">
      <c r="A410" s="189" t="s">
        <v>534</v>
      </c>
      <c r="B410" s="190"/>
      <c r="C410" s="189" t="s">
        <v>507</v>
      </c>
      <c r="D410" s="189" t="s">
        <v>783</v>
      </c>
      <c r="E410" s="189" t="s">
        <v>999</v>
      </c>
      <c r="F410" s="190" t="s">
        <v>529</v>
      </c>
      <c r="G410" s="247">
        <f>99.6+73+343.9+39</f>
        <v>555.5</v>
      </c>
      <c r="H410" s="247">
        <f>99.6+73+343.9+39-99.6-73-343.9-39</f>
        <v>0</v>
      </c>
      <c r="I410" s="248">
        <f t="shared" si="42"/>
        <v>-555.5</v>
      </c>
      <c r="J410" s="191">
        <f>99.6+73+343.9+39</f>
        <v>555.5</v>
      </c>
      <c r="K410" s="247">
        <f>99.6+73+343.9+39-99.6-73-343.9-39</f>
        <v>0</v>
      </c>
      <c r="L410" s="287">
        <f t="shared" si="43"/>
        <v>-555.5</v>
      </c>
    </row>
    <row r="411" spans="1:12" s="441" customFormat="1" ht="24" x14ac:dyDescent="0.2">
      <c r="A411" s="189" t="s">
        <v>1640</v>
      </c>
      <c r="B411" s="189"/>
      <c r="C411" s="189" t="s">
        <v>507</v>
      </c>
      <c r="D411" s="189" t="s">
        <v>783</v>
      </c>
      <c r="E411" s="189" t="s">
        <v>998</v>
      </c>
      <c r="F411" s="189"/>
      <c r="G411" s="247">
        <f>G412</f>
        <v>0</v>
      </c>
      <c r="H411" s="247">
        <f>H412+H417</f>
        <v>4453.6000000000004</v>
      </c>
      <c r="I411" s="248">
        <f t="shared" si="42"/>
        <v>4453.6000000000004</v>
      </c>
      <c r="J411" s="191">
        <f t="shared" ref="J411" si="44">J412</f>
        <v>0</v>
      </c>
      <c r="K411" s="247">
        <f>K412+K417</f>
        <v>4453.6000000000004</v>
      </c>
      <c r="L411" s="287">
        <f t="shared" si="43"/>
        <v>4453.6000000000004</v>
      </c>
    </row>
    <row r="412" spans="1:12" s="441" customFormat="1" ht="60" x14ac:dyDescent="0.2">
      <c r="A412" s="189" t="s">
        <v>1064</v>
      </c>
      <c r="B412" s="189"/>
      <c r="C412" s="189" t="s">
        <v>507</v>
      </c>
      <c r="D412" s="189" t="s">
        <v>783</v>
      </c>
      <c r="E412" s="189" t="s">
        <v>1649</v>
      </c>
      <c r="F412" s="189"/>
      <c r="G412" s="247">
        <f>G413+G415</f>
        <v>0</v>
      </c>
      <c r="H412" s="247">
        <f>H413+H415</f>
        <v>2399</v>
      </c>
      <c r="I412" s="248">
        <f t="shared" si="42"/>
        <v>2399</v>
      </c>
      <c r="J412" s="191">
        <f t="shared" ref="J412:K412" si="45">J413+J415</f>
        <v>0</v>
      </c>
      <c r="K412" s="247">
        <f t="shared" si="45"/>
        <v>2399</v>
      </c>
      <c r="L412" s="287">
        <f t="shared" si="43"/>
        <v>2399</v>
      </c>
    </row>
    <row r="413" spans="1:12" s="441" customFormat="1" ht="36" x14ac:dyDescent="0.2">
      <c r="A413" s="189" t="s">
        <v>1348</v>
      </c>
      <c r="B413" s="189"/>
      <c r="C413" s="189" t="s">
        <v>507</v>
      </c>
      <c r="D413" s="189" t="s">
        <v>783</v>
      </c>
      <c r="E413" s="189" t="s">
        <v>1649</v>
      </c>
      <c r="F413" s="190" t="s">
        <v>556</v>
      </c>
      <c r="G413" s="247">
        <f>G414</f>
        <v>0</v>
      </c>
      <c r="H413" s="247">
        <f>H414</f>
        <v>1385.1</v>
      </c>
      <c r="I413" s="248">
        <f t="shared" si="42"/>
        <v>1385.1</v>
      </c>
      <c r="J413" s="191">
        <f t="shared" ref="J413:K413" si="46">J414</f>
        <v>0</v>
      </c>
      <c r="K413" s="247">
        <f t="shared" si="46"/>
        <v>1385.1</v>
      </c>
      <c r="L413" s="287">
        <f t="shared" si="43"/>
        <v>1385.1</v>
      </c>
    </row>
    <row r="414" spans="1:12" s="441" customFormat="1" x14ac:dyDescent="0.2">
      <c r="A414" s="189" t="s">
        <v>555</v>
      </c>
      <c r="B414" s="189"/>
      <c r="C414" s="189" t="s">
        <v>507</v>
      </c>
      <c r="D414" s="189" t="s">
        <v>783</v>
      </c>
      <c r="E414" s="189" t="s">
        <v>1649</v>
      </c>
      <c r="F414" s="190" t="s">
        <v>554</v>
      </c>
      <c r="G414" s="247">
        <v>0</v>
      </c>
      <c r="H414" s="247">
        <f>1063.8+321.3</f>
        <v>1385.1</v>
      </c>
      <c r="I414" s="248">
        <f t="shared" si="42"/>
        <v>1385.1</v>
      </c>
      <c r="J414" s="191">
        <v>0</v>
      </c>
      <c r="K414" s="247">
        <f>1063.8+321.3</f>
        <v>1385.1</v>
      </c>
      <c r="L414" s="287">
        <f t="shared" si="43"/>
        <v>1385.1</v>
      </c>
    </row>
    <row r="415" spans="1:12" s="441" customFormat="1" ht="24" x14ac:dyDescent="0.2">
      <c r="A415" s="189" t="s">
        <v>1347</v>
      </c>
      <c r="B415" s="189"/>
      <c r="C415" s="189" t="s">
        <v>507</v>
      </c>
      <c r="D415" s="189" t="s">
        <v>783</v>
      </c>
      <c r="E415" s="189" t="s">
        <v>1649</v>
      </c>
      <c r="F415" s="190" t="s">
        <v>535</v>
      </c>
      <c r="G415" s="247">
        <f>G416</f>
        <v>0</v>
      </c>
      <c r="H415" s="247">
        <f>H416</f>
        <v>1013.9</v>
      </c>
      <c r="I415" s="248">
        <f t="shared" si="42"/>
        <v>1013.9</v>
      </c>
      <c r="J415" s="191">
        <f t="shared" ref="J415:K415" si="47">J416</f>
        <v>0</v>
      </c>
      <c r="K415" s="247">
        <f t="shared" si="47"/>
        <v>1013.9</v>
      </c>
      <c r="L415" s="287">
        <f t="shared" si="43"/>
        <v>1013.9</v>
      </c>
    </row>
    <row r="416" spans="1:12" s="441" customFormat="1" ht="24" x14ac:dyDescent="0.2">
      <c r="A416" s="189" t="s">
        <v>534</v>
      </c>
      <c r="B416" s="189"/>
      <c r="C416" s="189" t="s">
        <v>507</v>
      </c>
      <c r="D416" s="189" t="s">
        <v>783</v>
      </c>
      <c r="E416" s="189" t="s">
        <v>1649</v>
      </c>
      <c r="F416" s="190" t="s">
        <v>529</v>
      </c>
      <c r="G416" s="247">
        <v>0</v>
      </c>
      <c r="H416" s="247">
        <f>99.6+85+348.5+55.3+64.1+361.4</f>
        <v>1013.9</v>
      </c>
      <c r="I416" s="248">
        <f t="shared" si="42"/>
        <v>1013.9</v>
      </c>
      <c r="J416" s="191">
        <v>0</v>
      </c>
      <c r="K416" s="247">
        <f>99.6+85+348.5+55.3+64.1+361.4</f>
        <v>1013.9</v>
      </c>
      <c r="L416" s="287">
        <f t="shared" si="43"/>
        <v>1013.9</v>
      </c>
    </row>
    <row r="417" spans="1:12" s="441" customFormat="1" ht="60" x14ac:dyDescent="0.2">
      <c r="A417" s="189" t="s">
        <v>1650</v>
      </c>
      <c r="B417" s="189"/>
      <c r="C417" s="189" t="s">
        <v>507</v>
      </c>
      <c r="D417" s="189" t="s">
        <v>783</v>
      </c>
      <c r="E417" s="189" t="s">
        <v>1651</v>
      </c>
      <c r="F417" s="189"/>
      <c r="G417" s="247">
        <f>G418+G420</f>
        <v>0</v>
      </c>
      <c r="H417" s="247">
        <f>H418+H420</f>
        <v>2054.6000000000004</v>
      </c>
      <c r="I417" s="248">
        <f t="shared" si="42"/>
        <v>2054.6000000000004</v>
      </c>
      <c r="J417" s="191">
        <f t="shared" ref="J417:K417" si="48">J418+J420</f>
        <v>0</v>
      </c>
      <c r="K417" s="247">
        <f t="shared" si="48"/>
        <v>2054.6000000000004</v>
      </c>
      <c r="L417" s="287">
        <f t="shared" si="43"/>
        <v>2054.6000000000004</v>
      </c>
    </row>
    <row r="418" spans="1:12" s="441" customFormat="1" ht="36" x14ac:dyDescent="0.2">
      <c r="A418" s="189" t="s">
        <v>1348</v>
      </c>
      <c r="B418" s="189"/>
      <c r="C418" s="189" t="s">
        <v>507</v>
      </c>
      <c r="D418" s="189" t="s">
        <v>783</v>
      </c>
      <c r="E418" s="189" t="s">
        <v>1651</v>
      </c>
      <c r="F418" s="189" t="s">
        <v>556</v>
      </c>
      <c r="G418" s="247">
        <f>G419</f>
        <v>0</v>
      </c>
      <c r="H418" s="247">
        <f>H419</f>
        <v>1499.1000000000001</v>
      </c>
      <c r="I418" s="248">
        <f t="shared" si="42"/>
        <v>1499.1000000000001</v>
      </c>
      <c r="J418" s="191">
        <f t="shared" ref="J418:K418" si="49">J419</f>
        <v>0</v>
      </c>
      <c r="K418" s="247">
        <f t="shared" si="49"/>
        <v>1499.1000000000001</v>
      </c>
      <c r="L418" s="287">
        <f t="shared" si="43"/>
        <v>1499.1000000000001</v>
      </c>
    </row>
    <row r="419" spans="1:12" s="441" customFormat="1" x14ac:dyDescent="0.2">
      <c r="A419" s="189" t="s">
        <v>555</v>
      </c>
      <c r="B419" s="189"/>
      <c r="C419" s="189" t="s">
        <v>507</v>
      </c>
      <c r="D419" s="189" t="s">
        <v>783</v>
      </c>
      <c r="E419" s="189" t="s">
        <v>1651</v>
      </c>
      <c r="F419" s="189" t="s">
        <v>554</v>
      </c>
      <c r="G419" s="247">
        <v>0</v>
      </c>
      <c r="H419" s="247">
        <f>1151.4+347.7</f>
        <v>1499.1000000000001</v>
      </c>
      <c r="I419" s="248">
        <f t="shared" si="42"/>
        <v>1499.1000000000001</v>
      </c>
      <c r="J419" s="191">
        <v>0</v>
      </c>
      <c r="K419" s="247">
        <f>1151.4+347.7</f>
        <v>1499.1000000000001</v>
      </c>
      <c r="L419" s="287">
        <f t="shared" si="43"/>
        <v>1499.1000000000001</v>
      </c>
    </row>
    <row r="420" spans="1:12" s="441" customFormat="1" ht="24" x14ac:dyDescent="0.2">
      <c r="A420" s="189" t="s">
        <v>1347</v>
      </c>
      <c r="B420" s="189"/>
      <c r="C420" s="189" t="s">
        <v>507</v>
      </c>
      <c r="D420" s="189" t="s">
        <v>783</v>
      </c>
      <c r="E420" s="189" t="s">
        <v>1651</v>
      </c>
      <c r="F420" s="189" t="s">
        <v>535</v>
      </c>
      <c r="G420" s="247">
        <f>G421</f>
        <v>0</v>
      </c>
      <c r="H420" s="247">
        <f>H421</f>
        <v>555.5</v>
      </c>
      <c r="I420" s="248">
        <f t="shared" si="42"/>
        <v>555.5</v>
      </c>
      <c r="J420" s="191">
        <f>J421</f>
        <v>0</v>
      </c>
      <c r="K420" s="247">
        <f>K421</f>
        <v>555.5</v>
      </c>
      <c r="L420" s="287">
        <f t="shared" si="43"/>
        <v>555.5</v>
      </c>
    </row>
    <row r="421" spans="1:12" s="441" customFormat="1" ht="24" x14ac:dyDescent="0.2">
      <c r="A421" s="189" t="s">
        <v>534</v>
      </c>
      <c r="B421" s="189"/>
      <c r="C421" s="189" t="s">
        <v>507</v>
      </c>
      <c r="D421" s="189" t="s">
        <v>783</v>
      </c>
      <c r="E421" s="189" t="s">
        <v>1651</v>
      </c>
      <c r="F421" s="189" t="s">
        <v>529</v>
      </c>
      <c r="G421" s="247">
        <v>0</v>
      </c>
      <c r="H421" s="247">
        <f>99.6+73+343.9+39</f>
        <v>555.5</v>
      </c>
      <c r="I421" s="248">
        <f t="shared" si="42"/>
        <v>555.5</v>
      </c>
      <c r="J421" s="191">
        <v>0</v>
      </c>
      <c r="K421" s="247">
        <f>99.6+73+343.9+39</f>
        <v>555.5</v>
      </c>
      <c r="L421" s="287">
        <f t="shared" si="43"/>
        <v>555.5</v>
      </c>
    </row>
    <row r="422" spans="1:12" x14ac:dyDescent="0.2">
      <c r="A422" s="189" t="s">
        <v>879</v>
      </c>
      <c r="B422" s="189"/>
      <c r="C422" s="189" t="s">
        <v>507</v>
      </c>
      <c r="D422" s="189" t="s">
        <v>783</v>
      </c>
      <c r="E422" s="189" t="s">
        <v>878</v>
      </c>
      <c r="F422" s="189"/>
      <c r="G422" s="247">
        <v>9490</v>
      </c>
      <c r="H422" s="247">
        <v>9490</v>
      </c>
      <c r="I422" s="248">
        <f t="shared" si="42"/>
        <v>0</v>
      </c>
      <c r="J422" s="191">
        <v>8890</v>
      </c>
      <c r="K422" s="247">
        <v>8890</v>
      </c>
      <c r="L422" s="287">
        <f t="shared" si="43"/>
        <v>0</v>
      </c>
    </row>
    <row r="423" spans="1:12" x14ac:dyDescent="0.2">
      <c r="A423" s="189" t="s">
        <v>1062</v>
      </c>
      <c r="B423" s="189"/>
      <c r="C423" s="189" t="s">
        <v>507</v>
      </c>
      <c r="D423" s="189" t="s">
        <v>783</v>
      </c>
      <c r="E423" s="189" t="s">
        <v>1061</v>
      </c>
      <c r="F423" s="189"/>
      <c r="G423" s="247">
        <v>5890</v>
      </c>
      <c r="H423" s="247">
        <v>5890</v>
      </c>
      <c r="I423" s="248">
        <f t="shared" si="42"/>
        <v>0</v>
      </c>
      <c r="J423" s="191">
        <v>5890</v>
      </c>
      <c r="K423" s="247">
        <v>5890</v>
      </c>
      <c r="L423" s="287">
        <f t="shared" si="43"/>
        <v>0</v>
      </c>
    </row>
    <row r="424" spans="1:12" ht="24" x14ac:dyDescent="0.2">
      <c r="A424" s="189" t="s">
        <v>1060</v>
      </c>
      <c r="B424" s="189"/>
      <c r="C424" s="189" t="s">
        <v>507</v>
      </c>
      <c r="D424" s="189" t="s">
        <v>783</v>
      </c>
      <c r="E424" s="189" t="s">
        <v>1059</v>
      </c>
      <c r="F424" s="189"/>
      <c r="G424" s="247">
        <v>5890</v>
      </c>
      <c r="H424" s="247">
        <v>5890</v>
      </c>
      <c r="I424" s="248">
        <f t="shared" si="42"/>
        <v>0</v>
      </c>
      <c r="J424" s="191">
        <v>5890</v>
      </c>
      <c r="K424" s="247">
        <v>5890</v>
      </c>
      <c r="L424" s="287">
        <f t="shared" si="43"/>
        <v>0</v>
      </c>
    </row>
    <row r="425" spans="1:12" x14ac:dyDescent="0.2">
      <c r="A425" s="189" t="s">
        <v>1058</v>
      </c>
      <c r="B425" s="189"/>
      <c r="C425" s="189" t="s">
        <v>507</v>
      </c>
      <c r="D425" s="189" t="s">
        <v>783</v>
      </c>
      <c r="E425" s="189" t="s">
        <v>1057</v>
      </c>
      <c r="F425" s="189"/>
      <c r="G425" s="247">
        <v>5890</v>
      </c>
      <c r="H425" s="247">
        <v>5890</v>
      </c>
      <c r="I425" s="248">
        <f t="shared" si="42"/>
        <v>0</v>
      </c>
      <c r="J425" s="191">
        <v>5890</v>
      </c>
      <c r="K425" s="247">
        <v>5890</v>
      </c>
      <c r="L425" s="287">
        <f t="shared" si="43"/>
        <v>0</v>
      </c>
    </row>
    <row r="426" spans="1:12" x14ac:dyDescent="0.2">
      <c r="A426" s="189" t="s">
        <v>615</v>
      </c>
      <c r="B426" s="189"/>
      <c r="C426" s="189" t="s">
        <v>507</v>
      </c>
      <c r="D426" s="189" t="s">
        <v>783</v>
      </c>
      <c r="E426" s="189" t="s">
        <v>1057</v>
      </c>
      <c r="F426" s="189" t="s">
        <v>509</v>
      </c>
      <c r="G426" s="247">
        <v>5890</v>
      </c>
      <c r="H426" s="247">
        <v>5890</v>
      </c>
      <c r="I426" s="248">
        <f t="shared" si="42"/>
        <v>0</v>
      </c>
      <c r="J426" s="191">
        <v>5890</v>
      </c>
      <c r="K426" s="247">
        <v>5890</v>
      </c>
      <c r="L426" s="287">
        <f t="shared" si="43"/>
        <v>0</v>
      </c>
    </row>
    <row r="427" spans="1:12" ht="36" x14ac:dyDescent="0.2">
      <c r="A427" s="189" t="s">
        <v>1346</v>
      </c>
      <c r="B427" s="189"/>
      <c r="C427" s="189" t="s">
        <v>507</v>
      </c>
      <c r="D427" s="189" t="s">
        <v>783</v>
      </c>
      <c r="E427" s="189" t="s">
        <v>1057</v>
      </c>
      <c r="F427" s="189" t="s">
        <v>511</v>
      </c>
      <c r="G427" s="247">
        <v>5890</v>
      </c>
      <c r="H427" s="247">
        <v>5890</v>
      </c>
      <c r="I427" s="248">
        <f t="shared" si="42"/>
        <v>0</v>
      </c>
      <c r="J427" s="191">
        <v>5890</v>
      </c>
      <c r="K427" s="247">
        <v>5890</v>
      </c>
      <c r="L427" s="287">
        <f t="shared" si="43"/>
        <v>0</v>
      </c>
    </row>
    <row r="428" spans="1:12" x14ac:dyDescent="0.2">
      <c r="A428" s="189" t="s">
        <v>877</v>
      </c>
      <c r="B428" s="189"/>
      <c r="C428" s="189" t="s">
        <v>507</v>
      </c>
      <c r="D428" s="189" t="s">
        <v>783</v>
      </c>
      <c r="E428" s="189" t="s">
        <v>876</v>
      </c>
      <c r="F428" s="189"/>
      <c r="G428" s="247">
        <v>3600</v>
      </c>
      <c r="H428" s="247">
        <v>3600</v>
      </c>
      <c r="I428" s="248">
        <f t="shared" si="42"/>
        <v>0</v>
      </c>
      <c r="J428" s="191">
        <v>3000</v>
      </c>
      <c r="K428" s="247">
        <v>3000</v>
      </c>
      <c r="L428" s="287">
        <f t="shared" si="43"/>
        <v>0</v>
      </c>
    </row>
    <row r="429" spans="1:12" x14ac:dyDescent="0.2">
      <c r="A429" s="189" t="s">
        <v>875</v>
      </c>
      <c r="B429" s="189"/>
      <c r="C429" s="189" t="s">
        <v>507</v>
      </c>
      <c r="D429" s="189" t="s">
        <v>783</v>
      </c>
      <c r="E429" s="189" t="s">
        <v>874</v>
      </c>
      <c r="F429" s="189"/>
      <c r="G429" s="247">
        <v>3600</v>
      </c>
      <c r="H429" s="247">
        <v>3600</v>
      </c>
      <c r="I429" s="248">
        <f t="shared" si="42"/>
        <v>0</v>
      </c>
      <c r="J429" s="191">
        <v>3000</v>
      </c>
      <c r="K429" s="247">
        <v>3000</v>
      </c>
      <c r="L429" s="287">
        <f t="shared" si="43"/>
        <v>0</v>
      </c>
    </row>
    <row r="430" spans="1:12" ht="24" x14ac:dyDescent="0.2">
      <c r="A430" s="189" t="s">
        <v>873</v>
      </c>
      <c r="B430" s="189"/>
      <c r="C430" s="189" t="s">
        <v>507</v>
      </c>
      <c r="D430" s="189" t="s">
        <v>783</v>
      </c>
      <c r="E430" s="189" t="s">
        <v>872</v>
      </c>
      <c r="F430" s="189"/>
      <c r="G430" s="247">
        <v>3600</v>
      </c>
      <c r="H430" s="247">
        <v>3600</v>
      </c>
      <c r="I430" s="248">
        <f t="shared" si="42"/>
        <v>0</v>
      </c>
      <c r="J430" s="191">
        <v>3000</v>
      </c>
      <c r="K430" s="247">
        <v>3000</v>
      </c>
      <c r="L430" s="287">
        <f t="shared" si="43"/>
        <v>0</v>
      </c>
    </row>
    <row r="431" spans="1:12" ht="24" x14ac:dyDescent="0.2">
      <c r="A431" s="189" t="s">
        <v>1347</v>
      </c>
      <c r="B431" s="189"/>
      <c r="C431" s="189" t="s">
        <v>507</v>
      </c>
      <c r="D431" s="189" t="s">
        <v>783</v>
      </c>
      <c r="E431" s="189" t="s">
        <v>872</v>
      </c>
      <c r="F431" s="189" t="s">
        <v>535</v>
      </c>
      <c r="G431" s="247">
        <v>3600</v>
      </c>
      <c r="H431" s="247">
        <v>3600</v>
      </c>
      <c r="I431" s="248">
        <f t="shared" si="42"/>
        <v>0</v>
      </c>
      <c r="J431" s="191">
        <v>3000</v>
      </c>
      <c r="K431" s="247">
        <v>3000</v>
      </c>
      <c r="L431" s="287">
        <f t="shared" si="43"/>
        <v>0</v>
      </c>
    </row>
    <row r="432" spans="1:12" ht="24" x14ac:dyDescent="0.2">
      <c r="A432" s="189" t="s">
        <v>534</v>
      </c>
      <c r="B432" s="189"/>
      <c r="C432" s="189" t="s">
        <v>507</v>
      </c>
      <c r="D432" s="189" t="s">
        <v>783</v>
      </c>
      <c r="E432" s="189" t="s">
        <v>872</v>
      </c>
      <c r="F432" s="189" t="s">
        <v>529</v>
      </c>
      <c r="G432" s="247">
        <v>3600</v>
      </c>
      <c r="H432" s="247">
        <v>3600</v>
      </c>
      <c r="I432" s="248">
        <f t="shared" si="42"/>
        <v>0</v>
      </c>
      <c r="J432" s="191">
        <v>3000</v>
      </c>
      <c r="K432" s="247">
        <v>3000</v>
      </c>
      <c r="L432" s="287">
        <f t="shared" si="43"/>
        <v>0</v>
      </c>
    </row>
    <row r="433" spans="1:12" ht="36" x14ac:dyDescent="0.2">
      <c r="A433" s="189" t="s">
        <v>588</v>
      </c>
      <c r="B433" s="189"/>
      <c r="C433" s="189" t="s">
        <v>507</v>
      </c>
      <c r="D433" s="189" t="s">
        <v>783</v>
      </c>
      <c r="E433" s="189" t="s">
        <v>587</v>
      </c>
      <c r="F433" s="189"/>
      <c r="G433" s="247">
        <v>438.9</v>
      </c>
      <c r="H433" s="247">
        <v>438.9</v>
      </c>
      <c r="I433" s="248">
        <f t="shared" si="42"/>
        <v>0</v>
      </c>
      <c r="J433" s="191">
        <v>438.9</v>
      </c>
      <c r="K433" s="247">
        <v>438.9</v>
      </c>
      <c r="L433" s="287">
        <f t="shared" si="43"/>
        <v>0</v>
      </c>
    </row>
    <row r="434" spans="1:12" x14ac:dyDescent="0.2">
      <c r="A434" s="189" t="s">
        <v>1056</v>
      </c>
      <c r="B434" s="189"/>
      <c r="C434" s="189" t="s">
        <v>507</v>
      </c>
      <c r="D434" s="189" t="s">
        <v>783</v>
      </c>
      <c r="E434" s="189" t="s">
        <v>1055</v>
      </c>
      <c r="F434" s="189"/>
      <c r="G434" s="247">
        <v>438.9</v>
      </c>
      <c r="H434" s="247">
        <v>438.9</v>
      </c>
      <c r="I434" s="248">
        <f t="shared" si="42"/>
        <v>0</v>
      </c>
      <c r="J434" s="191">
        <v>438.9</v>
      </c>
      <c r="K434" s="247">
        <v>438.9</v>
      </c>
      <c r="L434" s="287">
        <f t="shared" si="43"/>
        <v>0</v>
      </c>
    </row>
    <row r="435" spans="1:12" ht="24" x14ac:dyDescent="0.2">
      <c r="A435" s="189" t="s">
        <v>1054</v>
      </c>
      <c r="B435" s="189"/>
      <c r="C435" s="189" t="s">
        <v>507</v>
      </c>
      <c r="D435" s="189" t="s">
        <v>783</v>
      </c>
      <c r="E435" s="189" t="s">
        <v>1053</v>
      </c>
      <c r="F435" s="189"/>
      <c r="G435" s="247">
        <v>438.9</v>
      </c>
      <c r="H435" s="247">
        <v>438.9</v>
      </c>
      <c r="I435" s="248">
        <f t="shared" si="42"/>
        <v>0</v>
      </c>
      <c r="J435" s="191">
        <v>438.9</v>
      </c>
      <c r="K435" s="247">
        <v>438.9</v>
      </c>
      <c r="L435" s="287">
        <f t="shared" si="43"/>
        <v>0</v>
      </c>
    </row>
    <row r="436" spans="1:12" x14ac:dyDescent="0.2">
      <c r="A436" s="189" t="s">
        <v>1052</v>
      </c>
      <c r="B436" s="189"/>
      <c r="C436" s="189" t="s">
        <v>507</v>
      </c>
      <c r="D436" s="189" t="s">
        <v>783</v>
      </c>
      <c r="E436" s="189" t="s">
        <v>1051</v>
      </c>
      <c r="F436" s="189"/>
      <c r="G436" s="247">
        <v>438.9</v>
      </c>
      <c r="H436" s="247">
        <v>438.9</v>
      </c>
      <c r="I436" s="248">
        <f t="shared" si="42"/>
        <v>0</v>
      </c>
      <c r="J436" s="191">
        <v>438.9</v>
      </c>
      <c r="K436" s="247">
        <v>438.9</v>
      </c>
      <c r="L436" s="287">
        <f t="shared" si="43"/>
        <v>0</v>
      </c>
    </row>
    <row r="437" spans="1:12" ht="24" x14ac:dyDescent="0.2">
      <c r="A437" s="189" t="s">
        <v>1347</v>
      </c>
      <c r="B437" s="189"/>
      <c r="C437" s="189" t="s">
        <v>507</v>
      </c>
      <c r="D437" s="189" t="s">
        <v>783</v>
      </c>
      <c r="E437" s="189" t="s">
        <v>1051</v>
      </c>
      <c r="F437" s="189" t="s">
        <v>535</v>
      </c>
      <c r="G437" s="247">
        <v>438.9</v>
      </c>
      <c r="H437" s="247">
        <v>438.9</v>
      </c>
      <c r="I437" s="248">
        <f t="shared" si="42"/>
        <v>0</v>
      </c>
      <c r="J437" s="191">
        <v>438.9</v>
      </c>
      <c r="K437" s="247">
        <v>438.9</v>
      </c>
      <c r="L437" s="287">
        <f t="shared" si="43"/>
        <v>0</v>
      </c>
    </row>
    <row r="438" spans="1:12" ht="24" x14ac:dyDescent="0.2">
      <c r="A438" s="189" t="s">
        <v>534</v>
      </c>
      <c r="B438" s="189"/>
      <c r="C438" s="189" t="s">
        <v>507</v>
      </c>
      <c r="D438" s="189" t="s">
        <v>783</v>
      </c>
      <c r="E438" s="189" t="s">
        <v>1051</v>
      </c>
      <c r="F438" s="189" t="s">
        <v>529</v>
      </c>
      <c r="G438" s="247">
        <v>438.9</v>
      </c>
      <c r="H438" s="247">
        <v>438.9</v>
      </c>
      <c r="I438" s="248">
        <f t="shared" si="42"/>
        <v>0</v>
      </c>
      <c r="J438" s="191">
        <v>438.9</v>
      </c>
      <c r="K438" s="247">
        <v>438.9</v>
      </c>
      <c r="L438" s="287">
        <f t="shared" si="43"/>
        <v>0</v>
      </c>
    </row>
    <row r="439" spans="1:12" s="78" customFormat="1" x14ac:dyDescent="0.2">
      <c r="A439" s="185" t="s">
        <v>1046</v>
      </c>
      <c r="B439" s="185"/>
      <c r="C439" s="185" t="s">
        <v>512</v>
      </c>
      <c r="D439" s="185"/>
      <c r="E439" s="185"/>
      <c r="F439" s="185"/>
      <c r="G439" s="245">
        <f>G440+G469+G501+G626</f>
        <v>1260409.5</v>
      </c>
      <c r="H439" s="245">
        <f>H440+H469+H501+H626</f>
        <v>1260609.5</v>
      </c>
      <c r="I439" s="246">
        <f t="shared" ref="I439:I502" si="50">H439-G439</f>
        <v>200</v>
      </c>
      <c r="J439" s="187">
        <f>J440+J469+J501+J626</f>
        <v>1287214.8999999999</v>
      </c>
      <c r="K439" s="245">
        <f>K440+K469+K501+K626</f>
        <v>1284689.3999999999</v>
      </c>
      <c r="L439" s="286">
        <f t="shared" ref="L439:L502" si="51">K439-J439</f>
        <v>-2525.5</v>
      </c>
    </row>
    <row r="440" spans="1:12" x14ac:dyDescent="0.2">
      <c r="A440" s="189" t="s">
        <v>1045</v>
      </c>
      <c r="B440" s="189"/>
      <c r="C440" s="189" t="s">
        <v>512</v>
      </c>
      <c r="D440" s="189" t="s">
        <v>498</v>
      </c>
      <c r="E440" s="189"/>
      <c r="F440" s="189"/>
      <c r="G440" s="247">
        <f>G441+G447+G456</f>
        <v>65872.600000000006</v>
      </c>
      <c r="H440" s="247">
        <f>H441+H447+H456</f>
        <v>65872.600000000006</v>
      </c>
      <c r="I440" s="248">
        <f t="shared" si="50"/>
        <v>0</v>
      </c>
      <c r="J440" s="191">
        <f>J441+J447+J456</f>
        <v>58804.6</v>
      </c>
      <c r="K440" s="247">
        <f>K441+K447+K456</f>
        <v>58804.6</v>
      </c>
      <c r="L440" s="287">
        <f t="shared" si="51"/>
        <v>0</v>
      </c>
    </row>
    <row r="441" spans="1:12" ht="24" x14ac:dyDescent="0.2">
      <c r="A441" s="189" t="s">
        <v>943</v>
      </c>
      <c r="B441" s="189"/>
      <c r="C441" s="189" t="s">
        <v>512</v>
      </c>
      <c r="D441" s="189" t="s">
        <v>498</v>
      </c>
      <c r="E441" s="189" t="s">
        <v>942</v>
      </c>
      <c r="F441" s="189"/>
      <c r="G441" s="247">
        <v>4016.2</v>
      </c>
      <c r="H441" s="247">
        <v>4016.2</v>
      </c>
      <c r="I441" s="248">
        <f t="shared" si="50"/>
        <v>0</v>
      </c>
      <c r="J441" s="191">
        <v>4016.2</v>
      </c>
      <c r="K441" s="247">
        <v>4016.2</v>
      </c>
      <c r="L441" s="287">
        <f t="shared" si="51"/>
        <v>0</v>
      </c>
    </row>
    <row r="442" spans="1:12" x14ac:dyDescent="0.2">
      <c r="A442" s="189" t="s">
        <v>602</v>
      </c>
      <c r="B442" s="189"/>
      <c r="C442" s="189" t="s">
        <v>512</v>
      </c>
      <c r="D442" s="189" t="s">
        <v>498</v>
      </c>
      <c r="E442" s="189" t="s">
        <v>941</v>
      </c>
      <c r="F442" s="189"/>
      <c r="G442" s="247">
        <v>4016.2</v>
      </c>
      <c r="H442" s="247">
        <v>4016.2</v>
      </c>
      <c r="I442" s="248">
        <f t="shared" si="50"/>
        <v>0</v>
      </c>
      <c r="J442" s="191">
        <v>4016.2</v>
      </c>
      <c r="K442" s="247">
        <v>4016.2</v>
      </c>
      <c r="L442" s="287">
        <f t="shared" si="51"/>
        <v>0</v>
      </c>
    </row>
    <row r="443" spans="1:12" ht="24" x14ac:dyDescent="0.2">
      <c r="A443" s="189" t="s">
        <v>600</v>
      </c>
      <c r="B443" s="189"/>
      <c r="C443" s="189" t="s">
        <v>512</v>
      </c>
      <c r="D443" s="189" t="s">
        <v>498</v>
      </c>
      <c r="E443" s="189" t="s">
        <v>940</v>
      </c>
      <c r="F443" s="189"/>
      <c r="G443" s="247">
        <v>4016.2</v>
      </c>
      <c r="H443" s="247">
        <v>4016.2</v>
      </c>
      <c r="I443" s="248">
        <f t="shared" si="50"/>
        <v>0</v>
      </c>
      <c r="J443" s="191">
        <v>4016.2</v>
      </c>
      <c r="K443" s="247">
        <v>4016.2</v>
      </c>
      <c r="L443" s="287">
        <f t="shared" si="51"/>
        <v>0</v>
      </c>
    </row>
    <row r="444" spans="1:12" ht="36" x14ac:dyDescent="0.2">
      <c r="A444" s="189" t="s">
        <v>1044</v>
      </c>
      <c r="B444" s="189"/>
      <c r="C444" s="189" t="s">
        <v>512</v>
      </c>
      <c r="D444" s="189" t="s">
        <v>498</v>
      </c>
      <c r="E444" s="189" t="s">
        <v>1043</v>
      </c>
      <c r="F444" s="189"/>
      <c r="G444" s="247">
        <v>4016.2</v>
      </c>
      <c r="H444" s="247">
        <v>4016.2</v>
      </c>
      <c r="I444" s="248">
        <f t="shared" si="50"/>
        <v>0</v>
      </c>
      <c r="J444" s="191">
        <v>4016.2</v>
      </c>
      <c r="K444" s="247">
        <v>4016.2</v>
      </c>
      <c r="L444" s="287">
        <f t="shared" si="51"/>
        <v>0</v>
      </c>
    </row>
    <row r="445" spans="1:12" ht="24" x14ac:dyDescent="0.2">
      <c r="A445" s="189" t="s">
        <v>547</v>
      </c>
      <c r="B445" s="189"/>
      <c r="C445" s="189" t="s">
        <v>512</v>
      </c>
      <c r="D445" s="189" t="s">
        <v>498</v>
      </c>
      <c r="E445" s="189" t="s">
        <v>1043</v>
      </c>
      <c r="F445" s="189" t="s">
        <v>519</v>
      </c>
      <c r="G445" s="247">
        <v>4016.2</v>
      </c>
      <c r="H445" s="247">
        <v>4016.2</v>
      </c>
      <c r="I445" s="248">
        <f t="shared" si="50"/>
        <v>0</v>
      </c>
      <c r="J445" s="191">
        <v>4016.2</v>
      </c>
      <c r="K445" s="247">
        <v>4016.2</v>
      </c>
      <c r="L445" s="287">
        <f t="shared" si="51"/>
        <v>0</v>
      </c>
    </row>
    <row r="446" spans="1:12" x14ac:dyDescent="0.2">
      <c r="A446" s="189" t="s">
        <v>571</v>
      </c>
      <c r="B446" s="189"/>
      <c r="C446" s="189" t="s">
        <v>512</v>
      </c>
      <c r="D446" s="189" t="s">
        <v>498</v>
      </c>
      <c r="E446" s="189" t="s">
        <v>1043</v>
      </c>
      <c r="F446" s="189" t="s">
        <v>522</v>
      </c>
      <c r="G446" s="247">
        <v>4016.2</v>
      </c>
      <c r="H446" s="247">
        <v>4016.2</v>
      </c>
      <c r="I446" s="248">
        <f t="shared" si="50"/>
        <v>0</v>
      </c>
      <c r="J446" s="191">
        <v>4016.2</v>
      </c>
      <c r="K446" s="247">
        <v>4016.2</v>
      </c>
      <c r="L446" s="287">
        <f t="shared" si="51"/>
        <v>0</v>
      </c>
    </row>
    <row r="447" spans="1:12" ht="24" x14ac:dyDescent="0.2">
      <c r="A447" s="189" t="s">
        <v>604</v>
      </c>
      <c r="B447" s="189"/>
      <c r="C447" s="189" t="s">
        <v>512</v>
      </c>
      <c r="D447" s="189" t="s">
        <v>498</v>
      </c>
      <c r="E447" s="189" t="s">
        <v>603</v>
      </c>
      <c r="F447" s="189"/>
      <c r="G447" s="247">
        <v>46788.4</v>
      </c>
      <c r="H447" s="247">
        <v>46788.4</v>
      </c>
      <c r="I447" s="248">
        <f t="shared" si="50"/>
        <v>0</v>
      </c>
      <c r="J447" s="191">
        <v>46788.4</v>
      </c>
      <c r="K447" s="247">
        <v>46788.4</v>
      </c>
      <c r="L447" s="287">
        <f t="shared" si="51"/>
        <v>0</v>
      </c>
    </row>
    <row r="448" spans="1:12" x14ac:dyDescent="0.2">
      <c r="A448" s="189" t="s">
        <v>1042</v>
      </c>
      <c r="B448" s="189"/>
      <c r="C448" s="189" t="s">
        <v>512</v>
      </c>
      <c r="D448" s="189" t="s">
        <v>498</v>
      </c>
      <c r="E448" s="189" t="s">
        <v>1041</v>
      </c>
      <c r="F448" s="189"/>
      <c r="G448" s="247">
        <v>46788.4</v>
      </c>
      <c r="H448" s="247">
        <v>46788.4</v>
      </c>
      <c r="I448" s="248">
        <f t="shared" si="50"/>
        <v>0</v>
      </c>
      <c r="J448" s="191">
        <v>46788.4</v>
      </c>
      <c r="K448" s="247">
        <v>46788.4</v>
      </c>
      <c r="L448" s="287">
        <f t="shared" si="51"/>
        <v>0</v>
      </c>
    </row>
    <row r="449" spans="1:12" ht="24" x14ac:dyDescent="0.2">
      <c r="A449" s="189" t="s">
        <v>1040</v>
      </c>
      <c r="B449" s="189"/>
      <c r="C449" s="189" t="s">
        <v>512</v>
      </c>
      <c r="D449" s="189" t="s">
        <v>498</v>
      </c>
      <c r="E449" s="189" t="s">
        <v>1039</v>
      </c>
      <c r="F449" s="189"/>
      <c r="G449" s="247">
        <v>46788.4</v>
      </c>
      <c r="H449" s="247">
        <v>46788.4</v>
      </c>
      <c r="I449" s="248">
        <f t="shared" si="50"/>
        <v>0</v>
      </c>
      <c r="J449" s="191">
        <v>46788.4</v>
      </c>
      <c r="K449" s="247">
        <v>46788.4</v>
      </c>
      <c r="L449" s="287">
        <f t="shared" si="51"/>
        <v>0</v>
      </c>
    </row>
    <row r="450" spans="1:12" ht="24" x14ac:dyDescent="0.2">
      <c r="A450" s="189" t="s">
        <v>1038</v>
      </c>
      <c r="B450" s="189"/>
      <c r="C450" s="189" t="s">
        <v>512</v>
      </c>
      <c r="D450" s="189" t="s">
        <v>498</v>
      </c>
      <c r="E450" s="189" t="s">
        <v>1037</v>
      </c>
      <c r="F450" s="189"/>
      <c r="G450" s="247">
        <v>788.4</v>
      </c>
      <c r="H450" s="247">
        <v>788.4</v>
      </c>
      <c r="I450" s="248">
        <f t="shared" si="50"/>
        <v>0</v>
      </c>
      <c r="J450" s="191">
        <v>788.4</v>
      </c>
      <c r="K450" s="247">
        <v>788.4</v>
      </c>
      <c r="L450" s="287">
        <f t="shared" si="51"/>
        <v>0</v>
      </c>
    </row>
    <row r="451" spans="1:12" ht="24" x14ac:dyDescent="0.2">
      <c r="A451" s="189" t="s">
        <v>547</v>
      </c>
      <c r="B451" s="189"/>
      <c r="C451" s="189" t="s">
        <v>512</v>
      </c>
      <c r="D451" s="189" t="s">
        <v>498</v>
      </c>
      <c r="E451" s="189" t="s">
        <v>1037</v>
      </c>
      <c r="F451" s="189" t="s">
        <v>519</v>
      </c>
      <c r="G451" s="247">
        <v>788.4</v>
      </c>
      <c r="H451" s="247">
        <v>788.4</v>
      </c>
      <c r="I451" s="248">
        <f t="shared" si="50"/>
        <v>0</v>
      </c>
      <c r="J451" s="191">
        <v>788.4</v>
      </c>
      <c r="K451" s="247">
        <v>788.4</v>
      </c>
      <c r="L451" s="287">
        <f t="shared" si="51"/>
        <v>0</v>
      </c>
    </row>
    <row r="452" spans="1:12" x14ac:dyDescent="0.2">
      <c r="A452" s="189" t="s">
        <v>571</v>
      </c>
      <c r="B452" s="189"/>
      <c r="C452" s="189" t="s">
        <v>512</v>
      </c>
      <c r="D452" s="189" t="s">
        <v>498</v>
      </c>
      <c r="E452" s="189" t="s">
        <v>1037</v>
      </c>
      <c r="F452" s="189" t="s">
        <v>522</v>
      </c>
      <c r="G452" s="247">
        <v>788.4</v>
      </c>
      <c r="H452" s="247">
        <v>788.4</v>
      </c>
      <c r="I452" s="248">
        <f t="shared" si="50"/>
        <v>0</v>
      </c>
      <c r="J452" s="191">
        <v>788.4</v>
      </c>
      <c r="K452" s="247">
        <v>788.4</v>
      </c>
      <c r="L452" s="287">
        <f t="shared" si="51"/>
        <v>0</v>
      </c>
    </row>
    <row r="453" spans="1:12" x14ac:dyDescent="0.2">
      <c r="A453" s="189" t="s">
        <v>1036</v>
      </c>
      <c r="B453" s="189"/>
      <c r="C453" s="189" t="s">
        <v>512</v>
      </c>
      <c r="D453" s="189" t="s">
        <v>498</v>
      </c>
      <c r="E453" s="189" t="s">
        <v>1035</v>
      </c>
      <c r="F453" s="189"/>
      <c r="G453" s="247">
        <v>46000</v>
      </c>
      <c r="H453" s="247">
        <v>46000</v>
      </c>
      <c r="I453" s="248">
        <f t="shared" si="50"/>
        <v>0</v>
      </c>
      <c r="J453" s="191">
        <v>46000</v>
      </c>
      <c r="K453" s="247">
        <v>46000</v>
      </c>
      <c r="L453" s="287">
        <f t="shared" si="51"/>
        <v>0</v>
      </c>
    </row>
    <row r="454" spans="1:12" ht="24" x14ac:dyDescent="0.2">
      <c r="A454" s="189" t="s">
        <v>1347</v>
      </c>
      <c r="B454" s="189"/>
      <c r="C454" s="189" t="s">
        <v>512</v>
      </c>
      <c r="D454" s="189" t="s">
        <v>498</v>
      </c>
      <c r="E454" s="189" t="s">
        <v>1035</v>
      </c>
      <c r="F454" s="189" t="s">
        <v>535</v>
      </c>
      <c r="G454" s="247">
        <v>46000</v>
      </c>
      <c r="H454" s="247">
        <v>46000</v>
      </c>
      <c r="I454" s="248">
        <f t="shared" si="50"/>
        <v>0</v>
      </c>
      <c r="J454" s="191">
        <v>46000</v>
      </c>
      <c r="K454" s="247">
        <v>46000</v>
      </c>
      <c r="L454" s="287">
        <f t="shared" si="51"/>
        <v>0</v>
      </c>
    </row>
    <row r="455" spans="1:12" ht="24" x14ac:dyDescent="0.2">
      <c r="A455" s="189" t="s">
        <v>534</v>
      </c>
      <c r="B455" s="189"/>
      <c r="C455" s="189" t="s">
        <v>512</v>
      </c>
      <c r="D455" s="189" t="s">
        <v>498</v>
      </c>
      <c r="E455" s="189" t="s">
        <v>1035</v>
      </c>
      <c r="F455" s="189" t="s">
        <v>529</v>
      </c>
      <c r="G455" s="247">
        <v>46000</v>
      </c>
      <c r="H455" s="247">
        <v>46000</v>
      </c>
      <c r="I455" s="248">
        <f t="shared" si="50"/>
        <v>0</v>
      </c>
      <c r="J455" s="191">
        <v>46000</v>
      </c>
      <c r="K455" s="247">
        <v>46000</v>
      </c>
      <c r="L455" s="287">
        <f t="shared" si="51"/>
        <v>0</v>
      </c>
    </row>
    <row r="456" spans="1:12" ht="24" x14ac:dyDescent="0.2">
      <c r="A456" s="189" t="s">
        <v>986</v>
      </c>
      <c r="B456" s="189"/>
      <c r="C456" s="189" t="s">
        <v>512</v>
      </c>
      <c r="D456" s="189" t="s">
        <v>498</v>
      </c>
      <c r="E456" s="189" t="s">
        <v>985</v>
      </c>
      <c r="F456" s="189"/>
      <c r="G456" s="247">
        <f>G457</f>
        <v>15068</v>
      </c>
      <c r="H456" s="247">
        <f>H457</f>
        <v>15068</v>
      </c>
      <c r="I456" s="248">
        <f t="shared" si="50"/>
        <v>0</v>
      </c>
      <c r="J456" s="191">
        <f>J457</f>
        <v>8000</v>
      </c>
      <c r="K456" s="247">
        <f>K457</f>
        <v>8000</v>
      </c>
      <c r="L456" s="287">
        <f t="shared" si="51"/>
        <v>0</v>
      </c>
    </row>
    <row r="457" spans="1:12" ht="24" x14ac:dyDescent="0.2">
      <c r="A457" s="189" t="s">
        <v>1022</v>
      </c>
      <c r="B457" s="189"/>
      <c r="C457" s="189" t="s">
        <v>512</v>
      </c>
      <c r="D457" s="189" t="s">
        <v>498</v>
      </c>
      <c r="E457" s="189" t="s">
        <v>1021</v>
      </c>
      <c r="F457" s="189"/>
      <c r="G457" s="247">
        <f>G458+G462</f>
        <v>15068</v>
      </c>
      <c r="H457" s="247">
        <f>H458+H462</f>
        <v>15068</v>
      </c>
      <c r="I457" s="248">
        <f t="shared" si="50"/>
        <v>0</v>
      </c>
      <c r="J457" s="191">
        <f>J458+J462</f>
        <v>8000</v>
      </c>
      <c r="K457" s="247">
        <f>K458+K462</f>
        <v>8000</v>
      </c>
      <c r="L457" s="287">
        <f t="shared" si="51"/>
        <v>0</v>
      </c>
    </row>
    <row r="458" spans="1:12" ht="24" x14ac:dyDescent="0.2">
      <c r="A458" s="189" t="s">
        <v>1034</v>
      </c>
      <c r="B458" s="189"/>
      <c r="C458" s="189" t="s">
        <v>512</v>
      </c>
      <c r="D458" s="189" t="s">
        <v>498</v>
      </c>
      <c r="E458" s="189" t="s">
        <v>1033</v>
      </c>
      <c r="F458" s="189"/>
      <c r="G458" s="247">
        <f t="shared" ref="G458:H460" si="52">G459</f>
        <v>7068</v>
      </c>
      <c r="H458" s="247">
        <f t="shared" si="52"/>
        <v>7068</v>
      </c>
      <c r="I458" s="248">
        <f t="shared" si="50"/>
        <v>0</v>
      </c>
      <c r="J458" s="191">
        <f t="shared" ref="J458:K460" si="53">J459</f>
        <v>0</v>
      </c>
      <c r="K458" s="247">
        <f t="shared" si="53"/>
        <v>0</v>
      </c>
      <c r="L458" s="287">
        <f t="shared" si="51"/>
        <v>0</v>
      </c>
    </row>
    <row r="459" spans="1:12" x14ac:dyDescent="0.2">
      <c r="A459" s="189" t="s">
        <v>1032</v>
      </c>
      <c r="B459" s="189"/>
      <c r="C459" s="189" t="s">
        <v>512</v>
      </c>
      <c r="D459" s="189" t="s">
        <v>498</v>
      </c>
      <c r="E459" s="189" t="s">
        <v>1031</v>
      </c>
      <c r="F459" s="189"/>
      <c r="G459" s="247">
        <f t="shared" si="52"/>
        <v>7068</v>
      </c>
      <c r="H459" s="247">
        <f t="shared" si="52"/>
        <v>7068</v>
      </c>
      <c r="I459" s="248">
        <f t="shared" si="50"/>
        <v>0</v>
      </c>
      <c r="J459" s="191">
        <f t="shared" si="53"/>
        <v>0</v>
      </c>
      <c r="K459" s="247">
        <f t="shared" si="53"/>
        <v>0</v>
      </c>
      <c r="L459" s="287">
        <f t="shared" si="51"/>
        <v>0</v>
      </c>
    </row>
    <row r="460" spans="1:12" x14ac:dyDescent="0.2">
      <c r="A460" s="189" t="s">
        <v>615</v>
      </c>
      <c r="B460" s="189"/>
      <c r="C460" s="189" t="s">
        <v>512</v>
      </c>
      <c r="D460" s="189" t="s">
        <v>498</v>
      </c>
      <c r="E460" s="189" t="s">
        <v>1031</v>
      </c>
      <c r="F460" s="189" t="s">
        <v>509</v>
      </c>
      <c r="G460" s="247">
        <f t="shared" si="52"/>
        <v>7068</v>
      </c>
      <c r="H460" s="247">
        <f t="shared" si="52"/>
        <v>7068</v>
      </c>
      <c r="I460" s="248">
        <f t="shared" si="50"/>
        <v>0</v>
      </c>
      <c r="J460" s="191">
        <f t="shared" si="53"/>
        <v>0</v>
      </c>
      <c r="K460" s="247">
        <f t="shared" si="53"/>
        <v>0</v>
      </c>
      <c r="L460" s="287">
        <f t="shared" si="51"/>
        <v>0</v>
      </c>
    </row>
    <row r="461" spans="1:12" ht="36" x14ac:dyDescent="0.2">
      <c r="A461" s="189" t="s">
        <v>1346</v>
      </c>
      <c r="B461" s="189"/>
      <c r="C461" s="189" t="s">
        <v>512</v>
      </c>
      <c r="D461" s="189" t="s">
        <v>498</v>
      </c>
      <c r="E461" s="189" t="s">
        <v>1031</v>
      </c>
      <c r="F461" s="189" t="s">
        <v>511</v>
      </c>
      <c r="G461" s="247">
        <f>14668-7600</f>
        <v>7068</v>
      </c>
      <c r="H461" s="247">
        <f>14668-7600</f>
        <v>7068</v>
      </c>
      <c r="I461" s="248">
        <f t="shared" si="50"/>
        <v>0</v>
      </c>
      <c r="J461" s="191">
        <v>0</v>
      </c>
      <c r="K461" s="247">
        <v>0</v>
      </c>
      <c r="L461" s="287">
        <f t="shared" si="51"/>
        <v>0</v>
      </c>
    </row>
    <row r="462" spans="1:12" ht="36" x14ac:dyDescent="0.2">
      <c r="A462" s="189" t="s">
        <v>1020</v>
      </c>
      <c r="B462" s="189"/>
      <c r="C462" s="189" t="s">
        <v>512</v>
      </c>
      <c r="D462" s="189" t="s">
        <v>498</v>
      </c>
      <c r="E462" s="189" t="s">
        <v>1019</v>
      </c>
      <c r="F462" s="189"/>
      <c r="G462" s="247">
        <v>8000</v>
      </c>
      <c r="H462" s="247">
        <v>8000</v>
      </c>
      <c r="I462" s="248">
        <f t="shared" si="50"/>
        <v>0</v>
      </c>
      <c r="J462" s="191">
        <v>8000</v>
      </c>
      <c r="K462" s="247">
        <v>8000</v>
      </c>
      <c r="L462" s="287">
        <f t="shared" si="51"/>
        <v>0</v>
      </c>
    </row>
    <row r="463" spans="1:12" x14ac:dyDescent="0.2">
      <c r="A463" s="189" t="s">
        <v>1018</v>
      </c>
      <c r="B463" s="189"/>
      <c r="C463" s="189" t="s">
        <v>512</v>
      </c>
      <c r="D463" s="189" t="s">
        <v>498</v>
      </c>
      <c r="E463" s="189" t="s">
        <v>1017</v>
      </c>
      <c r="F463" s="189"/>
      <c r="G463" s="247">
        <v>5000</v>
      </c>
      <c r="H463" s="247">
        <v>5000</v>
      </c>
      <c r="I463" s="248">
        <f t="shared" si="50"/>
        <v>0</v>
      </c>
      <c r="J463" s="191">
        <v>5000</v>
      </c>
      <c r="K463" s="247">
        <v>5000</v>
      </c>
      <c r="L463" s="287">
        <f t="shared" si="51"/>
        <v>0</v>
      </c>
    </row>
    <row r="464" spans="1:12" x14ac:dyDescent="0.2">
      <c r="A464" s="189" t="s">
        <v>615</v>
      </c>
      <c r="B464" s="189"/>
      <c r="C464" s="189" t="s">
        <v>512</v>
      </c>
      <c r="D464" s="189" t="s">
        <v>498</v>
      </c>
      <c r="E464" s="189" t="s">
        <v>1017</v>
      </c>
      <c r="F464" s="189" t="s">
        <v>509</v>
      </c>
      <c r="G464" s="247">
        <v>5000</v>
      </c>
      <c r="H464" s="247">
        <v>5000</v>
      </c>
      <c r="I464" s="248">
        <f t="shared" si="50"/>
        <v>0</v>
      </c>
      <c r="J464" s="191">
        <v>5000</v>
      </c>
      <c r="K464" s="247">
        <v>5000</v>
      </c>
      <c r="L464" s="287">
        <f t="shared" si="51"/>
        <v>0</v>
      </c>
    </row>
    <row r="465" spans="1:12" ht="36" x14ac:dyDescent="0.2">
      <c r="A465" s="189" t="s">
        <v>1346</v>
      </c>
      <c r="B465" s="189"/>
      <c r="C465" s="189" t="s">
        <v>512</v>
      </c>
      <c r="D465" s="189" t="s">
        <v>498</v>
      </c>
      <c r="E465" s="189" t="s">
        <v>1017</v>
      </c>
      <c r="F465" s="189" t="s">
        <v>511</v>
      </c>
      <c r="G465" s="247">
        <v>5000</v>
      </c>
      <c r="H465" s="247">
        <v>5000</v>
      </c>
      <c r="I465" s="248">
        <f t="shared" si="50"/>
        <v>0</v>
      </c>
      <c r="J465" s="191">
        <v>5000</v>
      </c>
      <c r="K465" s="247">
        <v>5000</v>
      </c>
      <c r="L465" s="287">
        <f t="shared" si="51"/>
        <v>0</v>
      </c>
    </row>
    <row r="466" spans="1:12" ht="24" x14ac:dyDescent="0.2">
      <c r="A466" s="189" t="s">
        <v>1030</v>
      </c>
      <c r="B466" s="189"/>
      <c r="C466" s="189" t="s">
        <v>512</v>
      </c>
      <c r="D466" s="189" t="s">
        <v>498</v>
      </c>
      <c r="E466" s="189" t="s">
        <v>1029</v>
      </c>
      <c r="F466" s="189"/>
      <c r="G466" s="247">
        <v>3000</v>
      </c>
      <c r="H466" s="247">
        <v>3000</v>
      </c>
      <c r="I466" s="248">
        <f t="shared" si="50"/>
        <v>0</v>
      </c>
      <c r="J466" s="191">
        <v>3000</v>
      </c>
      <c r="K466" s="247">
        <v>3000</v>
      </c>
      <c r="L466" s="287">
        <f t="shared" si="51"/>
        <v>0</v>
      </c>
    </row>
    <row r="467" spans="1:12" ht="24" x14ac:dyDescent="0.2">
      <c r="A467" s="189" t="s">
        <v>547</v>
      </c>
      <c r="B467" s="189"/>
      <c r="C467" s="189" t="s">
        <v>512</v>
      </c>
      <c r="D467" s="189" t="s">
        <v>498</v>
      </c>
      <c r="E467" s="189" t="s">
        <v>1029</v>
      </c>
      <c r="F467" s="189" t="s">
        <v>519</v>
      </c>
      <c r="G467" s="247">
        <v>3000</v>
      </c>
      <c r="H467" s="247">
        <v>3000</v>
      </c>
      <c r="I467" s="248">
        <f t="shared" si="50"/>
        <v>0</v>
      </c>
      <c r="J467" s="191">
        <v>3000</v>
      </c>
      <c r="K467" s="247">
        <v>3000</v>
      </c>
      <c r="L467" s="287">
        <f t="shared" si="51"/>
        <v>0</v>
      </c>
    </row>
    <row r="468" spans="1:12" x14ac:dyDescent="0.2">
      <c r="A468" s="189" t="s">
        <v>571</v>
      </c>
      <c r="B468" s="189"/>
      <c r="C468" s="189" t="s">
        <v>512</v>
      </c>
      <c r="D468" s="189" t="s">
        <v>498</v>
      </c>
      <c r="E468" s="189" t="s">
        <v>1029</v>
      </c>
      <c r="F468" s="189" t="s">
        <v>522</v>
      </c>
      <c r="G468" s="247">
        <v>3000</v>
      </c>
      <c r="H468" s="247">
        <v>3000</v>
      </c>
      <c r="I468" s="248">
        <f t="shared" si="50"/>
        <v>0</v>
      </c>
      <c r="J468" s="191">
        <v>3000</v>
      </c>
      <c r="K468" s="247">
        <v>3000</v>
      </c>
      <c r="L468" s="287">
        <f t="shared" si="51"/>
        <v>0</v>
      </c>
    </row>
    <row r="469" spans="1:12" x14ac:dyDescent="0.2">
      <c r="A469" s="189" t="s">
        <v>1028</v>
      </c>
      <c r="B469" s="189"/>
      <c r="C469" s="189" t="s">
        <v>512</v>
      </c>
      <c r="D469" s="189" t="s">
        <v>502</v>
      </c>
      <c r="E469" s="189"/>
      <c r="F469" s="189"/>
      <c r="G469" s="247">
        <f>G470+G493</f>
        <v>6680.7</v>
      </c>
      <c r="H469" s="247">
        <f>H470+H493</f>
        <v>6880.7</v>
      </c>
      <c r="I469" s="248">
        <f t="shared" si="50"/>
        <v>200</v>
      </c>
      <c r="J469" s="191">
        <f>J470+J493</f>
        <v>6680.7</v>
      </c>
      <c r="K469" s="247">
        <f>K470+K493</f>
        <v>6880.7</v>
      </c>
      <c r="L469" s="287">
        <f t="shared" si="51"/>
        <v>200</v>
      </c>
    </row>
    <row r="470" spans="1:12" ht="24" x14ac:dyDescent="0.2">
      <c r="A470" s="189" t="s">
        <v>943</v>
      </c>
      <c r="B470" s="189"/>
      <c r="C470" s="189" t="s">
        <v>512</v>
      </c>
      <c r="D470" s="189" t="s">
        <v>502</v>
      </c>
      <c r="E470" s="189" t="s">
        <v>942</v>
      </c>
      <c r="F470" s="189"/>
      <c r="G470" s="247">
        <f>G479</f>
        <v>5000</v>
      </c>
      <c r="H470" s="247">
        <f>H471+H479</f>
        <v>5200</v>
      </c>
      <c r="I470" s="248">
        <f t="shared" si="50"/>
        <v>200</v>
      </c>
      <c r="J470" s="191">
        <f>J479</f>
        <v>5000</v>
      </c>
      <c r="K470" s="247">
        <f>K471+K479</f>
        <v>5200</v>
      </c>
      <c r="L470" s="287">
        <f t="shared" si="51"/>
        <v>200</v>
      </c>
    </row>
    <row r="471" spans="1:12" s="427" customFormat="1" ht="24" x14ac:dyDescent="0.2">
      <c r="A471" s="189" t="s">
        <v>1494</v>
      </c>
      <c r="B471" s="189"/>
      <c r="C471" s="189" t="s">
        <v>512</v>
      </c>
      <c r="D471" s="189" t="s">
        <v>502</v>
      </c>
      <c r="E471" s="189" t="s">
        <v>1495</v>
      </c>
      <c r="F471" s="189"/>
      <c r="G471" s="247">
        <f>G472</f>
        <v>0</v>
      </c>
      <c r="H471" s="247">
        <f>H472</f>
        <v>200</v>
      </c>
      <c r="I471" s="248">
        <f t="shared" si="50"/>
        <v>200</v>
      </c>
      <c r="J471" s="191">
        <f>J472</f>
        <v>0</v>
      </c>
      <c r="K471" s="247">
        <f>K472</f>
        <v>200</v>
      </c>
      <c r="L471" s="287">
        <f t="shared" si="51"/>
        <v>200</v>
      </c>
    </row>
    <row r="472" spans="1:12" s="427" customFormat="1" ht="48" x14ac:dyDescent="0.2">
      <c r="A472" s="189" t="s">
        <v>1496</v>
      </c>
      <c r="B472" s="189"/>
      <c r="C472" s="189" t="s">
        <v>512</v>
      </c>
      <c r="D472" s="189" t="s">
        <v>502</v>
      </c>
      <c r="E472" s="189" t="s">
        <v>1497</v>
      </c>
      <c r="F472" s="189"/>
      <c r="G472" s="247">
        <f>G473+G476</f>
        <v>0</v>
      </c>
      <c r="H472" s="247">
        <f>H473+H476</f>
        <v>200</v>
      </c>
      <c r="I472" s="248">
        <f t="shared" si="50"/>
        <v>200</v>
      </c>
      <c r="J472" s="191">
        <f>J473+J476</f>
        <v>0</v>
      </c>
      <c r="K472" s="247">
        <f>K473+K476</f>
        <v>200</v>
      </c>
      <c r="L472" s="287">
        <f t="shared" si="51"/>
        <v>200</v>
      </c>
    </row>
    <row r="473" spans="1:12" s="427" customFormat="1" ht="36" x14ac:dyDescent="0.2">
      <c r="A473" s="189" t="s">
        <v>1498</v>
      </c>
      <c r="B473" s="189"/>
      <c r="C473" s="189" t="s">
        <v>512</v>
      </c>
      <c r="D473" s="189" t="s">
        <v>502</v>
      </c>
      <c r="E473" s="189" t="s">
        <v>1499</v>
      </c>
      <c r="F473" s="189"/>
      <c r="G473" s="247">
        <f t="shared" ref="G473:H474" si="54">G474</f>
        <v>0</v>
      </c>
      <c r="H473" s="247">
        <f t="shared" si="54"/>
        <v>100</v>
      </c>
      <c r="I473" s="248">
        <f t="shared" si="50"/>
        <v>100</v>
      </c>
      <c r="J473" s="191">
        <f t="shared" ref="J473:K474" si="55">J474</f>
        <v>0</v>
      </c>
      <c r="K473" s="247">
        <f t="shared" si="55"/>
        <v>100</v>
      </c>
      <c r="L473" s="287">
        <f t="shared" si="51"/>
        <v>100</v>
      </c>
    </row>
    <row r="474" spans="1:12" s="427" customFormat="1" ht="24" x14ac:dyDescent="0.2">
      <c r="A474" s="189" t="s">
        <v>1347</v>
      </c>
      <c r="B474" s="189"/>
      <c r="C474" s="189" t="s">
        <v>512</v>
      </c>
      <c r="D474" s="189" t="s">
        <v>502</v>
      </c>
      <c r="E474" s="189" t="s">
        <v>1499</v>
      </c>
      <c r="F474" s="189" t="s">
        <v>535</v>
      </c>
      <c r="G474" s="247">
        <f t="shared" si="54"/>
        <v>0</v>
      </c>
      <c r="H474" s="247">
        <f t="shared" si="54"/>
        <v>100</v>
      </c>
      <c r="I474" s="248">
        <f t="shared" si="50"/>
        <v>100</v>
      </c>
      <c r="J474" s="191">
        <f t="shared" si="55"/>
        <v>0</v>
      </c>
      <c r="K474" s="247">
        <f t="shared" si="55"/>
        <v>100</v>
      </c>
      <c r="L474" s="287">
        <f t="shared" si="51"/>
        <v>100</v>
      </c>
    </row>
    <row r="475" spans="1:12" s="427" customFormat="1" ht="24" x14ac:dyDescent="0.2">
      <c r="A475" s="189" t="s">
        <v>534</v>
      </c>
      <c r="B475" s="189"/>
      <c r="C475" s="189" t="s">
        <v>512</v>
      </c>
      <c r="D475" s="189" t="s">
        <v>502</v>
      </c>
      <c r="E475" s="189" t="s">
        <v>1499</v>
      </c>
      <c r="F475" s="189" t="s">
        <v>529</v>
      </c>
      <c r="G475" s="247">
        <v>0</v>
      </c>
      <c r="H475" s="247">
        <v>100</v>
      </c>
      <c r="I475" s="248">
        <f t="shared" si="50"/>
        <v>100</v>
      </c>
      <c r="J475" s="191">
        <v>0</v>
      </c>
      <c r="K475" s="247">
        <v>100</v>
      </c>
      <c r="L475" s="287">
        <f t="shared" si="51"/>
        <v>100</v>
      </c>
    </row>
    <row r="476" spans="1:12" s="427" customFormat="1" ht="36" x14ac:dyDescent="0.2">
      <c r="A476" s="189" t="s">
        <v>1500</v>
      </c>
      <c r="B476" s="189"/>
      <c r="C476" s="189" t="s">
        <v>512</v>
      </c>
      <c r="D476" s="189" t="s">
        <v>502</v>
      </c>
      <c r="E476" s="189" t="s">
        <v>1501</v>
      </c>
      <c r="F476" s="189"/>
      <c r="G476" s="247">
        <f>G477</f>
        <v>0</v>
      </c>
      <c r="H476" s="247">
        <f>H477</f>
        <v>100</v>
      </c>
      <c r="I476" s="248">
        <f t="shared" si="50"/>
        <v>100</v>
      </c>
      <c r="J476" s="191">
        <f t="shared" ref="J476:K477" si="56">J477</f>
        <v>0</v>
      </c>
      <c r="K476" s="247">
        <f t="shared" si="56"/>
        <v>100</v>
      </c>
      <c r="L476" s="287">
        <f t="shared" si="51"/>
        <v>100</v>
      </c>
    </row>
    <row r="477" spans="1:12" s="427" customFormat="1" ht="24" x14ac:dyDescent="0.2">
      <c r="A477" s="189" t="s">
        <v>547</v>
      </c>
      <c r="B477" s="189"/>
      <c r="C477" s="189" t="s">
        <v>512</v>
      </c>
      <c r="D477" s="189" t="s">
        <v>502</v>
      </c>
      <c r="E477" s="189" t="s">
        <v>1501</v>
      </c>
      <c r="F477" s="189" t="s">
        <v>519</v>
      </c>
      <c r="G477" s="247">
        <f>G478</f>
        <v>0</v>
      </c>
      <c r="H477" s="247">
        <f>H478</f>
        <v>100</v>
      </c>
      <c r="I477" s="248">
        <f t="shared" si="50"/>
        <v>100</v>
      </c>
      <c r="J477" s="191">
        <f t="shared" si="56"/>
        <v>0</v>
      </c>
      <c r="K477" s="247">
        <f t="shared" si="56"/>
        <v>100</v>
      </c>
      <c r="L477" s="287">
        <f t="shared" si="51"/>
        <v>100</v>
      </c>
    </row>
    <row r="478" spans="1:12" s="427" customFormat="1" x14ac:dyDescent="0.2">
      <c r="A478" s="189" t="s">
        <v>571</v>
      </c>
      <c r="B478" s="189"/>
      <c r="C478" s="189" t="s">
        <v>512</v>
      </c>
      <c r="D478" s="189" t="s">
        <v>502</v>
      </c>
      <c r="E478" s="189" t="s">
        <v>1501</v>
      </c>
      <c r="F478" s="189" t="s">
        <v>522</v>
      </c>
      <c r="G478" s="247">
        <v>0</v>
      </c>
      <c r="H478" s="247">
        <v>100</v>
      </c>
      <c r="I478" s="248">
        <f t="shared" si="50"/>
        <v>100</v>
      </c>
      <c r="J478" s="191">
        <v>0</v>
      </c>
      <c r="K478" s="247">
        <v>100</v>
      </c>
      <c r="L478" s="287">
        <f t="shared" si="51"/>
        <v>100</v>
      </c>
    </row>
    <row r="479" spans="1:12" s="303" customFormat="1" x14ac:dyDescent="0.2">
      <c r="A479" s="189" t="s">
        <v>602</v>
      </c>
      <c r="B479" s="190"/>
      <c r="C479" s="189" t="s">
        <v>512</v>
      </c>
      <c r="D479" s="189" t="s">
        <v>502</v>
      </c>
      <c r="E479" s="189" t="s">
        <v>941</v>
      </c>
      <c r="F479" s="190"/>
      <c r="G479" s="247">
        <f>G480</f>
        <v>5000</v>
      </c>
      <c r="H479" s="247">
        <f>H480</f>
        <v>5000</v>
      </c>
      <c r="I479" s="248">
        <f t="shared" si="50"/>
        <v>0</v>
      </c>
      <c r="J479" s="191">
        <f>J480</f>
        <v>5000</v>
      </c>
      <c r="K479" s="247">
        <f>K480</f>
        <v>5000</v>
      </c>
      <c r="L479" s="287">
        <f t="shared" si="51"/>
        <v>0</v>
      </c>
    </row>
    <row r="480" spans="1:12" s="303" customFormat="1" ht="24" x14ac:dyDescent="0.2">
      <c r="A480" s="189" t="s">
        <v>600</v>
      </c>
      <c r="B480" s="190"/>
      <c r="C480" s="189" t="s">
        <v>512</v>
      </c>
      <c r="D480" s="189" t="s">
        <v>502</v>
      </c>
      <c r="E480" s="189" t="s">
        <v>940</v>
      </c>
      <c r="F480" s="190"/>
      <c r="G480" s="247">
        <f>G481+G484+G487+G490</f>
        <v>5000</v>
      </c>
      <c r="H480" s="247">
        <f>H481+H484+H487+H490</f>
        <v>5000</v>
      </c>
      <c r="I480" s="248">
        <f t="shared" si="50"/>
        <v>0</v>
      </c>
      <c r="J480" s="191">
        <f>J481+J484+J487+J490</f>
        <v>5000</v>
      </c>
      <c r="K480" s="247">
        <f>K481+K484+K487+K490</f>
        <v>5000</v>
      </c>
      <c r="L480" s="287">
        <f t="shared" si="51"/>
        <v>0</v>
      </c>
    </row>
    <row r="481" spans="1:12" s="303" customFormat="1" ht="36" x14ac:dyDescent="0.2">
      <c r="A481" s="189" t="s">
        <v>1025</v>
      </c>
      <c r="B481" s="190"/>
      <c r="C481" s="189" t="s">
        <v>512</v>
      </c>
      <c r="D481" s="189" t="s">
        <v>502</v>
      </c>
      <c r="E481" s="189" t="s">
        <v>1425</v>
      </c>
      <c r="F481" s="190"/>
      <c r="G481" s="247">
        <f>G482</f>
        <v>806</v>
      </c>
      <c r="H481" s="247">
        <f>H482</f>
        <v>806</v>
      </c>
      <c r="I481" s="248">
        <f t="shared" si="50"/>
        <v>0</v>
      </c>
      <c r="J481" s="191">
        <f>J482</f>
        <v>806</v>
      </c>
      <c r="K481" s="247">
        <f>K482</f>
        <v>806</v>
      </c>
      <c r="L481" s="287">
        <f t="shared" si="51"/>
        <v>0</v>
      </c>
    </row>
    <row r="482" spans="1:12" s="303" customFormat="1" ht="24" x14ac:dyDescent="0.2">
      <c r="A482" s="189" t="s">
        <v>1347</v>
      </c>
      <c r="B482" s="190"/>
      <c r="C482" s="189" t="s">
        <v>512</v>
      </c>
      <c r="D482" s="189" t="s">
        <v>502</v>
      </c>
      <c r="E482" s="189" t="s">
        <v>1425</v>
      </c>
      <c r="F482" s="190" t="s">
        <v>535</v>
      </c>
      <c r="G482" s="247">
        <f>G483</f>
        <v>806</v>
      </c>
      <c r="H482" s="247">
        <f>H483</f>
        <v>806</v>
      </c>
      <c r="I482" s="248">
        <f t="shared" si="50"/>
        <v>0</v>
      </c>
      <c r="J482" s="191">
        <f>J483</f>
        <v>806</v>
      </c>
      <c r="K482" s="247">
        <f>K483</f>
        <v>806</v>
      </c>
      <c r="L482" s="287">
        <f t="shared" si="51"/>
        <v>0</v>
      </c>
    </row>
    <row r="483" spans="1:12" s="303" customFormat="1" ht="24" x14ac:dyDescent="0.2">
      <c r="A483" s="189" t="s">
        <v>534</v>
      </c>
      <c r="B483" s="190"/>
      <c r="C483" s="189" t="s">
        <v>512</v>
      </c>
      <c r="D483" s="189" t="s">
        <v>502</v>
      </c>
      <c r="E483" s="189" t="s">
        <v>1425</v>
      </c>
      <c r="F483" s="190" t="s">
        <v>529</v>
      </c>
      <c r="G483" s="247">
        <v>806</v>
      </c>
      <c r="H483" s="247">
        <v>806</v>
      </c>
      <c r="I483" s="248">
        <f t="shared" si="50"/>
        <v>0</v>
      </c>
      <c r="J483" s="191">
        <v>806</v>
      </c>
      <c r="K483" s="247">
        <v>806</v>
      </c>
      <c r="L483" s="287">
        <f t="shared" si="51"/>
        <v>0</v>
      </c>
    </row>
    <row r="484" spans="1:12" s="303" customFormat="1" ht="36" x14ac:dyDescent="0.2">
      <c r="A484" s="189" t="s">
        <v>1023</v>
      </c>
      <c r="B484" s="190"/>
      <c r="C484" s="189" t="s">
        <v>512</v>
      </c>
      <c r="D484" s="189" t="s">
        <v>502</v>
      </c>
      <c r="E484" s="189" t="s">
        <v>1426</v>
      </c>
      <c r="F484" s="190"/>
      <c r="G484" s="247">
        <f>G485</f>
        <v>1644</v>
      </c>
      <c r="H484" s="247">
        <f>H485</f>
        <v>1644</v>
      </c>
      <c r="I484" s="248">
        <f t="shared" si="50"/>
        <v>0</v>
      </c>
      <c r="J484" s="191">
        <f>J485</f>
        <v>1644</v>
      </c>
      <c r="K484" s="247">
        <f>K485</f>
        <v>1644</v>
      </c>
      <c r="L484" s="287">
        <f t="shared" si="51"/>
        <v>0</v>
      </c>
    </row>
    <row r="485" spans="1:12" s="303" customFormat="1" ht="24" x14ac:dyDescent="0.2">
      <c r="A485" s="189" t="s">
        <v>1347</v>
      </c>
      <c r="B485" s="190"/>
      <c r="C485" s="189" t="s">
        <v>512</v>
      </c>
      <c r="D485" s="189" t="s">
        <v>502</v>
      </c>
      <c r="E485" s="189" t="s">
        <v>1426</v>
      </c>
      <c r="F485" s="190" t="s">
        <v>535</v>
      </c>
      <c r="G485" s="247">
        <f>G486</f>
        <v>1644</v>
      </c>
      <c r="H485" s="247">
        <f>H486</f>
        <v>1644</v>
      </c>
      <c r="I485" s="248">
        <f t="shared" si="50"/>
        <v>0</v>
      </c>
      <c r="J485" s="191">
        <f>J486</f>
        <v>1644</v>
      </c>
      <c r="K485" s="247">
        <f>K486</f>
        <v>1644</v>
      </c>
      <c r="L485" s="287">
        <f t="shared" si="51"/>
        <v>0</v>
      </c>
    </row>
    <row r="486" spans="1:12" s="303" customFormat="1" ht="24" x14ac:dyDescent="0.2">
      <c r="A486" s="189" t="s">
        <v>534</v>
      </c>
      <c r="B486" s="190"/>
      <c r="C486" s="189" t="s">
        <v>512</v>
      </c>
      <c r="D486" s="189" t="s">
        <v>502</v>
      </c>
      <c r="E486" s="189" t="s">
        <v>1426</v>
      </c>
      <c r="F486" s="190" t="s">
        <v>529</v>
      </c>
      <c r="G486" s="247">
        <v>1644</v>
      </c>
      <c r="H486" s="247">
        <v>1644</v>
      </c>
      <c r="I486" s="248">
        <f t="shared" si="50"/>
        <v>0</v>
      </c>
      <c r="J486" s="191">
        <v>1644</v>
      </c>
      <c r="K486" s="247">
        <v>1644</v>
      </c>
      <c r="L486" s="287">
        <f t="shared" si="51"/>
        <v>0</v>
      </c>
    </row>
    <row r="487" spans="1:12" s="303" customFormat="1" ht="36" x14ac:dyDescent="0.2">
      <c r="A487" s="189" t="s">
        <v>1024</v>
      </c>
      <c r="B487" s="190"/>
      <c r="C487" s="189" t="s">
        <v>512</v>
      </c>
      <c r="D487" s="189" t="s">
        <v>502</v>
      </c>
      <c r="E487" s="189" t="s">
        <v>1427</v>
      </c>
      <c r="F487" s="190"/>
      <c r="G487" s="247">
        <f>G488</f>
        <v>1454</v>
      </c>
      <c r="H487" s="247">
        <f>H488</f>
        <v>1454</v>
      </c>
      <c r="I487" s="248">
        <f t="shared" si="50"/>
        <v>0</v>
      </c>
      <c r="J487" s="191">
        <f>J488</f>
        <v>1454</v>
      </c>
      <c r="K487" s="247">
        <f>K488</f>
        <v>1454</v>
      </c>
      <c r="L487" s="287">
        <f t="shared" si="51"/>
        <v>0</v>
      </c>
    </row>
    <row r="488" spans="1:12" s="303" customFormat="1" ht="24" x14ac:dyDescent="0.2">
      <c r="A488" s="189" t="s">
        <v>1347</v>
      </c>
      <c r="B488" s="190"/>
      <c r="C488" s="189" t="s">
        <v>512</v>
      </c>
      <c r="D488" s="189" t="s">
        <v>502</v>
      </c>
      <c r="E488" s="189" t="s">
        <v>1427</v>
      </c>
      <c r="F488" s="190" t="s">
        <v>535</v>
      </c>
      <c r="G488" s="247">
        <f>G489</f>
        <v>1454</v>
      </c>
      <c r="H488" s="247">
        <f>H489</f>
        <v>1454</v>
      </c>
      <c r="I488" s="248">
        <f t="shared" si="50"/>
        <v>0</v>
      </c>
      <c r="J488" s="191">
        <f>J489</f>
        <v>1454</v>
      </c>
      <c r="K488" s="247">
        <f>K489</f>
        <v>1454</v>
      </c>
      <c r="L488" s="287">
        <f t="shared" si="51"/>
        <v>0</v>
      </c>
    </row>
    <row r="489" spans="1:12" s="303" customFormat="1" ht="24" x14ac:dyDescent="0.2">
      <c r="A489" s="189" t="s">
        <v>534</v>
      </c>
      <c r="B489" s="190"/>
      <c r="C489" s="189" t="s">
        <v>512</v>
      </c>
      <c r="D489" s="189" t="s">
        <v>502</v>
      </c>
      <c r="E489" s="189" t="s">
        <v>1427</v>
      </c>
      <c r="F489" s="190" t="s">
        <v>529</v>
      </c>
      <c r="G489" s="247">
        <v>1454</v>
      </c>
      <c r="H489" s="247">
        <v>1454</v>
      </c>
      <c r="I489" s="248">
        <f t="shared" si="50"/>
        <v>0</v>
      </c>
      <c r="J489" s="191">
        <v>1454</v>
      </c>
      <c r="K489" s="247">
        <v>1454</v>
      </c>
      <c r="L489" s="287">
        <f t="shared" si="51"/>
        <v>0</v>
      </c>
    </row>
    <row r="490" spans="1:12" s="303" customFormat="1" ht="36" x14ac:dyDescent="0.2">
      <c r="A490" s="189" t="s">
        <v>1023</v>
      </c>
      <c r="B490" s="190"/>
      <c r="C490" s="189" t="s">
        <v>512</v>
      </c>
      <c r="D490" s="189" t="s">
        <v>502</v>
      </c>
      <c r="E490" s="189" t="s">
        <v>1428</v>
      </c>
      <c r="F490" s="190"/>
      <c r="G490" s="247">
        <f>G491</f>
        <v>1096</v>
      </c>
      <c r="H490" s="247">
        <f>H491</f>
        <v>1096</v>
      </c>
      <c r="I490" s="248">
        <f t="shared" si="50"/>
        <v>0</v>
      </c>
      <c r="J490" s="191">
        <f>J491</f>
        <v>1096</v>
      </c>
      <c r="K490" s="247">
        <f>K491</f>
        <v>1096</v>
      </c>
      <c r="L490" s="287">
        <f t="shared" si="51"/>
        <v>0</v>
      </c>
    </row>
    <row r="491" spans="1:12" s="303" customFormat="1" ht="36" x14ac:dyDescent="0.2">
      <c r="A491" s="189" t="s">
        <v>1348</v>
      </c>
      <c r="B491" s="190"/>
      <c r="C491" s="189" t="s">
        <v>512</v>
      </c>
      <c r="D491" s="189" t="s">
        <v>502</v>
      </c>
      <c r="E491" s="189" t="s">
        <v>1428</v>
      </c>
      <c r="F491" s="190" t="s">
        <v>556</v>
      </c>
      <c r="G491" s="247">
        <f>G492</f>
        <v>1096</v>
      </c>
      <c r="H491" s="247">
        <f>H492</f>
        <v>1096</v>
      </c>
      <c r="I491" s="248">
        <f t="shared" si="50"/>
        <v>0</v>
      </c>
      <c r="J491" s="191">
        <f>J492</f>
        <v>1096</v>
      </c>
      <c r="K491" s="247">
        <f>K492</f>
        <v>1096</v>
      </c>
      <c r="L491" s="287">
        <f t="shared" si="51"/>
        <v>0</v>
      </c>
    </row>
    <row r="492" spans="1:12" s="303" customFormat="1" x14ac:dyDescent="0.2">
      <c r="A492" s="189" t="s">
        <v>555</v>
      </c>
      <c r="B492" s="190"/>
      <c r="C492" s="189" t="s">
        <v>512</v>
      </c>
      <c r="D492" s="189" t="s">
        <v>502</v>
      </c>
      <c r="E492" s="189" t="s">
        <v>1428</v>
      </c>
      <c r="F492" s="190" t="s">
        <v>554</v>
      </c>
      <c r="G492" s="247">
        <v>1096</v>
      </c>
      <c r="H492" s="247">
        <v>1096</v>
      </c>
      <c r="I492" s="248">
        <f t="shared" si="50"/>
        <v>0</v>
      </c>
      <c r="J492" s="191">
        <v>1096</v>
      </c>
      <c r="K492" s="247">
        <v>1096</v>
      </c>
      <c r="L492" s="287">
        <f t="shared" si="51"/>
        <v>0</v>
      </c>
    </row>
    <row r="493" spans="1:12" ht="24" x14ac:dyDescent="0.2">
      <c r="A493" s="189" t="s">
        <v>986</v>
      </c>
      <c r="B493" s="189"/>
      <c r="C493" s="189" t="s">
        <v>512</v>
      </c>
      <c r="D493" s="189" t="s">
        <v>502</v>
      </c>
      <c r="E493" s="189" t="s">
        <v>985</v>
      </c>
      <c r="F493" s="189"/>
      <c r="G493" s="247">
        <v>1680.7</v>
      </c>
      <c r="H493" s="247">
        <v>1680.7</v>
      </c>
      <c r="I493" s="248">
        <f t="shared" si="50"/>
        <v>0</v>
      </c>
      <c r="J493" s="191">
        <v>1680.7</v>
      </c>
      <c r="K493" s="247">
        <v>1680.7</v>
      </c>
      <c r="L493" s="287">
        <f t="shared" si="51"/>
        <v>0</v>
      </c>
    </row>
    <row r="494" spans="1:12" ht="24" x14ac:dyDescent="0.2">
      <c r="A494" s="189" t="s">
        <v>1022</v>
      </c>
      <c r="B494" s="189"/>
      <c r="C494" s="189" t="s">
        <v>512</v>
      </c>
      <c r="D494" s="189" t="s">
        <v>502</v>
      </c>
      <c r="E494" s="189" t="s">
        <v>1021</v>
      </c>
      <c r="F494" s="189"/>
      <c r="G494" s="247">
        <v>1680.7</v>
      </c>
      <c r="H494" s="247">
        <v>1680.7</v>
      </c>
      <c r="I494" s="248">
        <f t="shared" si="50"/>
        <v>0</v>
      </c>
      <c r="J494" s="191">
        <v>1680.7</v>
      </c>
      <c r="K494" s="247">
        <v>1680.7</v>
      </c>
      <c r="L494" s="287">
        <f t="shared" si="51"/>
        <v>0</v>
      </c>
    </row>
    <row r="495" spans="1:12" ht="36" x14ac:dyDescent="0.2">
      <c r="A495" s="189" t="s">
        <v>1020</v>
      </c>
      <c r="B495" s="189"/>
      <c r="C495" s="189" t="s">
        <v>512</v>
      </c>
      <c r="D495" s="189" t="s">
        <v>502</v>
      </c>
      <c r="E495" s="189" t="s">
        <v>1019</v>
      </c>
      <c r="F495" s="189"/>
      <c r="G495" s="247">
        <v>1680.7</v>
      </c>
      <c r="H495" s="247">
        <v>1680.7</v>
      </c>
      <c r="I495" s="248">
        <f t="shared" si="50"/>
        <v>0</v>
      </c>
      <c r="J495" s="191">
        <v>1680.7</v>
      </c>
      <c r="K495" s="247">
        <v>1680.7</v>
      </c>
      <c r="L495" s="287">
        <f t="shared" si="51"/>
        <v>0</v>
      </c>
    </row>
    <row r="496" spans="1:12" x14ac:dyDescent="0.2">
      <c r="A496" s="189" t="s">
        <v>1018</v>
      </c>
      <c r="B496" s="189"/>
      <c r="C496" s="189" t="s">
        <v>512</v>
      </c>
      <c r="D496" s="189" t="s">
        <v>502</v>
      </c>
      <c r="E496" s="189" t="s">
        <v>1017</v>
      </c>
      <c r="F496" s="189"/>
      <c r="G496" s="247">
        <v>1680.7</v>
      </c>
      <c r="H496" s="247">
        <v>1680.7</v>
      </c>
      <c r="I496" s="248">
        <f t="shared" si="50"/>
        <v>0</v>
      </c>
      <c r="J496" s="191">
        <v>1680.7</v>
      </c>
      <c r="K496" s="247">
        <v>1680.7</v>
      </c>
      <c r="L496" s="287">
        <f t="shared" si="51"/>
        <v>0</v>
      </c>
    </row>
    <row r="497" spans="1:12" ht="24" x14ac:dyDescent="0.2">
      <c r="A497" s="189" t="s">
        <v>1347</v>
      </c>
      <c r="B497" s="189"/>
      <c r="C497" s="189" t="s">
        <v>512</v>
      </c>
      <c r="D497" s="189" t="s">
        <v>502</v>
      </c>
      <c r="E497" s="189" t="s">
        <v>1017</v>
      </c>
      <c r="F497" s="189" t="s">
        <v>535</v>
      </c>
      <c r="G497" s="247">
        <v>500</v>
      </c>
      <c r="H497" s="247">
        <v>500</v>
      </c>
      <c r="I497" s="248">
        <f t="shared" si="50"/>
        <v>0</v>
      </c>
      <c r="J497" s="191">
        <v>500</v>
      </c>
      <c r="K497" s="247">
        <v>500</v>
      </c>
      <c r="L497" s="287">
        <f t="shared" si="51"/>
        <v>0</v>
      </c>
    </row>
    <row r="498" spans="1:12" ht="24" x14ac:dyDescent="0.2">
      <c r="A498" s="189" t="s">
        <v>534</v>
      </c>
      <c r="B498" s="189"/>
      <c r="C498" s="189" t="s">
        <v>512</v>
      </c>
      <c r="D498" s="189" t="s">
        <v>502</v>
      </c>
      <c r="E498" s="189" t="s">
        <v>1017</v>
      </c>
      <c r="F498" s="189" t="s">
        <v>529</v>
      </c>
      <c r="G498" s="247">
        <v>500</v>
      </c>
      <c r="H498" s="247">
        <v>500</v>
      </c>
      <c r="I498" s="248">
        <f t="shared" si="50"/>
        <v>0</v>
      </c>
      <c r="J498" s="191">
        <v>500</v>
      </c>
      <c r="K498" s="247">
        <v>500</v>
      </c>
      <c r="L498" s="287">
        <f t="shared" si="51"/>
        <v>0</v>
      </c>
    </row>
    <row r="499" spans="1:12" x14ac:dyDescent="0.2">
      <c r="A499" s="189" t="s">
        <v>615</v>
      </c>
      <c r="B499" s="189"/>
      <c r="C499" s="189" t="s">
        <v>512</v>
      </c>
      <c r="D499" s="189" t="s">
        <v>502</v>
      </c>
      <c r="E499" s="189" t="s">
        <v>1017</v>
      </c>
      <c r="F499" s="189" t="s">
        <v>509</v>
      </c>
      <c r="G499" s="247">
        <v>1180.7</v>
      </c>
      <c r="H499" s="247">
        <v>1180.7</v>
      </c>
      <c r="I499" s="248">
        <f t="shared" si="50"/>
        <v>0</v>
      </c>
      <c r="J499" s="191">
        <v>1180.7</v>
      </c>
      <c r="K499" s="247">
        <v>1180.7</v>
      </c>
      <c r="L499" s="287">
        <f t="shared" si="51"/>
        <v>0</v>
      </c>
    </row>
    <row r="500" spans="1:12" ht="36" x14ac:dyDescent="0.2">
      <c r="A500" s="189" t="s">
        <v>1346</v>
      </c>
      <c r="B500" s="189"/>
      <c r="C500" s="189" t="s">
        <v>512</v>
      </c>
      <c r="D500" s="189" t="s">
        <v>502</v>
      </c>
      <c r="E500" s="189" t="s">
        <v>1017</v>
      </c>
      <c r="F500" s="189" t="s">
        <v>511</v>
      </c>
      <c r="G500" s="247">
        <v>1180.7</v>
      </c>
      <c r="H500" s="247">
        <v>1180.7</v>
      </c>
      <c r="I500" s="248">
        <f t="shared" si="50"/>
        <v>0</v>
      </c>
      <c r="J500" s="191">
        <v>1180.7</v>
      </c>
      <c r="K500" s="247">
        <v>1180.7</v>
      </c>
      <c r="L500" s="287">
        <f t="shared" si="51"/>
        <v>0</v>
      </c>
    </row>
    <row r="501" spans="1:12" x14ac:dyDescent="0.2">
      <c r="A501" s="189" t="s">
        <v>1016</v>
      </c>
      <c r="B501" s="189"/>
      <c r="C501" s="189" t="s">
        <v>512</v>
      </c>
      <c r="D501" s="189" t="s">
        <v>531</v>
      </c>
      <c r="E501" s="189"/>
      <c r="F501" s="189"/>
      <c r="G501" s="247">
        <f>G502+G508+G529+G535</f>
        <v>952861.39999999991</v>
      </c>
      <c r="H501" s="247">
        <f>H502+H508+H529+H535</f>
        <v>952861.39999999991</v>
      </c>
      <c r="I501" s="248">
        <f t="shared" si="50"/>
        <v>0</v>
      </c>
      <c r="J501" s="191">
        <f>J502+J508+J529+J535</f>
        <v>986734.79999999981</v>
      </c>
      <c r="K501" s="247">
        <f>K502+K508+K529+K535</f>
        <v>984009.29999999981</v>
      </c>
      <c r="L501" s="287">
        <f t="shared" si="51"/>
        <v>-2725.5</v>
      </c>
    </row>
    <row r="502" spans="1:12" s="236" customFormat="1" x14ac:dyDescent="0.2">
      <c r="A502" s="189" t="s">
        <v>923</v>
      </c>
      <c r="B502" s="189"/>
      <c r="C502" s="189" t="s">
        <v>512</v>
      </c>
      <c r="D502" s="189" t="s">
        <v>531</v>
      </c>
      <c r="E502" s="189" t="s">
        <v>922</v>
      </c>
      <c r="F502" s="190"/>
      <c r="G502" s="247">
        <f t="shared" ref="G502:H506" si="57">G503</f>
        <v>230</v>
      </c>
      <c r="H502" s="247">
        <f t="shared" si="57"/>
        <v>230</v>
      </c>
      <c r="I502" s="248">
        <f t="shared" si="50"/>
        <v>0</v>
      </c>
      <c r="J502" s="191">
        <f t="shared" ref="J502:K506" si="58">J503</f>
        <v>440</v>
      </c>
      <c r="K502" s="247">
        <f t="shared" si="58"/>
        <v>440</v>
      </c>
      <c r="L502" s="287">
        <f t="shared" si="51"/>
        <v>0</v>
      </c>
    </row>
    <row r="503" spans="1:12" s="236" customFormat="1" x14ac:dyDescent="0.2">
      <c r="A503" s="189" t="s">
        <v>921</v>
      </c>
      <c r="B503" s="189"/>
      <c r="C503" s="189" t="s">
        <v>512</v>
      </c>
      <c r="D503" s="189" t="s">
        <v>531</v>
      </c>
      <c r="E503" s="189" t="s">
        <v>920</v>
      </c>
      <c r="F503" s="190"/>
      <c r="G503" s="247">
        <f t="shared" si="57"/>
        <v>230</v>
      </c>
      <c r="H503" s="247">
        <f t="shared" si="57"/>
        <v>230</v>
      </c>
      <c r="I503" s="248">
        <f t="shared" ref="I503:I507" si="59">H503-G503</f>
        <v>0</v>
      </c>
      <c r="J503" s="191">
        <f t="shared" si="58"/>
        <v>440</v>
      </c>
      <c r="K503" s="247">
        <f t="shared" si="58"/>
        <v>440</v>
      </c>
      <c r="L503" s="287">
        <f t="shared" ref="L503:L507" si="60">K503-J503</f>
        <v>0</v>
      </c>
    </row>
    <row r="504" spans="1:12" s="236" customFormat="1" ht="24" x14ac:dyDescent="0.2">
      <c r="A504" s="189" t="s">
        <v>1015</v>
      </c>
      <c r="B504" s="189"/>
      <c r="C504" s="189" t="s">
        <v>512</v>
      </c>
      <c r="D504" s="189" t="s">
        <v>531</v>
      </c>
      <c r="E504" s="189" t="s">
        <v>1014</v>
      </c>
      <c r="F504" s="190"/>
      <c r="G504" s="247">
        <f t="shared" si="57"/>
        <v>230</v>
      </c>
      <c r="H504" s="247">
        <f t="shared" si="57"/>
        <v>230</v>
      </c>
      <c r="I504" s="248">
        <f t="shared" si="59"/>
        <v>0</v>
      </c>
      <c r="J504" s="191">
        <f t="shared" si="58"/>
        <v>440</v>
      </c>
      <c r="K504" s="247">
        <f t="shared" si="58"/>
        <v>440</v>
      </c>
      <c r="L504" s="287">
        <f t="shared" si="60"/>
        <v>0</v>
      </c>
    </row>
    <row r="505" spans="1:12" s="236" customFormat="1" ht="24" x14ac:dyDescent="0.2">
      <c r="A505" s="189" t="s">
        <v>917</v>
      </c>
      <c r="B505" s="189"/>
      <c r="C505" s="189" t="s">
        <v>512</v>
      </c>
      <c r="D505" s="189" t="s">
        <v>531</v>
      </c>
      <c r="E505" s="189" t="s">
        <v>1377</v>
      </c>
      <c r="F505" s="190"/>
      <c r="G505" s="247">
        <f t="shared" si="57"/>
        <v>230</v>
      </c>
      <c r="H505" s="247">
        <f t="shared" si="57"/>
        <v>230</v>
      </c>
      <c r="I505" s="248">
        <f t="shared" si="59"/>
        <v>0</v>
      </c>
      <c r="J505" s="191">
        <f t="shared" si="58"/>
        <v>440</v>
      </c>
      <c r="K505" s="247">
        <f t="shared" si="58"/>
        <v>440</v>
      </c>
      <c r="L505" s="287">
        <f t="shared" si="60"/>
        <v>0</v>
      </c>
    </row>
    <row r="506" spans="1:12" s="236" customFormat="1" ht="24" x14ac:dyDescent="0.2">
      <c r="A506" s="189" t="s">
        <v>1347</v>
      </c>
      <c r="B506" s="189"/>
      <c r="C506" s="189" t="s">
        <v>512</v>
      </c>
      <c r="D506" s="189" t="s">
        <v>531</v>
      </c>
      <c r="E506" s="189" t="s">
        <v>1377</v>
      </c>
      <c r="F506" s="190">
        <v>200</v>
      </c>
      <c r="G506" s="247">
        <f t="shared" si="57"/>
        <v>230</v>
      </c>
      <c r="H506" s="247">
        <f t="shared" si="57"/>
        <v>230</v>
      </c>
      <c r="I506" s="248">
        <f t="shared" si="59"/>
        <v>0</v>
      </c>
      <c r="J506" s="191">
        <f t="shared" si="58"/>
        <v>440</v>
      </c>
      <c r="K506" s="247">
        <f t="shared" si="58"/>
        <v>440</v>
      </c>
      <c r="L506" s="287">
        <f t="shared" si="60"/>
        <v>0</v>
      </c>
    </row>
    <row r="507" spans="1:12" s="236" customFormat="1" ht="24" x14ac:dyDescent="0.2">
      <c r="A507" s="189" t="s">
        <v>534</v>
      </c>
      <c r="B507" s="189"/>
      <c r="C507" s="189" t="s">
        <v>512</v>
      </c>
      <c r="D507" s="189" t="s">
        <v>531</v>
      </c>
      <c r="E507" s="189" t="s">
        <v>1377</v>
      </c>
      <c r="F507" s="190">
        <v>240</v>
      </c>
      <c r="G507" s="247">
        <v>230</v>
      </c>
      <c r="H507" s="247">
        <v>230</v>
      </c>
      <c r="I507" s="248">
        <f t="shared" si="59"/>
        <v>0</v>
      </c>
      <c r="J507" s="191">
        <v>440</v>
      </c>
      <c r="K507" s="247">
        <v>440</v>
      </c>
      <c r="L507" s="287">
        <f t="shared" si="60"/>
        <v>0</v>
      </c>
    </row>
    <row r="508" spans="1:12" ht="24" x14ac:dyDescent="0.2">
      <c r="A508" s="189" t="s">
        <v>1005</v>
      </c>
      <c r="B508" s="189"/>
      <c r="C508" s="189" t="s">
        <v>512</v>
      </c>
      <c r="D508" s="189" t="s">
        <v>531</v>
      </c>
      <c r="E508" s="189" t="s">
        <v>1004</v>
      </c>
      <c r="F508" s="189"/>
      <c r="G508" s="247">
        <f>G509</f>
        <v>49388.7</v>
      </c>
      <c r="H508" s="247">
        <f>H509</f>
        <v>49388.7</v>
      </c>
      <c r="I508" s="248">
        <f t="shared" ref="I508:I574" si="61">H508-G508</f>
        <v>0</v>
      </c>
      <c r="J508" s="191">
        <f>J509</f>
        <v>49388.7</v>
      </c>
      <c r="K508" s="247">
        <f>K509</f>
        <v>55388.7</v>
      </c>
      <c r="L508" s="287">
        <f t="shared" ref="L508:L574" si="62">K508-J508</f>
        <v>6000</v>
      </c>
    </row>
    <row r="509" spans="1:12" x14ac:dyDescent="0.2">
      <c r="A509" s="189" t="s">
        <v>1003</v>
      </c>
      <c r="B509" s="189"/>
      <c r="C509" s="189" t="s">
        <v>512</v>
      </c>
      <c r="D509" s="189" t="s">
        <v>531</v>
      </c>
      <c r="E509" s="189" t="s">
        <v>1002</v>
      </c>
      <c r="F509" s="189"/>
      <c r="G509" s="247">
        <f>G510</f>
        <v>49388.7</v>
      </c>
      <c r="H509" s="247">
        <f>H510</f>
        <v>49388.7</v>
      </c>
      <c r="I509" s="248">
        <f t="shared" si="61"/>
        <v>0</v>
      </c>
      <c r="J509" s="191">
        <f>J510</f>
        <v>49388.7</v>
      </c>
      <c r="K509" s="247">
        <f>K510</f>
        <v>55388.7</v>
      </c>
      <c r="L509" s="287">
        <f t="shared" si="62"/>
        <v>6000</v>
      </c>
    </row>
    <row r="510" spans="1:12" ht="24" x14ac:dyDescent="0.2">
      <c r="A510" s="189" t="s">
        <v>1640</v>
      </c>
      <c r="B510" s="189"/>
      <c r="C510" s="189" t="s">
        <v>512</v>
      </c>
      <c r="D510" s="189" t="s">
        <v>531</v>
      </c>
      <c r="E510" s="189" t="s">
        <v>998</v>
      </c>
      <c r="F510" s="189"/>
      <c r="G510" s="247">
        <v>49388.7</v>
      </c>
      <c r="H510" s="247">
        <f>H511+H516+H519+H526</f>
        <v>49388.7</v>
      </c>
      <c r="I510" s="248">
        <f t="shared" si="61"/>
        <v>0</v>
      </c>
      <c r="J510" s="191">
        <v>49388.7</v>
      </c>
      <c r="K510" s="247">
        <f>K511+K516+K519+K526</f>
        <v>55388.7</v>
      </c>
      <c r="L510" s="287">
        <f t="shared" si="62"/>
        <v>6000</v>
      </c>
    </row>
    <row r="511" spans="1:12" x14ac:dyDescent="0.2">
      <c r="A511" s="189" t="s">
        <v>1353</v>
      </c>
      <c r="B511" s="189"/>
      <c r="C511" s="189" t="s">
        <v>512</v>
      </c>
      <c r="D511" s="189" t="s">
        <v>531</v>
      </c>
      <c r="E511" s="189" t="s">
        <v>997</v>
      </c>
      <c r="F511" s="189"/>
      <c r="G511" s="247">
        <v>16404.900000000001</v>
      </c>
      <c r="H511" s="247">
        <v>16404.900000000001</v>
      </c>
      <c r="I511" s="248">
        <f t="shared" si="61"/>
        <v>0</v>
      </c>
      <c r="J511" s="191">
        <v>16404.900000000001</v>
      </c>
      <c r="K511" s="247">
        <v>16404.900000000001</v>
      </c>
      <c r="L511" s="287">
        <f t="shared" si="62"/>
        <v>0</v>
      </c>
    </row>
    <row r="512" spans="1:12" ht="36" x14ac:dyDescent="0.2">
      <c r="A512" s="189" t="s">
        <v>1348</v>
      </c>
      <c r="B512" s="189"/>
      <c r="C512" s="189" t="s">
        <v>512</v>
      </c>
      <c r="D512" s="189" t="s">
        <v>531</v>
      </c>
      <c r="E512" s="189" t="s">
        <v>997</v>
      </c>
      <c r="F512" s="189" t="s">
        <v>556</v>
      </c>
      <c r="G512" s="247">
        <v>15908.9</v>
      </c>
      <c r="H512" s="247">
        <v>15908.9</v>
      </c>
      <c r="I512" s="248">
        <f t="shared" si="61"/>
        <v>0</v>
      </c>
      <c r="J512" s="191">
        <v>15908.9</v>
      </c>
      <c r="K512" s="247">
        <v>15908.9</v>
      </c>
      <c r="L512" s="287">
        <f t="shared" si="62"/>
        <v>0</v>
      </c>
    </row>
    <row r="513" spans="1:12" x14ac:dyDescent="0.2">
      <c r="A513" s="189" t="s">
        <v>555</v>
      </c>
      <c r="B513" s="189"/>
      <c r="C513" s="189" t="s">
        <v>512</v>
      </c>
      <c r="D513" s="189" t="s">
        <v>531</v>
      </c>
      <c r="E513" s="189" t="s">
        <v>997</v>
      </c>
      <c r="F513" s="189" t="s">
        <v>554</v>
      </c>
      <c r="G513" s="247">
        <v>15908.9</v>
      </c>
      <c r="H513" s="247">
        <v>15908.9</v>
      </c>
      <c r="I513" s="248">
        <f t="shared" si="61"/>
        <v>0</v>
      </c>
      <c r="J513" s="191">
        <v>15908.9</v>
      </c>
      <c r="K513" s="247">
        <v>15908.9</v>
      </c>
      <c r="L513" s="287">
        <f t="shared" si="62"/>
        <v>0</v>
      </c>
    </row>
    <row r="514" spans="1:12" ht="24" x14ac:dyDescent="0.2">
      <c r="A514" s="189" t="s">
        <v>1347</v>
      </c>
      <c r="B514" s="189"/>
      <c r="C514" s="189" t="s">
        <v>512</v>
      </c>
      <c r="D514" s="189" t="s">
        <v>531</v>
      </c>
      <c r="E514" s="189" t="s">
        <v>997</v>
      </c>
      <c r="F514" s="189" t="s">
        <v>535</v>
      </c>
      <c r="G514" s="247">
        <v>496</v>
      </c>
      <c r="H514" s="247">
        <v>496</v>
      </c>
      <c r="I514" s="248">
        <f t="shared" si="61"/>
        <v>0</v>
      </c>
      <c r="J514" s="191">
        <v>496</v>
      </c>
      <c r="K514" s="247">
        <v>496</v>
      </c>
      <c r="L514" s="287">
        <f t="shared" si="62"/>
        <v>0</v>
      </c>
    </row>
    <row r="515" spans="1:12" ht="24" x14ac:dyDescent="0.2">
      <c r="A515" s="189" t="s">
        <v>534</v>
      </c>
      <c r="B515" s="189"/>
      <c r="C515" s="189" t="s">
        <v>512</v>
      </c>
      <c r="D515" s="189" t="s">
        <v>531</v>
      </c>
      <c r="E515" s="189" t="s">
        <v>997</v>
      </c>
      <c r="F515" s="189" t="s">
        <v>529</v>
      </c>
      <c r="G515" s="247">
        <v>496</v>
      </c>
      <c r="H515" s="247">
        <v>496</v>
      </c>
      <c r="I515" s="248">
        <f t="shared" si="61"/>
        <v>0</v>
      </c>
      <c r="J515" s="191">
        <v>496</v>
      </c>
      <c r="K515" s="247">
        <v>496</v>
      </c>
      <c r="L515" s="287">
        <f t="shared" si="62"/>
        <v>0</v>
      </c>
    </row>
    <row r="516" spans="1:12" x14ac:dyDescent="0.2">
      <c r="A516" s="189" t="s">
        <v>1354</v>
      </c>
      <c r="B516" s="189"/>
      <c r="C516" s="189" t="s">
        <v>512</v>
      </c>
      <c r="D516" s="189" t="s">
        <v>531</v>
      </c>
      <c r="E516" s="189" t="s">
        <v>996</v>
      </c>
      <c r="F516" s="189"/>
      <c r="G516" s="247">
        <v>4000</v>
      </c>
      <c r="H516" s="247">
        <v>4000</v>
      </c>
      <c r="I516" s="248">
        <f t="shared" si="61"/>
        <v>0</v>
      </c>
      <c r="J516" s="191">
        <v>4000</v>
      </c>
      <c r="K516" s="247">
        <v>4000</v>
      </c>
      <c r="L516" s="287">
        <f t="shared" si="62"/>
        <v>0</v>
      </c>
    </row>
    <row r="517" spans="1:12" ht="24" x14ac:dyDescent="0.2">
      <c r="A517" s="189" t="s">
        <v>1347</v>
      </c>
      <c r="B517" s="189"/>
      <c r="C517" s="189" t="s">
        <v>512</v>
      </c>
      <c r="D517" s="189" t="s">
        <v>531</v>
      </c>
      <c r="E517" s="189" t="s">
        <v>996</v>
      </c>
      <c r="F517" s="189" t="s">
        <v>535</v>
      </c>
      <c r="G517" s="247">
        <v>4000</v>
      </c>
      <c r="H517" s="247">
        <v>4000</v>
      </c>
      <c r="I517" s="248">
        <f t="shared" si="61"/>
        <v>0</v>
      </c>
      <c r="J517" s="191">
        <v>4000</v>
      </c>
      <c r="K517" s="247">
        <v>4000</v>
      </c>
      <c r="L517" s="287">
        <f t="shared" si="62"/>
        <v>0</v>
      </c>
    </row>
    <row r="518" spans="1:12" ht="24" x14ac:dyDescent="0.2">
      <c r="A518" s="189" t="s">
        <v>534</v>
      </c>
      <c r="B518" s="189"/>
      <c r="C518" s="189" t="s">
        <v>512</v>
      </c>
      <c r="D518" s="189" t="s">
        <v>531</v>
      </c>
      <c r="E518" s="189" t="s">
        <v>996</v>
      </c>
      <c r="F518" s="189" t="s">
        <v>529</v>
      </c>
      <c r="G518" s="247">
        <v>4000</v>
      </c>
      <c r="H518" s="247">
        <v>4000</v>
      </c>
      <c r="I518" s="248">
        <f t="shared" si="61"/>
        <v>0</v>
      </c>
      <c r="J518" s="191">
        <v>4000</v>
      </c>
      <c r="K518" s="247">
        <v>4000</v>
      </c>
      <c r="L518" s="287">
        <f t="shared" si="62"/>
        <v>0</v>
      </c>
    </row>
    <row r="519" spans="1:12" x14ac:dyDescent="0.2">
      <c r="A519" s="189" t="s">
        <v>1354</v>
      </c>
      <c r="B519" s="189"/>
      <c r="C519" s="189" t="s">
        <v>512</v>
      </c>
      <c r="D519" s="189" t="s">
        <v>531</v>
      </c>
      <c r="E519" s="189" t="s">
        <v>995</v>
      </c>
      <c r="F519" s="189"/>
      <c r="G519" s="247">
        <v>28983.8</v>
      </c>
      <c r="H519" s="247">
        <v>28983.8</v>
      </c>
      <c r="I519" s="248">
        <f t="shared" si="61"/>
        <v>0</v>
      </c>
      <c r="J519" s="191">
        <v>28983.8</v>
      </c>
      <c r="K519" s="247">
        <v>28983.8</v>
      </c>
      <c r="L519" s="287">
        <f t="shared" si="62"/>
        <v>0</v>
      </c>
    </row>
    <row r="520" spans="1:12" ht="36" x14ac:dyDescent="0.2">
      <c r="A520" s="189" t="s">
        <v>1348</v>
      </c>
      <c r="B520" s="189"/>
      <c r="C520" s="189" t="s">
        <v>512</v>
      </c>
      <c r="D520" s="189" t="s">
        <v>531</v>
      </c>
      <c r="E520" s="189" t="s">
        <v>995</v>
      </c>
      <c r="F520" s="189" t="s">
        <v>556</v>
      </c>
      <c r="G520" s="247">
        <v>23864.9</v>
      </c>
      <c r="H520" s="247">
        <v>23864.9</v>
      </c>
      <c r="I520" s="248">
        <f t="shared" si="61"/>
        <v>0</v>
      </c>
      <c r="J520" s="191">
        <v>23864.9</v>
      </c>
      <c r="K520" s="247">
        <v>23864.9</v>
      </c>
      <c r="L520" s="287">
        <f t="shared" si="62"/>
        <v>0</v>
      </c>
    </row>
    <row r="521" spans="1:12" x14ac:dyDescent="0.2">
      <c r="A521" s="189" t="s">
        <v>555</v>
      </c>
      <c r="B521" s="189"/>
      <c r="C521" s="189" t="s">
        <v>512</v>
      </c>
      <c r="D521" s="189" t="s">
        <v>531</v>
      </c>
      <c r="E521" s="189" t="s">
        <v>995</v>
      </c>
      <c r="F521" s="189" t="s">
        <v>554</v>
      </c>
      <c r="G521" s="247">
        <v>23864.9</v>
      </c>
      <c r="H521" s="247">
        <v>23864.9</v>
      </c>
      <c r="I521" s="248">
        <f t="shared" si="61"/>
        <v>0</v>
      </c>
      <c r="J521" s="191">
        <v>23864.9</v>
      </c>
      <c r="K521" s="247">
        <v>23864.9</v>
      </c>
      <c r="L521" s="287">
        <f t="shared" si="62"/>
        <v>0</v>
      </c>
    </row>
    <row r="522" spans="1:12" ht="24" x14ac:dyDescent="0.2">
      <c r="A522" s="189" t="s">
        <v>1347</v>
      </c>
      <c r="B522" s="189"/>
      <c r="C522" s="189" t="s">
        <v>512</v>
      </c>
      <c r="D522" s="189" t="s">
        <v>531</v>
      </c>
      <c r="E522" s="189" t="s">
        <v>995</v>
      </c>
      <c r="F522" s="189" t="s">
        <v>535</v>
      </c>
      <c r="G522" s="247">
        <v>4987.7</v>
      </c>
      <c r="H522" s="247">
        <v>4987.7</v>
      </c>
      <c r="I522" s="248">
        <f t="shared" si="61"/>
        <v>0</v>
      </c>
      <c r="J522" s="191">
        <v>4987.7</v>
      </c>
      <c r="K522" s="247">
        <v>4987.7</v>
      </c>
      <c r="L522" s="287">
        <f t="shared" si="62"/>
        <v>0</v>
      </c>
    </row>
    <row r="523" spans="1:12" ht="24" x14ac:dyDescent="0.2">
      <c r="A523" s="189" t="s">
        <v>534</v>
      </c>
      <c r="B523" s="189"/>
      <c r="C523" s="189" t="s">
        <v>512</v>
      </c>
      <c r="D523" s="189" t="s">
        <v>531</v>
      </c>
      <c r="E523" s="189" t="s">
        <v>995</v>
      </c>
      <c r="F523" s="189" t="s">
        <v>529</v>
      </c>
      <c r="G523" s="247">
        <v>4987.7</v>
      </c>
      <c r="H523" s="247">
        <v>4987.7</v>
      </c>
      <c r="I523" s="248">
        <f t="shared" si="61"/>
        <v>0</v>
      </c>
      <c r="J523" s="191">
        <v>4987.7</v>
      </c>
      <c r="K523" s="247">
        <v>4987.7</v>
      </c>
      <c r="L523" s="287">
        <f t="shared" si="62"/>
        <v>0</v>
      </c>
    </row>
    <row r="524" spans="1:12" x14ac:dyDescent="0.2">
      <c r="A524" s="189" t="s">
        <v>615</v>
      </c>
      <c r="B524" s="189"/>
      <c r="C524" s="189" t="s">
        <v>512</v>
      </c>
      <c r="D524" s="189" t="s">
        <v>531</v>
      </c>
      <c r="E524" s="189" t="s">
        <v>995</v>
      </c>
      <c r="F524" s="189" t="s">
        <v>509</v>
      </c>
      <c r="G524" s="247">
        <v>131.19999999999999</v>
      </c>
      <c r="H524" s="247">
        <v>131.19999999999999</v>
      </c>
      <c r="I524" s="248">
        <f t="shared" si="61"/>
        <v>0</v>
      </c>
      <c r="J524" s="191">
        <v>131.19999999999999</v>
      </c>
      <c r="K524" s="247">
        <v>131.19999999999999</v>
      </c>
      <c r="L524" s="287">
        <f t="shared" si="62"/>
        <v>0</v>
      </c>
    </row>
    <row r="525" spans="1:12" s="431" customFormat="1" x14ac:dyDescent="0.2">
      <c r="A525" s="189" t="s">
        <v>614</v>
      </c>
      <c r="B525" s="189"/>
      <c r="C525" s="189" t="s">
        <v>512</v>
      </c>
      <c r="D525" s="189" t="s">
        <v>531</v>
      </c>
      <c r="E525" s="189" t="s">
        <v>995</v>
      </c>
      <c r="F525" s="189" t="s">
        <v>613</v>
      </c>
      <c r="G525" s="247">
        <v>131.19999999999999</v>
      </c>
      <c r="H525" s="247">
        <v>131.19999999999999</v>
      </c>
      <c r="I525" s="248">
        <f>H525-G525</f>
        <v>0</v>
      </c>
      <c r="J525" s="191">
        <v>131.19999999999999</v>
      </c>
      <c r="K525" s="247">
        <v>131.19999999999999</v>
      </c>
      <c r="L525" s="287">
        <f>K525-J525</f>
        <v>0</v>
      </c>
    </row>
    <row r="526" spans="1:12" s="429" customFormat="1" ht="24" x14ac:dyDescent="0.2">
      <c r="A526" s="189" t="s">
        <v>1625</v>
      </c>
      <c r="B526" s="189"/>
      <c r="C526" s="189" t="s">
        <v>512</v>
      </c>
      <c r="D526" s="189" t="s">
        <v>531</v>
      </c>
      <c r="E526" s="189" t="s">
        <v>1626</v>
      </c>
      <c r="F526" s="189"/>
      <c r="G526" s="247">
        <f>G527</f>
        <v>0</v>
      </c>
      <c r="H526" s="247">
        <f t="shared" ref="H526:K527" si="63">H527</f>
        <v>0</v>
      </c>
      <c r="I526" s="248">
        <f t="shared" si="63"/>
        <v>0</v>
      </c>
      <c r="J526" s="191">
        <f t="shared" si="63"/>
        <v>0</v>
      </c>
      <c r="K526" s="247">
        <f t="shared" si="63"/>
        <v>6000</v>
      </c>
      <c r="L526" s="287">
        <f t="shared" si="62"/>
        <v>6000</v>
      </c>
    </row>
    <row r="527" spans="1:12" s="429" customFormat="1" ht="24" x14ac:dyDescent="0.2">
      <c r="A527" s="189" t="s">
        <v>1347</v>
      </c>
      <c r="B527" s="189"/>
      <c r="C527" s="189" t="s">
        <v>512</v>
      </c>
      <c r="D527" s="189" t="s">
        <v>531</v>
      </c>
      <c r="E527" s="189" t="s">
        <v>1626</v>
      </c>
      <c r="F527" s="189" t="s">
        <v>535</v>
      </c>
      <c r="G527" s="247">
        <f>G528</f>
        <v>0</v>
      </c>
      <c r="H527" s="247">
        <f t="shared" si="63"/>
        <v>0</v>
      </c>
      <c r="I527" s="248">
        <f t="shared" si="63"/>
        <v>0</v>
      </c>
      <c r="J527" s="191">
        <f t="shared" si="63"/>
        <v>0</v>
      </c>
      <c r="K527" s="247">
        <f t="shared" si="63"/>
        <v>6000</v>
      </c>
      <c r="L527" s="287">
        <f t="shared" si="62"/>
        <v>6000</v>
      </c>
    </row>
    <row r="528" spans="1:12" s="429" customFormat="1" ht="24" x14ac:dyDescent="0.2">
      <c r="A528" s="189" t="s">
        <v>534</v>
      </c>
      <c r="B528" s="189"/>
      <c r="C528" s="189" t="s">
        <v>512</v>
      </c>
      <c r="D528" s="189" t="s">
        <v>531</v>
      </c>
      <c r="E528" s="189" t="s">
        <v>1626</v>
      </c>
      <c r="F528" s="189" t="s">
        <v>529</v>
      </c>
      <c r="G528" s="247">
        <v>0</v>
      </c>
      <c r="H528" s="247">
        <v>0</v>
      </c>
      <c r="I528" s="248">
        <v>0</v>
      </c>
      <c r="J528" s="191">
        <v>0</v>
      </c>
      <c r="K528" s="247">
        <v>6000</v>
      </c>
      <c r="L528" s="287">
        <f t="shared" si="62"/>
        <v>6000</v>
      </c>
    </row>
    <row r="529" spans="1:12" x14ac:dyDescent="0.2">
      <c r="A529" s="189" t="s">
        <v>994</v>
      </c>
      <c r="B529" s="189"/>
      <c r="C529" s="189" t="s">
        <v>512</v>
      </c>
      <c r="D529" s="189" t="s">
        <v>531</v>
      </c>
      <c r="E529" s="189" t="s">
        <v>993</v>
      </c>
      <c r="F529" s="189"/>
      <c r="G529" s="247">
        <v>3000</v>
      </c>
      <c r="H529" s="247">
        <v>3000</v>
      </c>
      <c r="I529" s="248">
        <f t="shared" si="61"/>
        <v>0</v>
      </c>
      <c r="J529" s="191">
        <v>3000</v>
      </c>
      <c r="K529" s="247">
        <v>3000</v>
      </c>
      <c r="L529" s="287">
        <f t="shared" si="62"/>
        <v>0</v>
      </c>
    </row>
    <row r="530" spans="1:12" x14ac:dyDescent="0.2">
      <c r="A530" s="189" t="s">
        <v>992</v>
      </c>
      <c r="B530" s="189"/>
      <c r="C530" s="189" t="s">
        <v>512</v>
      </c>
      <c r="D530" s="189" t="s">
        <v>531</v>
      </c>
      <c r="E530" s="189" t="s">
        <v>991</v>
      </c>
      <c r="F530" s="189"/>
      <c r="G530" s="247">
        <v>3000</v>
      </c>
      <c r="H530" s="247">
        <v>3000</v>
      </c>
      <c r="I530" s="248">
        <f t="shared" si="61"/>
        <v>0</v>
      </c>
      <c r="J530" s="191">
        <v>3000</v>
      </c>
      <c r="K530" s="247">
        <v>3000</v>
      </c>
      <c r="L530" s="287">
        <f t="shared" si="62"/>
        <v>0</v>
      </c>
    </row>
    <row r="531" spans="1:12" ht="36" x14ac:dyDescent="0.2">
      <c r="A531" s="189" t="s">
        <v>990</v>
      </c>
      <c r="B531" s="189"/>
      <c r="C531" s="189" t="s">
        <v>512</v>
      </c>
      <c r="D531" s="189" t="s">
        <v>531</v>
      </c>
      <c r="E531" s="189" t="s">
        <v>989</v>
      </c>
      <c r="F531" s="189"/>
      <c r="G531" s="247">
        <v>3000</v>
      </c>
      <c r="H531" s="247">
        <v>3000</v>
      </c>
      <c r="I531" s="248">
        <f t="shared" si="61"/>
        <v>0</v>
      </c>
      <c r="J531" s="191">
        <v>3000</v>
      </c>
      <c r="K531" s="247">
        <v>3000</v>
      </c>
      <c r="L531" s="287">
        <f t="shared" si="62"/>
        <v>0</v>
      </c>
    </row>
    <row r="532" spans="1:12" ht="24" x14ac:dyDescent="0.2">
      <c r="A532" s="189" t="s">
        <v>988</v>
      </c>
      <c r="B532" s="189"/>
      <c r="C532" s="189" t="s">
        <v>512</v>
      </c>
      <c r="D532" s="189" t="s">
        <v>531</v>
      </c>
      <c r="E532" s="189" t="s">
        <v>987</v>
      </c>
      <c r="F532" s="189"/>
      <c r="G532" s="247">
        <v>3000</v>
      </c>
      <c r="H532" s="247">
        <v>3000</v>
      </c>
      <c r="I532" s="248">
        <f t="shared" si="61"/>
        <v>0</v>
      </c>
      <c r="J532" s="191">
        <v>3000</v>
      </c>
      <c r="K532" s="247">
        <v>3000</v>
      </c>
      <c r="L532" s="287">
        <f t="shared" si="62"/>
        <v>0</v>
      </c>
    </row>
    <row r="533" spans="1:12" ht="24" x14ac:dyDescent="0.2">
      <c r="A533" s="189" t="s">
        <v>1347</v>
      </c>
      <c r="B533" s="189"/>
      <c r="C533" s="189" t="s">
        <v>512</v>
      </c>
      <c r="D533" s="189" t="s">
        <v>531</v>
      </c>
      <c r="E533" s="189" t="s">
        <v>987</v>
      </c>
      <c r="F533" s="189" t="s">
        <v>535</v>
      </c>
      <c r="G533" s="247">
        <v>3000</v>
      </c>
      <c r="H533" s="247">
        <v>3000</v>
      </c>
      <c r="I533" s="248">
        <f t="shared" si="61"/>
        <v>0</v>
      </c>
      <c r="J533" s="191">
        <v>3000</v>
      </c>
      <c r="K533" s="247">
        <v>3000</v>
      </c>
      <c r="L533" s="287">
        <f t="shared" si="62"/>
        <v>0</v>
      </c>
    </row>
    <row r="534" spans="1:12" ht="24" x14ac:dyDescent="0.2">
      <c r="A534" s="189" t="s">
        <v>534</v>
      </c>
      <c r="B534" s="189"/>
      <c r="C534" s="189" t="s">
        <v>512</v>
      </c>
      <c r="D534" s="189" t="s">
        <v>531</v>
      </c>
      <c r="E534" s="189" t="s">
        <v>987</v>
      </c>
      <c r="F534" s="189" t="s">
        <v>529</v>
      </c>
      <c r="G534" s="247">
        <v>3000</v>
      </c>
      <c r="H534" s="247">
        <v>3000</v>
      </c>
      <c r="I534" s="248">
        <f t="shared" si="61"/>
        <v>0</v>
      </c>
      <c r="J534" s="191">
        <v>3000</v>
      </c>
      <c r="K534" s="247">
        <v>3000</v>
      </c>
      <c r="L534" s="287">
        <f t="shared" si="62"/>
        <v>0</v>
      </c>
    </row>
    <row r="535" spans="1:12" ht="24" x14ac:dyDescent="0.2">
      <c r="A535" s="189" t="s">
        <v>986</v>
      </c>
      <c r="B535" s="189"/>
      <c r="C535" s="189" t="s">
        <v>512</v>
      </c>
      <c r="D535" s="189" t="s">
        <v>531</v>
      </c>
      <c r="E535" s="189" t="s">
        <v>985</v>
      </c>
      <c r="F535" s="189"/>
      <c r="G535" s="247">
        <f>G536+G569</f>
        <v>900242.7</v>
      </c>
      <c r="H535" s="247">
        <f>H536+H569</f>
        <v>900242.7</v>
      </c>
      <c r="I535" s="248">
        <f t="shared" si="61"/>
        <v>0</v>
      </c>
      <c r="J535" s="191">
        <f>J536+J569</f>
        <v>933906.09999999986</v>
      </c>
      <c r="K535" s="247">
        <f>K536+K569</f>
        <v>925180.59999999986</v>
      </c>
      <c r="L535" s="287">
        <f t="shared" si="62"/>
        <v>-8725.5</v>
      </c>
    </row>
    <row r="536" spans="1:12" x14ac:dyDescent="0.2">
      <c r="A536" s="189" t="s">
        <v>984</v>
      </c>
      <c r="B536" s="189"/>
      <c r="C536" s="189" t="s">
        <v>512</v>
      </c>
      <c r="D536" s="189" t="s">
        <v>531</v>
      </c>
      <c r="E536" s="189" t="s">
        <v>983</v>
      </c>
      <c r="F536" s="189"/>
      <c r="G536" s="247">
        <f>G537+G553</f>
        <v>351638.9</v>
      </c>
      <c r="H536" s="247">
        <f>H537+H553</f>
        <v>351638.9</v>
      </c>
      <c r="I536" s="248">
        <f t="shared" si="61"/>
        <v>0</v>
      </c>
      <c r="J536" s="191">
        <f>J537+J553</f>
        <v>385302.3</v>
      </c>
      <c r="K536" s="247">
        <f>K537+K553</f>
        <v>376576.8</v>
      </c>
      <c r="L536" s="287">
        <f t="shared" si="62"/>
        <v>-8725.5</v>
      </c>
    </row>
    <row r="537" spans="1:12" ht="24" x14ac:dyDescent="0.2">
      <c r="A537" s="189" t="s">
        <v>982</v>
      </c>
      <c r="B537" s="189"/>
      <c r="C537" s="189" t="s">
        <v>512</v>
      </c>
      <c r="D537" s="189" t="s">
        <v>531</v>
      </c>
      <c r="E537" s="189" t="s">
        <v>981</v>
      </c>
      <c r="F537" s="189"/>
      <c r="G537" s="247">
        <f>G544+G550+G547</f>
        <v>111341</v>
      </c>
      <c r="H537" s="247">
        <f>H544+H550+H547+H538+H541</f>
        <v>111341</v>
      </c>
      <c r="I537" s="248">
        <f t="shared" si="61"/>
        <v>0</v>
      </c>
      <c r="J537" s="191">
        <f>J544+J550+J547</f>
        <v>111341</v>
      </c>
      <c r="K537" s="247">
        <f>K544+K550+K547+K538+K541</f>
        <v>111341</v>
      </c>
      <c r="L537" s="287">
        <f t="shared" si="62"/>
        <v>0</v>
      </c>
    </row>
    <row r="538" spans="1:12" s="441" customFormat="1" x14ac:dyDescent="0.2">
      <c r="A538" s="189" t="s">
        <v>1652</v>
      </c>
      <c r="B538" s="189"/>
      <c r="C538" s="189" t="s">
        <v>512</v>
      </c>
      <c r="D538" s="189" t="s">
        <v>531</v>
      </c>
      <c r="E538" s="189" t="s">
        <v>1653</v>
      </c>
      <c r="F538" s="189"/>
      <c r="G538" s="247">
        <f>G539</f>
        <v>0</v>
      </c>
      <c r="H538" s="247">
        <f>H539</f>
        <v>500</v>
      </c>
      <c r="I538" s="248">
        <f t="shared" si="61"/>
        <v>500</v>
      </c>
      <c r="J538" s="191">
        <f t="shared" ref="J538:K539" si="64">J539</f>
        <v>0</v>
      </c>
      <c r="K538" s="247">
        <f t="shared" si="64"/>
        <v>500</v>
      </c>
      <c r="L538" s="287">
        <f t="shared" si="62"/>
        <v>500</v>
      </c>
    </row>
    <row r="539" spans="1:12" s="441" customFormat="1" ht="24" x14ac:dyDescent="0.2">
      <c r="A539" s="189" t="s">
        <v>1347</v>
      </c>
      <c r="B539" s="189"/>
      <c r="C539" s="189" t="s">
        <v>512</v>
      </c>
      <c r="D539" s="189" t="s">
        <v>531</v>
      </c>
      <c r="E539" s="189" t="s">
        <v>1653</v>
      </c>
      <c r="F539" s="190" t="s">
        <v>535</v>
      </c>
      <c r="G539" s="247">
        <f>G540</f>
        <v>0</v>
      </c>
      <c r="H539" s="247">
        <f>H540</f>
        <v>500</v>
      </c>
      <c r="I539" s="248">
        <f t="shared" si="61"/>
        <v>500</v>
      </c>
      <c r="J539" s="191">
        <f t="shared" si="64"/>
        <v>0</v>
      </c>
      <c r="K539" s="247">
        <f t="shared" si="64"/>
        <v>500</v>
      </c>
      <c r="L539" s="287">
        <f t="shared" si="62"/>
        <v>500</v>
      </c>
    </row>
    <row r="540" spans="1:12" s="441" customFormat="1" ht="24" x14ac:dyDescent="0.2">
      <c r="A540" s="189" t="s">
        <v>534</v>
      </c>
      <c r="B540" s="189"/>
      <c r="C540" s="189" t="s">
        <v>512</v>
      </c>
      <c r="D540" s="189" t="s">
        <v>531</v>
      </c>
      <c r="E540" s="189" t="s">
        <v>1653</v>
      </c>
      <c r="F540" s="190" t="s">
        <v>529</v>
      </c>
      <c r="G540" s="247">
        <v>0</v>
      </c>
      <c r="H540" s="247">
        <v>500</v>
      </c>
      <c r="I540" s="248">
        <f t="shared" si="61"/>
        <v>500</v>
      </c>
      <c r="J540" s="191">
        <v>0</v>
      </c>
      <c r="K540" s="247">
        <v>500</v>
      </c>
      <c r="L540" s="287">
        <f t="shared" si="62"/>
        <v>500</v>
      </c>
    </row>
    <row r="541" spans="1:12" s="441" customFormat="1" x14ac:dyDescent="0.2">
      <c r="A541" s="189" t="s">
        <v>1654</v>
      </c>
      <c r="B541" s="189"/>
      <c r="C541" s="189" t="s">
        <v>512</v>
      </c>
      <c r="D541" s="189" t="s">
        <v>531</v>
      </c>
      <c r="E541" s="189" t="s">
        <v>1655</v>
      </c>
      <c r="F541" s="190"/>
      <c r="G541" s="247">
        <f>G542</f>
        <v>0</v>
      </c>
      <c r="H541" s="247">
        <f>H542</f>
        <v>50000</v>
      </c>
      <c r="I541" s="248">
        <f t="shared" si="61"/>
        <v>50000</v>
      </c>
      <c r="J541" s="191">
        <f>J542</f>
        <v>0</v>
      </c>
      <c r="K541" s="247">
        <f>K542</f>
        <v>50000</v>
      </c>
      <c r="L541" s="287">
        <f t="shared" si="62"/>
        <v>50000</v>
      </c>
    </row>
    <row r="542" spans="1:12" s="441" customFormat="1" ht="24" x14ac:dyDescent="0.2">
      <c r="A542" s="189" t="s">
        <v>1347</v>
      </c>
      <c r="B542" s="189"/>
      <c r="C542" s="189" t="s">
        <v>512</v>
      </c>
      <c r="D542" s="189" t="s">
        <v>531</v>
      </c>
      <c r="E542" s="189" t="s">
        <v>1655</v>
      </c>
      <c r="F542" s="190" t="s">
        <v>535</v>
      </c>
      <c r="G542" s="247">
        <f>G543</f>
        <v>0</v>
      </c>
      <c r="H542" s="247">
        <f>H543</f>
        <v>50000</v>
      </c>
      <c r="I542" s="248">
        <f t="shared" si="61"/>
        <v>50000</v>
      </c>
      <c r="J542" s="191">
        <f>J543</f>
        <v>0</v>
      </c>
      <c r="K542" s="247">
        <f>K543</f>
        <v>50000</v>
      </c>
      <c r="L542" s="287">
        <f t="shared" si="62"/>
        <v>50000</v>
      </c>
    </row>
    <row r="543" spans="1:12" s="441" customFormat="1" ht="24" x14ac:dyDescent="0.2">
      <c r="A543" s="189" t="s">
        <v>534</v>
      </c>
      <c r="B543" s="189"/>
      <c r="C543" s="189" t="s">
        <v>512</v>
      </c>
      <c r="D543" s="189" t="s">
        <v>531</v>
      </c>
      <c r="E543" s="189" t="s">
        <v>1655</v>
      </c>
      <c r="F543" s="190" t="s">
        <v>529</v>
      </c>
      <c r="G543" s="247">
        <v>0</v>
      </c>
      <c r="H543" s="247">
        <v>50000</v>
      </c>
      <c r="I543" s="248">
        <f t="shared" si="61"/>
        <v>50000</v>
      </c>
      <c r="J543" s="191">
        <v>0</v>
      </c>
      <c r="K543" s="247">
        <v>50000</v>
      </c>
      <c r="L543" s="287">
        <f t="shared" si="62"/>
        <v>50000</v>
      </c>
    </row>
    <row r="544" spans="1:12" ht="24" x14ac:dyDescent="0.2">
      <c r="A544" s="189" t="s">
        <v>980</v>
      </c>
      <c r="B544" s="189"/>
      <c r="C544" s="189" t="s">
        <v>512</v>
      </c>
      <c r="D544" s="189" t="s">
        <v>531</v>
      </c>
      <c r="E544" s="189" t="s">
        <v>979</v>
      </c>
      <c r="F544" s="189"/>
      <c r="G544" s="247">
        <f>G545</f>
        <v>60841</v>
      </c>
      <c r="H544" s="247">
        <f>H545</f>
        <v>60841</v>
      </c>
      <c r="I544" s="248">
        <f t="shared" si="61"/>
        <v>0</v>
      </c>
      <c r="J544" s="191">
        <f>J545</f>
        <v>60841</v>
      </c>
      <c r="K544" s="247">
        <f>K545</f>
        <v>60841</v>
      </c>
      <c r="L544" s="287">
        <f t="shared" si="62"/>
        <v>0</v>
      </c>
    </row>
    <row r="545" spans="1:12" ht="24" x14ac:dyDescent="0.2">
      <c r="A545" s="189" t="s">
        <v>1347</v>
      </c>
      <c r="B545" s="189"/>
      <c r="C545" s="189" t="s">
        <v>512</v>
      </c>
      <c r="D545" s="189" t="s">
        <v>531</v>
      </c>
      <c r="E545" s="189" t="s">
        <v>979</v>
      </c>
      <c r="F545" s="189" t="s">
        <v>535</v>
      </c>
      <c r="G545" s="247">
        <f>G546</f>
        <v>60841</v>
      </c>
      <c r="H545" s="247">
        <f>H546</f>
        <v>60841</v>
      </c>
      <c r="I545" s="248">
        <f t="shared" si="61"/>
        <v>0</v>
      </c>
      <c r="J545" s="191">
        <f>J546</f>
        <v>60841</v>
      </c>
      <c r="K545" s="247">
        <f>K546</f>
        <v>60841</v>
      </c>
      <c r="L545" s="287">
        <f t="shared" si="62"/>
        <v>0</v>
      </c>
    </row>
    <row r="546" spans="1:12" ht="24" x14ac:dyDescent="0.2">
      <c r="A546" s="189" t="s">
        <v>534</v>
      </c>
      <c r="B546" s="189"/>
      <c r="C546" s="189" t="s">
        <v>512</v>
      </c>
      <c r="D546" s="189" t="s">
        <v>531</v>
      </c>
      <c r="E546" s="189" t="s">
        <v>979</v>
      </c>
      <c r="F546" s="189" t="s">
        <v>529</v>
      </c>
      <c r="G546" s="247">
        <f>60841</f>
        <v>60841</v>
      </c>
      <c r="H546" s="247">
        <f>60841</f>
        <v>60841</v>
      </c>
      <c r="I546" s="248">
        <f t="shared" si="61"/>
        <v>0</v>
      </c>
      <c r="J546" s="191">
        <f>60841</f>
        <v>60841</v>
      </c>
      <c r="K546" s="247">
        <f>60841</f>
        <v>60841</v>
      </c>
      <c r="L546" s="287">
        <f t="shared" si="62"/>
        <v>0</v>
      </c>
    </row>
    <row r="547" spans="1:12" s="372" customFormat="1" ht="36" x14ac:dyDescent="0.2">
      <c r="A547" s="189" t="s">
        <v>1490</v>
      </c>
      <c r="B547" s="190"/>
      <c r="C547" s="189" t="s">
        <v>512</v>
      </c>
      <c r="D547" s="189" t="s">
        <v>531</v>
      </c>
      <c r="E547" s="189" t="s">
        <v>1491</v>
      </c>
      <c r="F547" s="190"/>
      <c r="G547" s="247">
        <f>G548</f>
        <v>500</v>
      </c>
      <c r="H547" s="247">
        <f>H548</f>
        <v>0</v>
      </c>
      <c r="I547" s="248">
        <f t="shared" si="61"/>
        <v>-500</v>
      </c>
      <c r="J547" s="191">
        <f t="shared" ref="J547:K548" si="65">J548</f>
        <v>500</v>
      </c>
      <c r="K547" s="247">
        <f t="shared" si="65"/>
        <v>0</v>
      </c>
      <c r="L547" s="287">
        <f t="shared" si="62"/>
        <v>-500</v>
      </c>
    </row>
    <row r="548" spans="1:12" s="372" customFormat="1" ht="24" x14ac:dyDescent="0.2">
      <c r="A548" s="189" t="s">
        <v>1347</v>
      </c>
      <c r="B548" s="190"/>
      <c r="C548" s="189" t="s">
        <v>512</v>
      </c>
      <c r="D548" s="189" t="s">
        <v>531</v>
      </c>
      <c r="E548" s="189" t="s">
        <v>1491</v>
      </c>
      <c r="F548" s="190" t="s">
        <v>535</v>
      </c>
      <c r="G548" s="247">
        <f>G549</f>
        <v>500</v>
      </c>
      <c r="H548" s="247">
        <f>H549</f>
        <v>0</v>
      </c>
      <c r="I548" s="248">
        <f t="shared" si="61"/>
        <v>-500</v>
      </c>
      <c r="J548" s="191">
        <f t="shared" si="65"/>
        <v>500</v>
      </c>
      <c r="K548" s="247">
        <f t="shared" si="65"/>
        <v>0</v>
      </c>
      <c r="L548" s="287">
        <f t="shared" si="62"/>
        <v>-500</v>
      </c>
    </row>
    <row r="549" spans="1:12" s="372" customFormat="1" ht="24" x14ac:dyDescent="0.2">
      <c r="A549" s="189" t="s">
        <v>534</v>
      </c>
      <c r="B549" s="190"/>
      <c r="C549" s="189" t="s">
        <v>512</v>
      </c>
      <c r="D549" s="189" t="s">
        <v>531</v>
      </c>
      <c r="E549" s="189" t="s">
        <v>1491</v>
      </c>
      <c r="F549" s="190" t="s">
        <v>529</v>
      </c>
      <c r="G549" s="247">
        <v>500</v>
      </c>
      <c r="H549" s="247">
        <f>500-500</f>
        <v>0</v>
      </c>
      <c r="I549" s="248">
        <f t="shared" si="61"/>
        <v>-500</v>
      </c>
      <c r="J549" s="191">
        <v>500</v>
      </c>
      <c r="K549" s="247">
        <f>500-500</f>
        <v>0</v>
      </c>
      <c r="L549" s="287">
        <f t="shared" si="62"/>
        <v>-500</v>
      </c>
    </row>
    <row r="550" spans="1:12" s="372" customFormat="1" ht="36" x14ac:dyDescent="0.2">
      <c r="A550" s="189" t="s">
        <v>1488</v>
      </c>
      <c r="B550" s="190"/>
      <c r="C550" s="189" t="s">
        <v>512</v>
      </c>
      <c r="D550" s="189" t="s">
        <v>531</v>
      </c>
      <c r="E550" s="189" t="s">
        <v>1489</v>
      </c>
      <c r="F550" s="190"/>
      <c r="G550" s="247">
        <f>G551</f>
        <v>50000</v>
      </c>
      <c r="H550" s="247">
        <f>H551</f>
        <v>0</v>
      </c>
      <c r="I550" s="248">
        <f t="shared" si="61"/>
        <v>-50000</v>
      </c>
      <c r="J550" s="191">
        <f t="shared" ref="J550:K551" si="66">J551</f>
        <v>50000</v>
      </c>
      <c r="K550" s="247">
        <f t="shared" si="66"/>
        <v>0</v>
      </c>
      <c r="L550" s="287">
        <f t="shared" si="62"/>
        <v>-50000</v>
      </c>
    </row>
    <row r="551" spans="1:12" s="372" customFormat="1" ht="24" x14ac:dyDescent="0.2">
      <c r="A551" s="189" t="s">
        <v>1347</v>
      </c>
      <c r="B551" s="190"/>
      <c r="C551" s="189" t="s">
        <v>512</v>
      </c>
      <c r="D551" s="189" t="s">
        <v>531</v>
      </c>
      <c r="E551" s="189" t="s">
        <v>1489</v>
      </c>
      <c r="F551" s="190" t="s">
        <v>535</v>
      </c>
      <c r="G551" s="247">
        <f>G552</f>
        <v>50000</v>
      </c>
      <c r="H551" s="247">
        <f>H552</f>
        <v>0</v>
      </c>
      <c r="I551" s="248">
        <f t="shared" si="61"/>
        <v>-50000</v>
      </c>
      <c r="J551" s="191">
        <f t="shared" si="66"/>
        <v>50000</v>
      </c>
      <c r="K551" s="247">
        <f t="shared" si="66"/>
        <v>0</v>
      </c>
      <c r="L551" s="287">
        <f t="shared" si="62"/>
        <v>-50000</v>
      </c>
    </row>
    <row r="552" spans="1:12" s="372" customFormat="1" ht="24" x14ac:dyDescent="0.2">
      <c r="A552" s="189" t="s">
        <v>534</v>
      </c>
      <c r="B552" s="190"/>
      <c r="C552" s="189" t="s">
        <v>512</v>
      </c>
      <c r="D552" s="189" t="s">
        <v>531</v>
      </c>
      <c r="E552" s="189" t="s">
        <v>1489</v>
      </c>
      <c r="F552" s="190" t="s">
        <v>529</v>
      </c>
      <c r="G552" s="247">
        <v>50000</v>
      </c>
      <c r="H552" s="247">
        <f>50000-50000</f>
        <v>0</v>
      </c>
      <c r="I552" s="248">
        <f t="shared" si="61"/>
        <v>-50000</v>
      </c>
      <c r="J552" s="191">
        <v>50000</v>
      </c>
      <c r="K552" s="247">
        <f>50000-50000</f>
        <v>0</v>
      </c>
      <c r="L552" s="287">
        <f t="shared" si="62"/>
        <v>-50000</v>
      </c>
    </row>
    <row r="553" spans="1:12" x14ac:dyDescent="0.2">
      <c r="A553" s="189" t="s">
        <v>978</v>
      </c>
      <c r="B553" s="189"/>
      <c r="C553" s="189" t="s">
        <v>512</v>
      </c>
      <c r="D553" s="189" t="s">
        <v>531</v>
      </c>
      <c r="E553" s="189" t="s">
        <v>977</v>
      </c>
      <c r="F553" s="189"/>
      <c r="G553" s="247">
        <f>G554+G560+G563+G557+G566</f>
        <v>240297.9</v>
      </c>
      <c r="H553" s="247">
        <f>H554+H560+H563+H557+H566</f>
        <v>240297.9</v>
      </c>
      <c r="I553" s="248">
        <f t="shared" si="61"/>
        <v>0</v>
      </c>
      <c r="J553" s="191">
        <f>J554+J560+J563+J557+J566</f>
        <v>273961.3</v>
      </c>
      <c r="K553" s="247">
        <f>K554+K560+K563+K557+K566</f>
        <v>265235.8</v>
      </c>
      <c r="L553" s="287">
        <f t="shared" si="62"/>
        <v>-8725.5</v>
      </c>
    </row>
    <row r="554" spans="1:12" ht="24" x14ac:dyDescent="0.2">
      <c r="A554" s="189" t="s">
        <v>976</v>
      </c>
      <c r="B554" s="189"/>
      <c r="C554" s="189" t="s">
        <v>512</v>
      </c>
      <c r="D554" s="189" t="s">
        <v>531</v>
      </c>
      <c r="E554" s="189" t="s">
        <v>975</v>
      </c>
      <c r="F554" s="189"/>
      <c r="G554" s="247">
        <f>G555</f>
        <v>0</v>
      </c>
      <c r="H554" s="247">
        <f>H555</f>
        <v>0</v>
      </c>
      <c r="I554" s="248">
        <f t="shared" si="61"/>
        <v>0</v>
      </c>
      <c r="J554" s="191">
        <f>J555</f>
        <v>250000.5</v>
      </c>
      <c r="K554" s="247">
        <f>K555</f>
        <v>250000.5</v>
      </c>
      <c r="L554" s="287">
        <f t="shared" si="62"/>
        <v>0</v>
      </c>
    </row>
    <row r="555" spans="1:12" ht="24" x14ac:dyDescent="0.2">
      <c r="A555" s="189" t="s">
        <v>1347</v>
      </c>
      <c r="B555" s="189"/>
      <c r="C555" s="189" t="s">
        <v>512</v>
      </c>
      <c r="D555" s="189" t="s">
        <v>531</v>
      </c>
      <c r="E555" s="189" t="s">
        <v>975</v>
      </c>
      <c r="F555" s="189" t="s">
        <v>535</v>
      </c>
      <c r="G555" s="247">
        <f>G556</f>
        <v>0</v>
      </c>
      <c r="H555" s="247">
        <f>H556</f>
        <v>0</v>
      </c>
      <c r="I555" s="248">
        <f t="shared" si="61"/>
        <v>0</v>
      </c>
      <c r="J555" s="191">
        <f>J556</f>
        <v>250000.5</v>
      </c>
      <c r="K555" s="247">
        <f>K556</f>
        <v>250000.5</v>
      </c>
      <c r="L555" s="287">
        <f t="shared" si="62"/>
        <v>0</v>
      </c>
    </row>
    <row r="556" spans="1:12" ht="24" x14ac:dyDescent="0.2">
      <c r="A556" s="189" t="s">
        <v>534</v>
      </c>
      <c r="B556" s="189"/>
      <c r="C556" s="189" t="s">
        <v>512</v>
      </c>
      <c r="D556" s="189" t="s">
        <v>531</v>
      </c>
      <c r="E556" s="189" t="s">
        <v>975</v>
      </c>
      <c r="F556" s="189" t="s">
        <v>529</v>
      </c>
      <c r="G556" s="247">
        <f>189899-189899</f>
        <v>0</v>
      </c>
      <c r="H556" s="247">
        <f>189899-189899</f>
        <v>0</v>
      </c>
      <c r="I556" s="248">
        <f t="shared" si="61"/>
        <v>0</v>
      </c>
      <c r="J556" s="191">
        <f>250000.5</f>
        <v>250000.5</v>
      </c>
      <c r="K556" s="247">
        <f>250000.5</f>
        <v>250000.5</v>
      </c>
      <c r="L556" s="287">
        <f t="shared" si="62"/>
        <v>0</v>
      </c>
    </row>
    <row r="557" spans="1:12" s="241" customFormat="1" ht="36" x14ac:dyDescent="0.2">
      <c r="A557" s="189" t="s">
        <v>1370</v>
      </c>
      <c r="B557" s="189"/>
      <c r="C557" s="189" t="s">
        <v>512</v>
      </c>
      <c r="D557" s="189" t="s">
        <v>531</v>
      </c>
      <c r="E557" s="189" t="s">
        <v>1371</v>
      </c>
      <c r="F557" s="190"/>
      <c r="G557" s="247">
        <f>G558</f>
        <v>189899</v>
      </c>
      <c r="H557" s="247">
        <f>H558</f>
        <v>189899</v>
      </c>
      <c r="I557" s="248">
        <f t="shared" si="61"/>
        <v>0</v>
      </c>
      <c r="J557" s="191">
        <f>J558</f>
        <v>0</v>
      </c>
      <c r="K557" s="247">
        <f>K558</f>
        <v>0</v>
      </c>
      <c r="L557" s="287">
        <f t="shared" si="62"/>
        <v>0</v>
      </c>
    </row>
    <row r="558" spans="1:12" s="241" customFormat="1" ht="24" x14ac:dyDescent="0.2">
      <c r="A558" s="189" t="s">
        <v>1347</v>
      </c>
      <c r="B558" s="189"/>
      <c r="C558" s="189" t="s">
        <v>512</v>
      </c>
      <c r="D558" s="189" t="s">
        <v>531</v>
      </c>
      <c r="E558" s="189" t="s">
        <v>1371</v>
      </c>
      <c r="F558" s="190" t="s">
        <v>535</v>
      </c>
      <c r="G558" s="247">
        <f>G559</f>
        <v>189899</v>
      </c>
      <c r="H558" s="247">
        <f>H559</f>
        <v>189899</v>
      </c>
      <c r="I558" s="248">
        <f t="shared" si="61"/>
        <v>0</v>
      </c>
      <c r="J558" s="191">
        <f>J559</f>
        <v>0</v>
      </c>
      <c r="K558" s="247">
        <f>K559</f>
        <v>0</v>
      </c>
      <c r="L558" s="287">
        <f t="shared" si="62"/>
        <v>0</v>
      </c>
    </row>
    <row r="559" spans="1:12" s="241" customFormat="1" ht="24" x14ac:dyDescent="0.2">
      <c r="A559" s="189" t="s">
        <v>534</v>
      </c>
      <c r="B559" s="189"/>
      <c r="C559" s="189" t="s">
        <v>512</v>
      </c>
      <c r="D559" s="189" t="s">
        <v>531</v>
      </c>
      <c r="E559" s="189" t="s">
        <v>1371</v>
      </c>
      <c r="F559" s="190" t="s">
        <v>529</v>
      </c>
      <c r="G559" s="247">
        <v>189899</v>
      </c>
      <c r="H559" s="247">
        <v>189899</v>
      </c>
      <c r="I559" s="248">
        <f t="shared" si="61"/>
        <v>0</v>
      </c>
      <c r="J559" s="191">
        <v>0</v>
      </c>
      <c r="K559" s="247">
        <v>0</v>
      </c>
      <c r="L559" s="287">
        <f t="shared" si="62"/>
        <v>0</v>
      </c>
    </row>
    <row r="560" spans="1:12" ht="24" x14ac:dyDescent="0.2">
      <c r="A560" s="189" t="s">
        <v>1291</v>
      </c>
      <c r="B560" s="189"/>
      <c r="C560" s="189" t="s">
        <v>512</v>
      </c>
      <c r="D560" s="189" t="s">
        <v>531</v>
      </c>
      <c r="E560" s="189" t="s">
        <v>1292</v>
      </c>
      <c r="F560" s="189"/>
      <c r="G560" s="247">
        <v>0</v>
      </c>
      <c r="H560" s="247">
        <v>0</v>
      </c>
      <c r="I560" s="248">
        <f t="shared" si="61"/>
        <v>0</v>
      </c>
      <c r="J560" s="191">
        <f>J561</f>
        <v>10000</v>
      </c>
      <c r="K560" s="247">
        <f>K561</f>
        <v>10000</v>
      </c>
      <c r="L560" s="287">
        <f t="shared" si="62"/>
        <v>0</v>
      </c>
    </row>
    <row r="561" spans="1:12" ht="24" x14ac:dyDescent="0.2">
      <c r="A561" s="189" t="s">
        <v>1347</v>
      </c>
      <c r="B561" s="189"/>
      <c r="C561" s="189" t="s">
        <v>512</v>
      </c>
      <c r="D561" s="189" t="s">
        <v>531</v>
      </c>
      <c r="E561" s="189" t="s">
        <v>1292</v>
      </c>
      <c r="F561" s="189" t="s">
        <v>535</v>
      </c>
      <c r="G561" s="247">
        <v>0</v>
      </c>
      <c r="H561" s="247">
        <v>0</v>
      </c>
      <c r="I561" s="248">
        <f t="shared" si="61"/>
        <v>0</v>
      </c>
      <c r="J561" s="191">
        <f>J562</f>
        <v>10000</v>
      </c>
      <c r="K561" s="247">
        <f>K562</f>
        <v>10000</v>
      </c>
      <c r="L561" s="287">
        <f t="shared" si="62"/>
        <v>0</v>
      </c>
    </row>
    <row r="562" spans="1:12" ht="24" x14ac:dyDescent="0.2">
      <c r="A562" s="189" t="s">
        <v>534</v>
      </c>
      <c r="B562" s="189"/>
      <c r="C562" s="189" t="s">
        <v>512</v>
      </c>
      <c r="D562" s="189" t="s">
        <v>531</v>
      </c>
      <c r="E562" s="189" t="s">
        <v>1292</v>
      </c>
      <c r="F562" s="189" t="s">
        <v>529</v>
      </c>
      <c r="G562" s="247">
        <v>0</v>
      </c>
      <c r="H562" s="247">
        <v>0</v>
      </c>
      <c r="I562" s="248">
        <f t="shared" si="61"/>
        <v>0</v>
      </c>
      <c r="J562" s="191">
        <f>20000-10000</f>
        <v>10000</v>
      </c>
      <c r="K562" s="247">
        <f>20000-10000</f>
        <v>10000</v>
      </c>
      <c r="L562" s="287">
        <f t="shared" si="62"/>
        <v>0</v>
      </c>
    </row>
    <row r="563" spans="1:12" x14ac:dyDescent="0.2">
      <c r="A563" s="189" t="s">
        <v>1530</v>
      </c>
      <c r="B563" s="189"/>
      <c r="C563" s="189" t="s">
        <v>512</v>
      </c>
      <c r="D563" s="189" t="s">
        <v>531</v>
      </c>
      <c r="E563" s="189" t="s">
        <v>974</v>
      </c>
      <c r="F563" s="189"/>
      <c r="G563" s="247">
        <f>G564</f>
        <v>9297.7999999999993</v>
      </c>
      <c r="H563" s="247">
        <f>H564</f>
        <v>9297.7999999999993</v>
      </c>
      <c r="I563" s="248">
        <f t="shared" si="61"/>
        <v>0</v>
      </c>
      <c r="J563" s="191">
        <f t="shared" ref="J563:K563" si="67">J564</f>
        <v>13960.8</v>
      </c>
      <c r="K563" s="247">
        <f t="shared" si="67"/>
        <v>5235.2999999999993</v>
      </c>
      <c r="L563" s="287">
        <f t="shared" si="62"/>
        <v>-8725.5</v>
      </c>
    </row>
    <row r="564" spans="1:12" s="390" customFormat="1" ht="24" x14ac:dyDescent="0.2">
      <c r="A564" s="189" t="s">
        <v>547</v>
      </c>
      <c r="B564" s="189"/>
      <c r="C564" s="189" t="s">
        <v>512</v>
      </c>
      <c r="D564" s="189" t="s">
        <v>531</v>
      </c>
      <c r="E564" s="189" t="s">
        <v>974</v>
      </c>
      <c r="F564" s="189">
        <v>600</v>
      </c>
      <c r="G564" s="247">
        <f>G565</f>
        <v>9297.7999999999993</v>
      </c>
      <c r="H564" s="247">
        <f>H565</f>
        <v>9297.7999999999993</v>
      </c>
      <c r="I564" s="248">
        <f t="shared" si="61"/>
        <v>0</v>
      </c>
      <c r="J564" s="191">
        <f>J565</f>
        <v>13960.8</v>
      </c>
      <c r="K564" s="247">
        <f>K565</f>
        <v>5235.2999999999993</v>
      </c>
      <c r="L564" s="287">
        <f t="shared" si="62"/>
        <v>-8725.5</v>
      </c>
    </row>
    <row r="565" spans="1:12" s="390" customFormat="1" x14ac:dyDescent="0.2">
      <c r="A565" s="189" t="s">
        <v>571</v>
      </c>
      <c r="B565" s="189"/>
      <c r="C565" s="189" t="s">
        <v>512</v>
      </c>
      <c r="D565" s="189" t="s">
        <v>531</v>
      </c>
      <c r="E565" s="189" t="s">
        <v>974</v>
      </c>
      <c r="F565" s="189">
        <v>610</v>
      </c>
      <c r="G565" s="247">
        <v>9297.7999999999993</v>
      </c>
      <c r="H565" s="247">
        <v>9297.7999999999993</v>
      </c>
      <c r="I565" s="248">
        <f t="shared" si="61"/>
        <v>0</v>
      </c>
      <c r="J565" s="191">
        <v>13960.8</v>
      </c>
      <c r="K565" s="247">
        <f>13960.8-8725.5</f>
        <v>5235.2999999999993</v>
      </c>
      <c r="L565" s="287">
        <f t="shared" si="62"/>
        <v>-8725.5</v>
      </c>
    </row>
    <row r="566" spans="1:12" s="405" customFormat="1" ht="24" x14ac:dyDescent="0.2">
      <c r="A566" s="189" t="s">
        <v>1539</v>
      </c>
      <c r="B566" s="189"/>
      <c r="C566" s="189" t="s">
        <v>512</v>
      </c>
      <c r="D566" s="189" t="s">
        <v>531</v>
      </c>
      <c r="E566" s="189" t="s">
        <v>1538</v>
      </c>
      <c r="F566" s="189"/>
      <c r="G566" s="247">
        <f>G567</f>
        <v>41101.1</v>
      </c>
      <c r="H566" s="247">
        <f>H567</f>
        <v>41101.1</v>
      </c>
      <c r="I566" s="248">
        <f t="shared" si="61"/>
        <v>0</v>
      </c>
      <c r="J566" s="191">
        <f>J567</f>
        <v>0</v>
      </c>
      <c r="K566" s="247">
        <f>K567</f>
        <v>0</v>
      </c>
      <c r="L566" s="287">
        <f t="shared" si="62"/>
        <v>0</v>
      </c>
    </row>
    <row r="567" spans="1:12" s="405" customFormat="1" ht="24" x14ac:dyDescent="0.2">
      <c r="A567" s="189" t="s">
        <v>1347</v>
      </c>
      <c r="B567" s="189"/>
      <c r="C567" s="189" t="s">
        <v>512</v>
      </c>
      <c r="D567" s="189" t="s">
        <v>531</v>
      </c>
      <c r="E567" s="189" t="s">
        <v>1538</v>
      </c>
      <c r="F567" s="189">
        <v>200</v>
      </c>
      <c r="G567" s="247">
        <f>G568</f>
        <v>41101.1</v>
      </c>
      <c r="H567" s="247">
        <f>H568</f>
        <v>41101.1</v>
      </c>
      <c r="I567" s="248">
        <f t="shared" si="61"/>
        <v>0</v>
      </c>
      <c r="J567" s="191">
        <f>J568</f>
        <v>0</v>
      </c>
      <c r="K567" s="247">
        <f>K568</f>
        <v>0</v>
      </c>
      <c r="L567" s="287">
        <f t="shared" si="62"/>
        <v>0</v>
      </c>
    </row>
    <row r="568" spans="1:12" s="405" customFormat="1" ht="24" x14ac:dyDescent="0.2">
      <c r="A568" s="189" t="s">
        <v>534</v>
      </c>
      <c r="B568" s="189"/>
      <c r="C568" s="189" t="s">
        <v>512</v>
      </c>
      <c r="D568" s="189" t="s">
        <v>531</v>
      </c>
      <c r="E568" s="189" t="s">
        <v>1538</v>
      </c>
      <c r="F568" s="189">
        <v>240</v>
      </c>
      <c r="G568" s="247">
        <v>41101.1</v>
      </c>
      <c r="H568" s="247">
        <v>41101.1</v>
      </c>
      <c r="I568" s="248">
        <f t="shared" si="61"/>
        <v>0</v>
      </c>
      <c r="J568" s="191">
        <v>0</v>
      </c>
      <c r="K568" s="247">
        <v>0</v>
      </c>
      <c r="L568" s="287">
        <f t="shared" si="62"/>
        <v>0</v>
      </c>
    </row>
    <row r="569" spans="1:12" x14ac:dyDescent="0.2">
      <c r="A569" s="189" t="s">
        <v>973</v>
      </c>
      <c r="B569" s="189"/>
      <c r="C569" s="189" t="s">
        <v>512</v>
      </c>
      <c r="D569" s="189" t="s">
        <v>531</v>
      </c>
      <c r="E569" s="189" t="s">
        <v>972</v>
      </c>
      <c r="F569" s="189"/>
      <c r="G569" s="247">
        <f>G570</f>
        <v>548603.79999999993</v>
      </c>
      <c r="H569" s="247">
        <f>H570</f>
        <v>548603.79999999993</v>
      </c>
      <c r="I569" s="248">
        <f t="shared" si="61"/>
        <v>0</v>
      </c>
      <c r="J569" s="191">
        <f>J570</f>
        <v>548603.79999999993</v>
      </c>
      <c r="K569" s="247">
        <f>K570</f>
        <v>548603.79999999993</v>
      </c>
      <c r="L569" s="287">
        <f t="shared" si="62"/>
        <v>0</v>
      </c>
    </row>
    <row r="570" spans="1:12" ht="24" x14ac:dyDescent="0.2">
      <c r="A570" s="189" t="s">
        <v>971</v>
      </c>
      <c r="B570" s="189"/>
      <c r="C570" s="189" t="s">
        <v>512</v>
      </c>
      <c r="D570" s="189" t="s">
        <v>531</v>
      </c>
      <c r="E570" s="189" t="s">
        <v>970</v>
      </c>
      <c r="F570" s="189"/>
      <c r="G570" s="247">
        <f>G571+G574+G577+G580+G583+G586+G589+G592+G595++G600+G605+G608+G611+G614+G621</f>
        <v>548603.79999999993</v>
      </c>
      <c r="H570" s="247">
        <f>H571+H574+H577+H580+H583+H586+H589+H592+H595++H600+H605+H608+H611+H614+H621</f>
        <v>548603.79999999993</v>
      </c>
      <c r="I570" s="248">
        <f t="shared" si="61"/>
        <v>0</v>
      </c>
      <c r="J570" s="191">
        <f>J571+J574+J577+J580+J583+J586+J589+J592+J595++J600+J605+J608+J611+J614+J621</f>
        <v>548603.79999999993</v>
      </c>
      <c r="K570" s="247">
        <f>K571+K574+K577+K580+K583+K586+K589+K592+K595++K600+K605+K608+K611+K614+K621</f>
        <v>548603.79999999993</v>
      </c>
      <c r="L570" s="287">
        <f t="shared" si="62"/>
        <v>0</v>
      </c>
    </row>
    <row r="571" spans="1:12" ht="24" x14ac:dyDescent="0.2">
      <c r="A571" s="189" t="s">
        <v>1531</v>
      </c>
      <c r="B571" s="189"/>
      <c r="C571" s="189" t="s">
        <v>512</v>
      </c>
      <c r="D571" s="189" t="s">
        <v>531</v>
      </c>
      <c r="E571" s="189" t="s">
        <v>969</v>
      </c>
      <c r="F571" s="189"/>
      <c r="G571" s="247">
        <f>G572</f>
        <v>39660.9</v>
      </c>
      <c r="H571" s="247">
        <f>H572</f>
        <v>39660.9</v>
      </c>
      <c r="I571" s="248">
        <f t="shared" si="61"/>
        <v>0</v>
      </c>
      <c r="J571" s="191">
        <f t="shared" ref="J571:K571" si="68">J572</f>
        <v>39660.9</v>
      </c>
      <c r="K571" s="247">
        <f t="shared" si="68"/>
        <v>39660.9</v>
      </c>
      <c r="L571" s="287">
        <f t="shared" si="62"/>
        <v>0</v>
      </c>
    </row>
    <row r="572" spans="1:12" s="390" customFormat="1" ht="24" x14ac:dyDescent="0.2">
      <c r="A572" s="189" t="s">
        <v>547</v>
      </c>
      <c r="B572" s="189"/>
      <c r="C572" s="189" t="s">
        <v>512</v>
      </c>
      <c r="D572" s="189" t="s">
        <v>531</v>
      </c>
      <c r="E572" s="189" t="s">
        <v>969</v>
      </c>
      <c r="F572" s="189">
        <v>600</v>
      </c>
      <c r="G572" s="247">
        <f>G573</f>
        <v>39660.9</v>
      </c>
      <c r="H572" s="247">
        <f>H573</f>
        <v>39660.9</v>
      </c>
      <c r="I572" s="248">
        <f t="shared" si="61"/>
        <v>0</v>
      </c>
      <c r="J572" s="191">
        <f>J573</f>
        <v>39660.9</v>
      </c>
      <c r="K572" s="247">
        <f>K573</f>
        <v>39660.9</v>
      </c>
      <c r="L572" s="287">
        <f t="shared" si="62"/>
        <v>0</v>
      </c>
    </row>
    <row r="573" spans="1:12" s="390" customFormat="1" x14ac:dyDescent="0.2">
      <c r="A573" s="189" t="s">
        <v>571</v>
      </c>
      <c r="B573" s="189"/>
      <c r="C573" s="189" t="s">
        <v>512</v>
      </c>
      <c r="D573" s="189" t="s">
        <v>531</v>
      </c>
      <c r="E573" s="189" t="s">
        <v>969</v>
      </c>
      <c r="F573" s="189">
        <v>610</v>
      </c>
      <c r="G573" s="247">
        <f>42232.8-2571.9</f>
        <v>39660.9</v>
      </c>
      <c r="H573" s="247">
        <f>42232.8-2571.9</f>
        <v>39660.9</v>
      </c>
      <c r="I573" s="248">
        <f t="shared" si="61"/>
        <v>0</v>
      </c>
      <c r="J573" s="191">
        <f>42232.8-2571.9</f>
        <v>39660.9</v>
      </c>
      <c r="K573" s="247">
        <f>42232.8-2571.9</f>
        <v>39660.9</v>
      </c>
      <c r="L573" s="287">
        <f t="shared" si="62"/>
        <v>0</v>
      </c>
    </row>
    <row r="574" spans="1:12" ht="24" x14ac:dyDescent="0.2">
      <c r="A574" s="189" t="s">
        <v>968</v>
      </c>
      <c r="B574" s="189"/>
      <c r="C574" s="189" t="s">
        <v>512</v>
      </c>
      <c r="D574" s="189" t="s">
        <v>531</v>
      </c>
      <c r="E574" s="189" t="s">
        <v>967</v>
      </c>
      <c r="F574" s="189"/>
      <c r="G574" s="247">
        <v>20687.5</v>
      </c>
      <c r="H574" s="247">
        <v>20687.5</v>
      </c>
      <c r="I574" s="248">
        <f t="shared" si="61"/>
        <v>0</v>
      </c>
      <c r="J574" s="191">
        <v>20687.5</v>
      </c>
      <c r="K574" s="247">
        <v>20687.5</v>
      </c>
      <c r="L574" s="287">
        <f t="shared" si="62"/>
        <v>0</v>
      </c>
    </row>
    <row r="575" spans="1:12" ht="24" x14ac:dyDescent="0.2">
      <c r="A575" s="189" t="s">
        <v>1347</v>
      </c>
      <c r="B575" s="189"/>
      <c r="C575" s="189" t="s">
        <v>512</v>
      </c>
      <c r="D575" s="189" t="s">
        <v>531</v>
      </c>
      <c r="E575" s="189" t="s">
        <v>967</v>
      </c>
      <c r="F575" s="189" t="s">
        <v>535</v>
      </c>
      <c r="G575" s="247">
        <v>20687.5</v>
      </c>
      <c r="H575" s="247">
        <v>20687.5</v>
      </c>
      <c r="I575" s="248">
        <f t="shared" ref="I575:I626" si="69">H575-G575</f>
        <v>0</v>
      </c>
      <c r="J575" s="191">
        <v>20687.5</v>
      </c>
      <c r="K575" s="247">
        <v>20687.5</v>
      </c>
      <c r="L575" s="287">
        <f t="shared" ref="L575:L626" si="70">K575-J575</f>
        <v>0</v>
      </c>
    </row>
    <row r="576" spans="1:12" ht="24" x14ac:dyDescent="0.2">
      <c r="A576" s="189" t="s">
        <v>534</v>
      </c>
      <c r="B576" s="189"/>
      <c r="C576" s="189" t="s">
        <v>512</v>
      </c>
      <c r="D576" s="189" t="s">
        <v>531</v>
      </c>
      <c r="E576" s="189" t="s">
        <v>967</v>
      </c>
      <c r="F576" s="189" t="s">
        <v>529</v>
      </c>
      <c r="G576" s="247">
        <v>20687.5</v>
      </c>
      <c r="H576" s="247">
        <v>20687.5</v>
      </c>
      <c r="I576" s="248">
        <f t="shared" si="69"/>
        <v>0</v>
      </c>
      <c r="J576" s="191">
        <v>20687.5</v>
      </c>
      <c r="K576" s="247">
        <v>20687.5</v>
      </c>
      <c r="L576" s="287">
        <f t="shared" si="70"/>
        <v>0</v>
      </c>
    </row>
    <row r="577" spans="1:12" ht="24" x14ac:dyDescent="0.2">
      <c r="A577" s="189" t="s">
        <v>966</v>
      </c>
      <c r="B577" s="189"/>
      <c r="C577" s="189" t="s">
        <v>512</v>
      </c>
      <c r="D577" s="189" t="s">
        <v>531</v>
      </c>
      <c r="E577" s="189" t="s">
        <v>965</v>
      </c>
      <c r="F577" s="189"/>
      <c r="G577" s="247">
        <v>15759.1</v>
      </c>
      <c r="H577" s="247">
        <v>15759.1</v>
      </c>
      <c r="I577" s="248">
        <f t="shared" si="69"/>
        <v>0</v>
      </c>
      <c r="J577" s="191">
        <v>15759.1</v>
      </c>
      <c r="K577" s="247">
        <v>15759.1</v>
      </c>
      <c r="L577" s="287">
        <f t="shared" si="70"/>
        <v>0</v>
      </c>
    </row>
    <row r="578" spans="1:12" ht="24" x14ac:dyDescent="0.2">
      <c r="A578" s="189" t="s">
        <v>1347</v>
      </c>
      <c r="B578" s="189"/>
      <c r="C578" s="189" t="s">
        <v>512</v>
      </c>
      <c r="D578" s="189" t="s">
        <v>531</v>
      </c>
      <c r="E578" s="189" t="s">
        <v>965</v>
      </c>
      <c r="F578" s="189" t="s">
        <v>535</v>
      </c>
      <c r="G578" s="247">
        <v>15759.1</v>
      </c>
      <c r="H578" s="247">
        <v>15759.1</v>
      </c>
      <c r="I578" s="248">
        <f t="shared" si="69"/>
        <v>0</v>
      </c>
      <c r="J578" s="191">
        <v>15759.1</v>
      </c>
      <c r="K578" s="247">
        <v>15759.1</v>
      </c>
      <c r="L578" s="287">
        <f t="shared" si="70"/>
        <v>0</v>
      </c>
    </row>
    <row r="579" spans="1:12" ht="24" x14ac:dyDescent="0.2">
      <c r="A579" s="189" t="s">
        <v>534</v>
      </c>
      <c r="B579" s="189"/>
      <c r="C579" s="189" t="s">
        <v>512</v>
      </c>
      <c r="D579" s="189" t="s">
        <v>531</v>
      </c>
      <c r="E579" s="189" t="s">
        <v>965</v>
      </c>
      <c r="F579" s="189" t="s">
        <v>529</v>
      </c>
      <c r="G579" s="247">
        <v>15759.1</v>
      </c>
      <c r="H579" s="247">
        <v>15759.1</v>
      </c>
      <c r="I579" s="248">
        <f t="shared" si="69"/>
        <v>0</v>
      </c>
      <c r="J579" s="191">
        <v>15759.1</v>
      </c>
      <c r="K579" s="247">
        <v>15759.1</v>
      </c>
      <c r="L579" s="287">
        <f t="shared" si="70"/>
        <v>0</v>
      </c>
    </row>
    <row r="580" spans="1:12" ht="24" x14ac:dyDescent="0.2">
      <c r="A580" s="189" t="s">
        <v>964</v>
      </c>
      <c r="B580" s="189"/>
      <c r="C580" s="189" t="s">
        <v>512</v>
      </c>
      <c r="D580" s="189" t="s">
        <v>531</v>
      </c>
      <c r="E580" s="189" t="s">
        <v>963</v>
      </c>
      <c r="F580" s="189"/>
      <c r="G580" s="247">
        <v>6000</v>
      </c>
      <c r="H580" s="247">
        <v>6000</v>
      </c>
      <c r="I580" s="248">
        <f t="shared" si="69"/>
        <v>0</v>
      </c>
      <c r="J580" s="191">
        <v>6000</v>
      </c>
      <c r="K580" s="247">
        <v>6000</v>
      </c>
      <c r="L580" s="287">
        <f t="shared" si="70"/>
        <v>0</v>
      </c>
    </row>
    <row r="581" spans="1:12" ht="24" x14ac:dyDescent="0.2">
      <c r="A581" s="189" t="s">
        <v>547</v>
      </c>
      <c r="B581" s="189"/>
      <c r="C581" s="189" t="s">
        <v>512</v>
      </c>
      <c r="D581" s="189" t="s">
        <v>531</v>
      </c>
      <c r="E581" s="189" t="s">
        <v>963</v>
      </c>
      <c r="F581" s="189" t="s">
        <v>519</v>
      </c>
      <c r="G581" s="247">
        <v>6000</v>
      </c>
      <c r="H581" s="247">
        <v>6000</v>
      </c>
      <c r="I581" s="248">
        <f t="shared" si="69"/>
        <v>0</v>
      </c>
      <c r="J581" s="191">
        <v>6000</v>
      </c>
      <c r="K581" s="247">
        <v>6000</v>
      </c>
      <c r="L581" s="287">
        <f t="shared" si="70"/>
        <v>0</v>
      </c>
    </row>
    <row r="582" spans="1:12" x14ac:dyDescent="0.2">
      <c r="A582" s="189" t="s">
        <v>571</v>
      </c>
      <c r="B582" s="189"/>
      <c r="C582" s="189" t="s">
        <v>512</v>
      </c>
      <c r="D582" s="189" t="s">
        <v>531</v>
      </c>
      <c r="E582" s="189" t="s">
        <v>963</v>
      </c>
      <c r="F582" s="189" t="s">
        <v>522</v>
      </c>
      <c r="G582" s="247">
        <v>6000</v>
      </c>
      <c r="H582" s="247">
        <v>6000</v>
      </c>
      <c r="I582" s="248">
        <f t="shared" si="69"/>
        <v>0</v>
      </c>
      <c r="J582" s="191">
        <v>6000</v>
      </c>
      <c r="K582" s="247">
        <v>6000</v>
      </c>
      <c r="L582" s="287">
        <f t="shared" si="70"/>
        <v>0</v>
      </c>
    </row>
    <row r="583" spans="1:12" ht="24" x14ac:dyDescent="0.2">
      <c r="A583" s="189" t="s">
        <v>962</v>
      </c>
      <c r="B583" s="189"/>
      <c r="C583" s="189" t="s">
        <v>512</v>
      </c>
      <c r="D583" s="189" t="s">
        <v>531</v>
      </c>
      <c r="E583" s="189" t="s">
        <v>961</v>
      </c>
      <c r="F583" s="189"/>
      <c r="G583" s="247">
        <v>190756.5</v>
      </c>
      <c r="H583" s="247">
        <v>190756.5</v>
      </c>
      <c r="I583" s="248">
        <f t="shared" si="69"/>
        <v>0</v>
      </c>
      <c r="J583" s="191">
        <v>190756.5</v>
      </c>
      <c r="K583" s="247">
        <v>190756.5</v>
      </c>
      <c r="L583" s="287">
        <f t="shared" si="70"/>
        <v>0</v>
      </c>
    </row>
    <row r="584" spans="1:12" ht="24" x14ac:dyDescent="0.2">
      <c r="A584" s="189" t="s">
        <v>1347</v>
      </c>
      <c r="B584" s="189"/>
      <c r="C584" s="189" t="s">
        <v>512</v>
      </c>
      <c r="D584" s="189" t="s">
        <v>531</v>
      </c>
      <c r="E584" s="189" t="s">
        <v>961</v>
      </c>
      <c r="F584" s="189" t="s">
        <v>535</v>
      </c>
      <c r="G584" s="247">
        <v>190756.5</v>
      </c>
      <c r="H584" s="247">
        <v>190756.5</v>
      </c>
      <c r="I584" s="248">
        <f t="shared" si="69"/>
        <v>0</v>
      </c>
      <c r="J584" s="191">
        <v>190756.5</v>
      </c>
      <c r="K584" s="247">
        <v>190756.5</v>
      </c>
      <c r="L584" s="287">
        <f t="shared" si="70"/>
        <v>0</v>
      </c>
    </row>
    <row r="585" spans="1:12" ht="24" x14ac:dyDescent="0.2">
      <c r="A585" s="189" t="s">
        <v>534</v>
      </c>
      <c r="B585" s="189"/>
      <c r="C585" s="189" t="s">
        <v>512</v>
      </c>
      <c r="D585" s="189" t="s">
        <v>531</v>
      </c>
      <c r="E585" s="189" t="s">
        <v>961</v>
      </c>
      <c r="F585" s="189" t="s">
        <v>529</v>
      </c>
      <c r="G585" s="247">
        <v>190756.5</v>
      </c>
      <c r="H585" s="247">
        <v>190756.5</v>
      </c>
      <c r="I585" s="248">
        <f t="shared" si="69"/>
        <v>0</v>
      </c>
      <c r="J585" s="191">
        <v>190756.5</v>
      </c>
      <c r="K585" s="247">
        <v>190756.5</v>
      </c>
      <c r="L585" s="287">
        <f t="shared" si="70"/>
        <v>0</v>
      </c>
    </row>
    <row r="586" spans="1:12" ht="24" x14ac:dyDescent="0.2">
      <c r="A586" s="189" t="s">
        <v>960</v>
      </c>
      <c r="B586" s="189"/>
      <c r="C586" s="189" t="s">
        <v>512</v>
      </c>
      <c r="D586" s="189" t="s">
        <v>531</v>
      </c>
      <c r="E586" s="189" t="s">
        <v>959</v>
      </c>
      <c r="F586" s="189"/>
      <c r="G586" s="247">
        <v>17331</v>
      </c>
      <c r="H586" s="247">
        <v>17331</v>
      </c>
      <c r="I586" s="248">
        <f t="shared" si="69"/>
        <v>0</v>
      </c>
      <c r="J586" s="191">
        <v>17331</v>
      </c>
      <c r="K586" s="247">
        <v>17331</v>
      </c>
      <c r="L586" s="287">
        <f t="shared" si="70"/>
        <v>0</v>
      </c>
    </row>
    <row r="587" spans="1:12" ht="24" x14ac:dyDescent="0.2">
      <c r="A587" s="189" t="s">
        <v>1347</v>
      </c>
      <c r="B587" s="189"/>
      <c r="C587" s="189" t="s">
        <v>512</v>
      </c>
      <c r="D587" s="189" t="s">
        <v>531</v>
      </c>
      <c r="E587" s="189" t="s">
        <v>959</v>
      </c>
      <c r="F587" s="189" t="s">
        <v>535</v>
      </c>
      <c r="G587" s="247">
        <v>17331</v>
      </c>
      <c r="H587" s="247">
        <v>17331</v>
      </c>
      <c r="I587" s="248">
        <f t="shared" si="69"/>
        <v>0</v>
      </c>
      <c r="J587" s="191">
        <v>17331</v>
      </c>
      <c r="K587" s="247">
        <v>17331</v>
      </c>
      <c r="L587" s="287">
        <f t="shared" si="70"/>
        <v>0</v>
      </c>
    </row>
    <row r="588" spans="1:12" ht="24" x14ac:dyDescent="0.2">
      <c r="A588" s="189" t="s">
        <v>534</v>
      </c>
      <c r="B588" s="189"/>
      <c r="C588" s="189" t="s">
        <v>512</v>
      </c>
      <c r="D588" s="189" t="s">
        <v>531</v>
      </c>
      <c r="E588" s="189" t="s">
        <v>959</v>
      </c>
      <c r="F588" s="189" t="s">
        <v>529</v>
      </c>
      <c r="G588" s="247">
        <v>17331</v>
      </c>
      <c r="H588" s="247">
        <v>17331</v>
      </c>
      <c r="I588" s="248">
        <f t="shared" si="69"/>
        <v>0</v>
      </c>
      <c r="J588" s="191">
        <v>17331</v>
      </c>
      <c r="K588" s="247">
        <v>17331</v>
      </c>
      <c r="L588" s="287">
        <f t="shared" si="70"/>
        <v>0</v>
      </c>
    </row>
    <row r="589" spans="1:12" ht="24" x14ac:dyDescent="0.2">
      <c r="A589" s="189" t="s">
        <v>958</v>
      </c>
      <c r="B589" s="189"/>
      <c r="C589" s="189" t="s">
        <v>512</v>
      </c>
      <c r="D589" s="189" t="s">
        <v>531</v>
      </c>
      <c r="E589" s="189" t="s">
        <v>957</v>
      </c>
      <c r="F589" s="189"/>
      <c r="G589" s="247">
        <v>3000</v>
      </c>
      <c r="H589" s="247">
        <v>3000</v>
      </c>
      <c r="I589" s="248">
        <f t="shared" si="69"/>
        <v>0</v>
      </c>
      <c r="J589" s="191">
        <v>3000</v>
      </c>
      <c r="K589" s="247">
        <v>3000</v>
      </c>
      <c r="L589" s="287">
        <f t="shared" si="70"/>
        <v>0</v>
      </c>
    </row>
    <row r="590" spans="1:12" ht="24" x14ac:dyDescent="0.2">
      <c r="A590" s="189" t="s">
        <v>1347</v>
      </c>
      <c r="B590" s="189"/>
      <c r="C590" s="189" t="s">
        <v>512</v>
      </c>
      <c r="D590" s="189" t="s">
        <v>531</v>
      </c>
      <c r="E590" s="189" t="s">
        <v>957</v>
      </c>
      <c r="F590" s="189" t="s">
        <v>535</v>
      </c>
      <c r="G590" s="247">
        <v>3000</v>
      </c>
      <c r="H590" s="247">
        <v>3000</v>
      </c>
      <c r="I590" s="248">
        <f t="shared" si="69"/>
        <v>0</v>
      </c>
      <c r="J590" s="191">
        <v>3000</v>
      </c>
      <c r="K590" s="247">
        <v>3000</v>
      </c>
      <c r="L590" s="287">
        <f t="shared" si="70"/>
        <v>0</v>
      </c>
    </row>
    <row r="591" spans="1:12" ht="24" x14ac:dyDescent="0.2">
      <c r="A591" s="189" t="s">
        <v>534</v>
      </c>
      <c r="B591" s="189"/>
      <c r="C591" s="189" t="s">
        <v>512</v>
      </c>
      <c r="D591" s="189" t="s">
        <v>531</v>
      </c>
      <c r="E591" s="189" t="s">
        <v>957</v>
      </c>
      <c r="F591" s="189" t="s">
        <v>529</v>
      </c>
      <c r="G591" s="247">
        <v>3000</v>
      </c>
      <c r="H591" s="247">
        <v>3000</v>
      </c>
      <c r="I591" s="248">
        <f t="shared" si="69"/>
        <v>0</v>
      </c>
      <c r="J591" s="191">
        <v>3000</v>
      </c>
      <c r="K591" s="247">
        <v>3000</v>
      </c>
      <c r="L591" s="287">
        <f t="shared" si="70"/>
        <v>0</v>
      </c>
    </row>
    <row r="592" spans="1:12" ht="24" x14ac:dyDescent="0.2">
      <c r="A592" s="189" t="s">
        <v>1532</v>
      </c>
      <c r="B592" s="189"/>
      <c r="C592" s="189" t="s">
        <v>512</v>
      </c>
      <c r="D592" s="189" t="s">
        <v>531</v>
      </c>
      <c r="E592" s="189" t="s">
        <v>956</v>
      </c>
      <c r="F592" s="189"/>
      <c r="G592" s="247">
        <f>G593</f>
        <v>372.6</v>
      </c>
      <c r="H592" s="247">
        <f>H593</f>
        <v>372.6</v>
      </c>
      <c r="I592" s="248">
        <f t="shared" si="69"/>
        <v>0</v>
      </c>
      <c r="J592" s="191">
        <f t="shared" ref="J592:K592" si="71">J593</f>
        <v>372.6</v>
      </c>
      <c r="K592" s="247">
        <f t="shared" si="71"/>
        <v>372.6</v>
      </c>
      <c r="L592" s="287">
        <f t="shared" si="70"/>
        <v>0</v>
      </c>
    </row>
    <row r="593" spans="1:12" s="390" customFormat="1" ht="24" x14ac:dyDescent="0.2">
      <c r="A593" s="189" t="s">
        <v>547</v>
      </c>
      <c r="B593" s="189"/>
      <c r="C593" s="189" t="s">
        <v>512</v>
      </c>
      <c r="D593" s="189" t="s">
        <v>531</v>
      </c>
      <c r="E593" s="189" t="s">
        <v>956</v>
      </c>
      <c r="F593" s="189">
        <v>600</v>
      </c>
      <c r="G593" s="247">
        <f>G594</f>
        <v>372.6</v>
      </c>
      <c r="H593" s="247">
        <f>H594</f>
        <v>372.6</v>
      </c>
      <c r="I593" s="248">
        <f t="shared" si="69"/>
        <v>0</v>
      </c>
      <c r="J593" s="191">
        <f>J594</f>
        <v>372.6</v>
      </c>
      <c r="K593" s="247">
        <f>K594</f>
        <v>372.6</v>
      </c>
      <c r="L593" s="287">
        <f t="shared" si="70"/>
        <v>0</v>
      </c>
    </row>
    <row r="594" spans="1:12" s="390" customFormat="1" x14ac:dyDescent="0.2">
      <c r="A594" s="189" t="s">
        <v>571</v>
      </c>
      <c r="B594" s="189"/>
      <c r="C594" s="189" t="s">
        <v>512</v>
      </c>
      <c r="D594" s="189" t="s">
        <v>531</v>
      </c>
      <c r="E594" s="189" t="s">
        <v>956</v>
      </c>
      <c r="F594" s="189">
        <v>610</v>
      </c>
      <c r="G594" s="247">
        <f>40+372.6-40</f>
        <v>372.6</v>
      </c>
      <c r="H594" s="247">
        <f>40+372.6-40</f>
        <v>372.6</v>
      </c>
      <c r="I594" s="248">
        <f t="shared" si="69"/>
        <v>0</v>
      </c>
      <c r="J594" s="191">
        <f>40+372.6-40</f>
        <v>372.6</v>
      </c>
      <c r="K594" s="247">
        <f>40+372.6-40</f>
        <v>372.6</v>
      </c>
      <c r="L594" s="287">
        <f t="shared" si="70"/>
        <v>0</v>
      </c>
    </row>
    <row r="595" spans="1:12" ht="24" x14ac:dyDescent="0.2">
      <c r="A595" s="189" t="s">
        <v>948</v>
      </c>
      <c r="B595" s="189"/>
      <c r="C595" s="189" t="s">
        <v>512</v>
      </c>
      <c r="D595" s="189" t="s">
        <v>531</v>
      </c>
      <c r="E595" s="189" t="s">
        <v>955</v>
      </c>
      <c r="F595" s="189"/>
      <c r="G595" s="247">
        <v>329.1</v>
      </c>
      <c r="H595" s="247">
        <v>329.1</v>
      </c>
      <c r="I595" s="248">
        <f t="shared" si="69"/>
        <v>0</v>
      </c>
      <c r="J595" s="191">
        <v>329.1</v>
      </c>
      <c r="K595" s="247">
        <v>329.1</v>
      </c>
      <c r="L595" s="287">
        <f t="shared" si="70"/>
        <v>0</v>
      </c>
    </row>
    <row r="596" spans="1:12" ht="36" x14ac:dyDescent="0.2">
      <c r="A596" s="189" t="s">
        <v>1348</v>
      </c>
      <c r="B596" s="189"/>
      <c r="C596" s="189" t="s">
        <v>512</v>
      </c>
      <c r="D596" s="189" t="s">
        <v>531</v>
      </c>
      <c r="E596" s="189" t="s">
        <v>955</v>
      </c>
      <c r="F596" s="189" t="s">
        <v>556</v>
      </c>
      <c r="G596" s="247">
        <v>295.8</v>
      </c>
      <c r="H596" s="247">
        <v>295.8</v>
      </c>
      <c r="I596" s="248">
        <f t="shared" si="69"/>
        <v>0</v>
      </c>
      <c r="J596" s="191">
        <v>295.8</v>
      </c>
      <c r="K596" s="247">
        <v>295.8</v>
      </c>
      <c r="L596" s="287">
        <f t="shared" si="70"/>
        <v>0</v>
      </c>
    </row>
    <row r="597" spans="1:12" x14ac:dyDescent="0.2">
      <c r="A597" s="189" t="s">
        <v>555</v>
      </c>
      <c r="B597" s="189"/>
      <c r="C597" s="189" t="s">
        <v>512</v>
      </c>
      <c r="D597" s="189" t="s">
        <v>531</v>
      </c>
      <c r="E597" s="189" t="s">
        <v>955</v>
      </c>
      <c r="F597" s="189" t="s">
        <v>554</v>
      </c>
      <c r="G597" s="247">
        <v>295.8</v>
      </c>
      <c r="H597" s="247">
        <v>295.8</v>
      </c>
      <c r="I597" s="248">
        <f t="shared" si="69"/>
        <v>0</v>
      </c>
      <c r="J597" s="191">
        <v>295.8</v>
      </c>
      <c r="K597" s="247">
        <v>295.8</v>
      </c>
      <c r="L597" s="287">
        <f t="shared" si="70"/>
        <v>0</v>
      </c>
    </row>
    <row r="598" spans="1:12" ht="24" x14ac:dyDescent="0.2">
      <c r="A598" s="189" t="s">
        <v>1347</v>
      </c>
      <c r="B598" s="189"/>
      <c r="C598" s="189" t="s">
        <v>512</v>
      </c>
      <c r="D598" s="189" t="s">
        <v>531</v>
      </c>
      <c r="E598" s="189" t="s">
        <v>955</v>
      </c>
      <c r="F598" s="189" t="s">
        <v>535</v>
      </c>
      <c r="G598" s="247">
        <v>33.299999999999997</v>
      </c>
      <c r="H598" s="247">
        <v>33.299999999999997</v>
      </c>
      <c r="I598" s="248">
        <f t="shared" si="69"/>
        <v>0</v>
      </c>
      <c r="J598" s="191">
        <v>33.299999999999997</v>
      </c>
      <c r="K598" s="247">
        <v>33.299999999999997</v>
      </c>
      <c r="L598" s="287">
        <f t="shared" si="70"/>
        <v>0</v>
      </c>
    </row>
    <row r="599" spans="1:12" ht="24" x14ac:dyDescent="0.2">
      <c r="A599" s="189" t="s">
        <v>534</v>
      </c>
      <c r="B599" s="189"/>
      <c r="C599" s="189" t="s">
        <v>512</v>
      </c>
      <c r="D599" s="189" t="s">
        <v>531</v>
      </c>
      <c r="E599" s="189" t="s">
        <v>955</v>
      </c>
      <c r="F599" s="189" t="s">
        <v>529</v>
      </c>
      <c r="G599" s="247">
        <v>33.299999999999997</v>
      </c>
      <c r="H599" s="247">
        <v>33.299999999999997</v>
      </c>
      <c r="I599" s="248">
        <f t="shared" si="69"/>
        <v>0</v>
      </c>
      <c r="J599" s="191">
        <v>33.299999999999997</v>
      </c>
      <c r="K599" s="247">
        <v>33.299999999999997</v>
      </c>
      <c r="L599" s="287">
        <f t="shared" si="70"/>
        <v>0</v>
      </c>
    </row>
    <row r="600" spans="1:12" ht="24" x14ac:dyDescent="0.2">
      <c r="A600" s="189" t="s">
        <v>946</v>
      </c>
      <c r="B600" s="189"/>
      <c r="C600" s="189" t="s">
        <v>512</v>
      </c>
      <c r="D600" s="189" t="s">
        <v>531</v>
      </c>
      <c r="E600" s="189" t="s">
        <v>954</v>
      </c>
      <c r="F600" s="189"/>
      <c r="G600" s="247">
        <v>184.1</v>
      </c>
      <c r="H600" s="247">
        <v>184.1</v>
      </c>
      <c r="I600" s="248">
        <f t="shared" si="69"/>
        <v>0</v>
      </c>
      <c r="J600" s="191">
        <v>184.1</v>
      </c>
      <c r="K600" s="247">
        <v>184.1</v>
      </c>
      <c r="L600" s="287">
        <f t="shared" si="70"/>
        <v>0</v>
      </c>
    </row>
    <row r="601" spans="1:12" ht="36" x14ac:dyDescent="0.2">
      <c r="A601" s="189" t="s">
        <v>1348</v>
      </c>
      <c r="B601" s="189"/>
      <c r="C601" s="189" t="s">
        <v>512</v>
      </c>
      <c r="D601" s="189" t="s">
        <v>531</v>
      </c>
      <c r="E601" s="189" t="s">
        <v>954</v>
      </c>
      <c r="F601" s="189" t="s">
        <v>556</v>
      </c>
      <c r="G601" s="247">
        <v>117.4</v>
      </c>
      <c r="H601" s="247">
        <v>117.4</v>
      </c>
      <c r="I601" s="248">
        <f t="shared" si="69"/>
        <v>0</v>
      </c>
      <c r="J601" s="191">
        <v>117.4</v>
      </c>
      <c r="K601" s="247">
        <v>117.4</v>
      </c>
      <c r="L601" s="287">
        <f t="shared" si="70"/>
        <v>0</v>
      </c>
    </row>
    <row r="602" spans="1:12" x14ac:dyDescent="0.2">
      <c r="A602" s="189" t="s">
        <v>555</v>
      </c>
      <c r="B602" s="189"/>
      <c r="C602" s="189" t="s">
        <v>512</v>
      </c>
      <c r="D602" s="189" t="s">
        <v>531</v>
      </c>
      <c r="E602" s="189" t="s">
        <v>954</v>
      </c>
      <c r="F602" s="189" t="s">
        <v>554</v>
      </c>
      <c r="G602" s="247">
        <v>117.4</v>
      </c>
      <c r="H602" s="247">
        <v>117.4</v>
      </c>
      <c r="I602" s="248">
        <f t="shared" si="69"/>
        <v>0</v>
      </c>
      <c r="J602" s="191">
        <v>117.4</v>
      </c>
      <c r="K602" s="247">
        <v>117.4</v>
      </c>
      <c r="L602" s="287">
        <f t="shared" si="70"/>
        <v>0</v>
      </c>
    </row>
    <row r="603" spans="1:12" ht="24" x14ac:dyDescent="0.2">
      <c r="A603" s="189" t="s">
        <v>1347</v>
      </c>
      <c r="B603" s="189"/>
      <c r="C603" s="189" t="s">
        <v>512</v>
      </c>
      <c r="D603" s="189" t="s">
        <v>531</v>
      </c>
      <c r="E603" s="189" t="s">
        <v>954</v>
      </c>
      <c r="F603" s="189" t="s">
        <v>535</v>
      </c>
      <c r="G603" s="247">
        <v>66.7</v>
      </c>
      <c r="H603" s="247">
        <v>66.7</v>
      </c>
      <c r="I603" s="248">
        <f t="shared" si="69"/>
        <v>0</v>
      </c>
      <c r="J603" s="191">
        <v>66.7</v>
      </c>
      <c r="K603" s="247">
        <v>66.7</v>
      </c>
      <c r="L603" s="287">
        <f t="shared" si="70"/>
        <v>0</v>
      </c>
    </row>
    <row r="604" spans="1:12" ht="24" x14ac:dyDescent="0.2">
      <c r="A604" s="189" t="s">
        <v>534</v>
      </c>
      <c r="B604" s="189"/>
      <c r="C604" s="189" t="s">
        <v>512</v>
      </c>
      <c r="D604" s="189" t="s">
        <v>531</v>
      </c>
      <c r="E604" s="189" t="s">
        <v>954</v>
      </c>
      <c r="F604" s="189" t="s">
        <v>529</v>
      </c>
      <c r="G604" s="247">
        <v>66.7</v>
      </c>
      <c r="H604" s="247">
        <v>66.7</v>
      </c>
      <c r="I604" s="248">
        <f t="shared" si="69"/>
        <v>0</v>
      </c>
      <c r="J604" s="191">
        <v>66.7</v>
      </c>
      <c r="K604" s="247">
        <v>66.7</v>
      </c>
      <c r="L604" s="287">
        <f t="shared" si="70"/>
        <v>0</v>
      </c>
    </row>
    <row r="605" spans="1:12" ht="24" x14ac:dyDescent="0.2">
      <c r="A605" s="189" t="s">
        <v>953</v>
      </c>
      <c r="B605" s="189"/>
      <c r="C605" s="189" t="s">
        <v>512</v>
      </c>
      <c r="D605" s="189" t="s">
        <v>531</v>
      </c>
      <c r="E605" s="189" t="s">
        <v>952</v>
      </c>
      <c r="F605" s="189"/>
      <c r="G605" s="247">
        <v>22826.400000000001</v>
      </c>
      <c r="H605" s="247">
        <v>22826.400000000001</v>
      </c>
      <c r="I605" s="248">
        <f t="shared" si="69"/>
        <v>0</v>
      </c>
      <c r="J605" s="191">
        <v>22826.400000000001</v>
      </c>
      <c r="K605" s="247">
        <v>22826.400000000001</v>
      </c>
      <c r="L605" s="287">
        <f t="shared" si="70"/>
        <v>0</v>
      </c>
    </row>
    <row r="606" spans="1:12" ht="24" x14ac:dyDescent="0.2">
      <c r="A606" s="189" t="s">
        <v>547</v>
      </c>
      <c r="B606" s="189"/>
      <c r="C606" s="189" t="s">
        <v>512</v>
      </c>
      <c r="D606" s="189" t="s">
        <v>531</v>
      </c>
      <c r="E606" s="189" t="s">
        <v>952</v>
      </c>
      <c r="F606" s="189" t="s">
        <v>519</v>
      </c>
      <c r="G606" s="247">
        <v>22826.400000000001</v>
      </c>
      <c r="H606" s="247">
        <v>22826.400000000001</v>
      </c>
      <c r="I606" s="248">
        <f t="shared" si="69"/>
        <v>0</v>
      </c>
      <c r="J606" s="191">
        <v>22826.400000000001</v>
      </c>
      <c r="K606" s="247">
        <v>22826.400000000001</v>
      </c>
      <c r="L606" s="287">
        <f t="shared" si="70"/>
        <v>0</v>
      </c>
    </row>
    <row r="607" spans="1:12" x14ac:dyDescent="0.2">
      <c r="A607" s="189" t="s">
        <v>571</v>
      </c>
      <c r="B607" s="189"/>
      <c r="C607" s="189" t="s">
        <v>512</v>
      </c>
      <c r="D607" s="189" t="s">
        <v>531</v>
      </c>
      <c r="E607" s="189" t="s">
        <v>952</v>
      </c>
      <c r="F607" s="189" t="s">
        <v>522</v>
      </c>
      <c r="G607" s="247">
        <v>22826.400000000001</v>
      </c>
      <c r="H607" s="247">
        <v>22826.400000000001</v>
      </c>
      <c r="I607" s="248">
        <f t="shared" si="69"/>
        <v>0</v>
      </c>
      <c r="J607" s="191">
        <v>22826.400000000001</v>
      </c>
      <c r="K607" s="247">
        <v>22826.400000000001</v>
      </c>
      <c r="L607" s="287">
        <f t="shared" si="70"/>
        <v>0</v>
      </c>
    </row>
    <row r="608" spans="1:12" ht="24" x14ac:dyDescent="0.2">
      <c r="A608" s="189" t="s">
        <v>951</v>
      </c>
      <c r="B608" s="189"/>
      <c r="C608" s="189" t="s">
        <v>512</v>
      </c>
      <c r="D608" s="189" t="s">
        <v>531</v>
      </c>
      <c r="E608" s="189" t="s">
        <v>950</v>
      </c>
      <c r="F608" s="189"/>
      <c r="G608" s="247">
        <v>39869</v>
      </c>
      <c r="H608" s="247">
        <v>39869</v>
      </c>
      <c r="I608" s="248">
        <f t="shared" si="69"/>
        <v>0</v>
      </c>
      <c r="J608" s="191">
        <v>39869</v>
      </c>
      <c r="K608" s="247">
        <v>39869</v>
      </c>
      <c r="L608" s="287">
        <f t="shared" si="70"/>
        <v>0</v>
      </c>
    </row>
    <row r="609" spans="1:12" ht="24" x14ac:dyDescent="0.2">
      <c r="A609" s="189" t="s">
        <v>547</v>
      </c>
      <c r="B609" s="189"/>
      <c r="C609" s="189" t="s">
        <v>512</v>
      </c>
      <c r="D609" s="189" t="s">
        <v>531</v>
      </c>
      <c r="E609" s="189" t="s">
        <v>950</v>
      </c>
      <c r="F609" s="189" t="s">
        <v>519</v>
      </c>
      <c r="G609" s="247">
        <v>39869</v>
      </c>
      <c r="H609" s="247">
        <v>39869</v>
      </c>
      <c r="I609" s="248">
        <f t="shared" si="69"/>
        <v>0</v>
      </c>
      <c r="J609" s="191">
        <v>39869</v>
      </c>
      <c r="K609" s="247">
        <v>39869</v>
      </c>
      <c r="L609" s="287">
        <f t="shared" si="70"/>
        <v>0</v>
      </c>
    </row>
    <row r="610" spans="1:12" x14ac:dyDescent="0.2">
      <c r="A610" s="189" t="s">
        <v>571</v>
      </c>
      <c r="B610" s="189"/>
      <c r="C610" s="189" t="s">
        <v>512</v>
      </c>
      <c r="D610" s="189" t="s">
        <v>531</v>
      </c>
      <c r="E610" s="189" t="s">
        <v>950</v>
      </c>
      <c r="F610" s="189" t="s">
        <v>522</v>
      </c>
      <c r="G610" s="247">
        <v>39869</v>
      </c>
      <c r="H610" s="247">
        <v>39869</v>
      </c>
      <c r="I610" s="248">
        <f t="shared" si="69"/>
        <v>0</v>
      </c>
      <c r="J610" s="191">
        <v>39869</v>
      </c>
      <c r="K610" s="247">
        <v>39869</v>
      </c>
      <c r="L610" s="287">
        <f t="shared" si="70"/>
        <v>0</v>
      </c>
    </row>
    <row r="611" spans="1:12" ht="24" x14ac:dyDescent="0.2">
      <c r="A611" s="189" t="s">
        <v>1532</v>
      </c>
      <c r="B611" s="189"/>
      <c r="C611" s="189" t="s">
        <v>512</v>
      </c>
      <c r="D611" s="189" t="s">
        <v>531</v>
      </c>
      <c r="E611" s="189" t="s">
        <v>949</v>
      </c>
      <c r="F611" s="189"/>
      <c r="G611" s="247">
        <f>G612</f>
        <v>148612.29999999999</v>
      </c>
      <c r="H611" s="247">
        <f>H612</f>
        <v>148612.29999999999</v>
      </c>
      <c r="I611" s="248">
        <f t="shared" si="69"/>
        <v>0</v>
      </c>
      <c r="J611" s="191">
        <f t="shared" ref="J611:K611" si="72">J612</f>
        <v>148612.29999999999</v>
      </c>
      <c r="K611" s="247">
        <f t="shared" si="72"/>
        <v>148612.29999999999</v>
      </c>
      <c r="L611" s="287">
        <f t="shared" si="70"/>
        <v>0</v>
      </c>
    </row>
    <row r="612" spans="1:12" s="390" customFormat="1" ht="24" x14ac:dyDescent="0.2">
      <c r="A612" s="189" t="s">
        <v>547</v>
      </c>
      <c r="B612" s="189"/>
      <c r="C612" s="189" t="s">
        <v>512</v>
      </c>
      <c r="D612" s="189" t="s">
        <v>531</v>
      </c>
      <c r="E612" s="189" t="s">
        <v>949</v>
      </c>
      <c r="F612" s="189" t="s">
        <v>519</v>
      </c>
      <c r="G612" s="247">
        <f>G613</f>
        <v>148612.29999999999</v>
      </c>
      <c r="H612" s="247">
        <f>H613</f>
        <v>148612.29999999999</v>
      </c>
      <c r="I612" s="248">
        <f t="shared" si="69"/>
        <v>0</v>
      </c>
      <c r="J612" s="191">
        <f>J613</f>
        <v>148612.29999999999</v>
      </c>
      <c r="K612" s="247">
        <f>K613</f>
        <v>148612.29999999999</v>
      </c>
      <c r="L612" s="287">
        <f t="shared" si="70"/>
        <v>0</v>
      </c>
    </row>
    <row r="613" spans="1:12" s="390" customFormat="1" x14ac:dyDescent="0.2">
      <c r="A613" s="189" t="s">
        <v>571</v>
      </c>
      <c r="B613" s="189"/>
      <c r="C613" s="189" t="s">
        <v>512</v>
      </c>
      <c r="D613" s="189" t="s">
        <v>531</v>
      </c>
      <c r="E613" s="189" t="s">
        <v>949</v>
      </c>
      <c r="F613" s="189" t="s">
        <v>522</v>
      </c>
      <c r="G613" s="247">
        <f>100107.5+45892.9+2611.9</f>
        <v>148612.29999999999</v>
      </c>
      <c r="H613" s="247">
        <f>100107.5+45892.9+2611.9</f>
        <v>148612.29999999999</v>
      </c>
      <c r="I613" s="248">
        <f t="shared" si="69"/>
        <v>0</v>
      </c>
      <c r="J613" s="191">
        <f>100107.5+45892.9+2611.9</f>
        <v>148612.29999999999</v>
      </c>
      <c r="K613" s="247">
        <f>100107.5+45892.9+2611.9</f>
        <v>148612.29999999999</v>
      </c>
      <c r="L613" s="287">
        <f t="shared" si="70"/>
        <v>0</v>
      </c>
    </row>
    <row r="614" spans="1:12" ht="24" x14ac:dyDescent="0.2">
      <c r="A614" s="189" t="s">
        <v>948</v>
      </c>
      <c r="B614" s="189"/>
      <c r="C614" s="189" t="s">
        <v>512</v>
      </c>
      <c r="D614" s="189" t="s">
        <v>531</v>
      </c>
      <c r="E614" s="189" t="s">
        <v>947</v>
      </c>
      <c r="F614" s="189"/>
      <c r="G614" s="247">
        <v>27217.4</v>
      </c>
      <c r="H614" s="247">
        <v>27217.4</v>
      </c>
      <c r="I614" s="248">
        <f t="shared" si="69"/>
        <v>0</v>
      </c>
      <c r="J614" s="191">
        <v>27217.4</v>
      </c>
      <c r="K614" s="247">
        <v>27217.4</v>
      </c>
      <c r="L614" s="287">
        <f t="shared" si="70"/>
        <v>0</v>
      </c>
    </row>
    <row r="615" spans="1:12" ht="36" x14ac:dyDescent="0.2">
      <c r="A615" s="189" t="s">
        <v>1348</v>
      </c>
      <c r="B615" s="189"/>
      <c r="C615" s="189" t="s">
        <v>512</v>
      </c>
      <c r="D615" s="189" t="s">
        <v>531</v>
      </c>
      <c r="E615" s="189" t="s">
        <v>947</v>
      </c>
      <c r="F615" s="189" t="s">
        <v>556</v>
      </c>
      <c r="G615" s="247">
        <v>22175</v>
      </c>
      <c r="H615" s="247">
        <v>22175</v>
      </c>
      <c r="I615" s="248">
        <f t="shared" si="69"/>
        <v>0</v>
      </c>
      <c r="J615" s="191">
        <v>22175</v>
      </c>
      <c r="K615" s="247">
        <v>22175</v>
      </c>
      <c r="L615" s="287">
        <f t="shared" si="70"/>
        <v>0</v>
      </c>
    </row>
    <row r="616" spans="1:12" x14ac:dyDescent="0.2">
      <c r="A616" s="189" t="s">
        <v>555</v>
      </c>
      <c r="B616" s="189"/>
      <c r="C616" s="189" t="s">
        <v>512</v>
      </c>
      <c r="D616" s="189" t="s">
        <v>531</v>
      </c>
      <c r="E616" s="189" t="s">
        <v>947</v>
      </c>
      <c r="F616" s="189" t="s">
        <v>554</v>
      </c>
      <c r="G616" s="247">
        <v>22175</v>
      </c>
      <c r="H616" s="247">
        <v>22175</v>
      </c>
      <c r="I616" s="248">
        <f t="shared" si="69"/>
        <v>0</v>
      </c>
      <c r="J616" s="191">
        <v>22175</v>
      </c>
      <c r="K616" s="247">
        <v>22175</v>
      </c>
      <c r="L616" s="287">
        <f t="shared" si="70"/>
        <v>0</v>
      </c>
    </row>
    <row r="617" spans="1:12" ht="24" x14ac:dyDescent="0.2">
      <c r="A617" s="189" t="s">
        <v>1347</v>
      </c>
      <c r="B617" s="189"/>
      <c r="C617" s="189" t="s">
        <v>512</v>
      </c>
      <c r="D617" s="189" t="s">
        <v>531</v>
      </c>
      <c r="E617" s="189" t="s">
        <v>947</v>
      </c>
      <c r="F617" s="189" t="s">
        <v>535</v>
      </c>
      <c r="G617" s="247">
        <v>4105</v>
      </c>
      <c r="H617" s="247">
        <v>4105</v>
      </c>
      <c r="I617" s="248">
        <f t="shared" si="69"/>
        <v>0</v>
      </c>
      <c r="J617" s="191">
        <v>4105</v>
      </c>
      <c r="K617" s="247">
        <v>4105</v>
      </c>
      <c r="L617" s="287">
        <f t="shared" si="70"/>
        <v>0</v>
      </c>
    </row>
    <row r="618" spans="1:12" ht="24" x14ac:dyDescent="0.2">
      <c r="A618" s="189" t="s">
        <v>534</v>
      </c>
      <c r="B618" s="189"/>
      <c r="C618" s="189" t="s">
        <v>512</v>
      </c>
      <c r="D618" s="189" t="s">
        <v>531</v>
      </c>
      <c r="E618" s="189" t="s">
        <v>947</v>
      </c>
      <c r="F618" s="189" t="s">
        <v>529</v>
      </c>
      <c r="G618" s="247">
        <v>4105</v>
      </c>
      <c r="H618" s="247">
        <v>4105</v>
      </c>
      <c r="I618" s="248">
        <f t="shared" si="69"/>
        <v>0</v>
      </c>
      <c r="J618" s="191">
        <v>4105</v>
      </c>
      <c r="K618" s="247">
        <v>4105</v>
      </c>
      <c r="L618" s="287">
        <f t="shared" si="70"/>
        <v>0</v>
      </c>
    </row>
    <row r="619" spans="1:12" x14ac:dyDescent="0.2">
      <c r="A619" s="189" t="s">
        <v>615</v>
      </c>
      <c r="B619" s="189"/>
      <c r="C619" s="189" t="s">
        <v>512</v>
      </c>
      <c r="D619" s="189" t="s">
        <v>531</v>
      </c>
      <c r="E619" s="189" t="s">
        <v>947</v>
      </c>
      <c r="F619" s="189" t="s">
        <v>509</v>
      </c>
      <c r="G619" s="247">
        <v>937.4</v>
      </c>
      <c r="H619" s="247">
        <v>937.4</v>
      </c>
      <c r="I619" s="248">
        <f t="shared" si="69"/>
        <v>0</v>
      </c>
      <c r="J619" s="191">
        <v>937.4</v>
      </c>
      <c r="K619" s="247">
        <v>937.4</v>
      </c>
      <c r="L619" s="287">
        <f t="shared" si="70"/>
        <v>0</v>
      </c>
    </row>
    <row r="620" spans="1:12" x14ac:dyDescent="0.2">
      <c r="A620" s="189" t="s">
        <v>614</v>
      </c>
      <c r="B620" s="189"/>
      <c r="C620" s="189" t="s">
        <v>512</v>
      </c>
      <c r="D620" s="189" t="s">
        <v>531</v>
      </c>
      <c r="E620" s="189" t="s">
        <v>947</v>
      </c>
      <c r="F620" s="189" t="s">
        <v>613</v>
      </c>
      <c r="G620" s="247">
        <v>937.4</v>
      </c>
      <c r="H620" s="247">
        <v>937.4</v>
      </c>
      <c r="I620" s="248">
        <f t="shared" si="69"/>
        <v>0</v>
      </c>
      <c r="J620" s="191">
        <v>937.4</v>
      </c>
      <c r="K620" s="247">
        <v>937.4</v>
      </c>
      <c r="L620" s="287">
        <f t="shared" si="70"/>
        <v>0</v>
      </c>
    </row>
    <row r="621" spans="1:12" ht="24" x14ac:dyDescent="0.2">
      <c r="A621" s="189" t="s">
        <v>946</v>
      </c>
      <c r="B621" s="189"/>
      <c r="C621" s="189" t="s">
        <v>512</v>
      </c>
      <c r="D621" s="189" t="s">
        <v>531</v>
      </c>
      <c r="E621" s="189" t="s">
        <v>945</v>
      </c>
      <c r="F621" s="189"/>
      <c r="G621" s="247">
        <v>15997.9</v>
      </c>
      <c r="H621" s="247">
        <v>15997.9</v>
      </c>
      <c r="I621" s="248">
        <f t="shared" si="69"/>
        <v>0</v>
      </c>
      <c r="J621" s="191">
        <v>15997.9</v>
      </c>
      <c r="K621" s="247">
        <v>15997.9</v>
      </c>
      <c r="L621" s="287">
        <f t="shared" si="70"/>
        <v>0</v>
      </c>
    </row>
    <row r="622" spans="1:12" ht="36" x14ac:dyDescent="0.2">
      <c r="A622" s="189" t="s">
        <v>1348</v>
      </c>
      <c r="B622" s="189"/>
      <c r="C622" s="189" t="s">
        <v>512</v>
      </c>
      <c r="D622" s="189" t="s">
        <v>531</v>
      </c>
      <c r="E622" s="189" t="s">
        <v>945</v>
      </c>
      <c r="F622" s="189" t="s">
        <v>556</v>
      </c>
      <c r="G622" s="247">
        <v>15177.4</v>
      </c>
      <c r="H622" s="247">
        <v>15177.4</v>
      </c>
      <c r="I622" s="248">
        <f t="shared" si="69"/>
        <v>0</v>
      </c>
      <c r="J622" s="191">
        <v>15177.4</v>
      </c>
      <c r="K622" s="247">
        <v>15177.4</v>
      </c>
      <c r="L622" s="287">
        <f t="shared" si="70"/>
        <v>0</v>
      </c>
    </row>
    <row r="623" spans="1:12" x14ac:dyDescent="0.2">
      <c r="A623" s="189" t="s">
        <v>555</v>
      </c>
      <c r="B623" s="189"/>
      <c r="C623" s="189" t="s">
        <v>512</v>
      </c>
      <c r="D623" s="189" t="s">
        <v>531</v>
      </c>
      <c r="E623" s="189" t="s">
        <v>945</v>
      </c>
      <c r="F623" s="189" t="s">
        <v>554</v>
      </c>
      <c r="G623" s="247">
        <v>15177.4</v>
      </c>
      <c r="H623" s="247">
        <v>15177.4</v>
      </c>
      <c r="I623" s="248">
        <f t="shared" si="69"/>
        <v>0</v>
      </c>
      <c r="J623" s="191">
        <v>15177.4</v>
      </c>
      <c r="K623" s="247">
        <v>15177.4</v>
      </c>
      <c r="L623" s="287">
        <f t="shared" si="70"/>
        <v>0</v>
      </c>
    </row>
    <row r="624" spans="1:12" ht="24" x14ac:dyDescent="0.2">
      <c r="A624" s="189" t="s">
        <v>1347</v>
      </c>
      <c r="B624" s="189"/>
      <c r="C624" s="189" t="s">
        <v>512</v>
      </c>
      <c r="D624" s="189" t="s">
        <v>531</v>
      </c>
      <c r="E624" s="189" t="s">
        <v>945</v>
      </c>
      <c r="F624" s="189" t="s">
        <v>535</v>
      </c>
      <c r="G624" s="247">
        <v>820.5</v>
      </c>
      <c r="H624" s="247">
        <v>820.5</v>
      </c>
      <c r="I624" s="248">
        <f t="shared" si="69"/>
        <v>0</v>
      </c>
      <c r="J624" s="191">
        <v>820.5</v>
      </c>
      <c r="K624" s="247">
        <v>820.5</v>
      </c>
      <c r="L624" s="287">
        <f t="shared" si="70"/>
        <v>0</v>
      </c>
    </row>
    <row r="625" spans="1:12" ht="24" x14ac:dyDescent="0.2">
      <c r="A625" s="189" t="s">
        <v>534</v>
      </c>
      <c r="B625" s="189"/>
      <c r="C625" s="189" t="s">
        <v>512</v>
      </c>
      <c r="D625" s="189" t="s">
        <v>531</v>
      </c>
      <c r="E625" s="189" t="s">
        <v>945</v>
      </c>
      <c r="F625" s="189" t="s">
        <v>529</v>
      </c>
      <c r="G625" s="247">
        <v>820.5</v>
      </c>
      <c r="H625" s="247">
        <v>820.5</v>
      </c>
      <c r="I625" s="248">
        <f t="shared" si="69"/>
        <v>0</v>
      </c>
      <c r="J625" s="191">
        <v>820.5</v>
      </c>
      <c r="K625" s="247">
        <v>820.5</v>
      </c>
      <c r="L625" s="287">
        <f t="shared" si="70"/>
        <v>0</v>
      </c>
    </row>
    <row r="626" spans="1:12" x14ac:dyDescent="0.2">
      <c r="A626" s="189" t="s">
        <v>944</v>
      </c>
      <c r="B626" s="189"/>
      <c r="C626" s="189" t="s">
        <v>512</v>
      </c>
      <c r="D626" s="189" t="s">
        <v>512</v>
      </c>
      <c r="E626" s="189"/>
      <c r="F626" s="189"/>
      <c r="G626" s="247">
        <f>G627</f>
        <v>234994.8</v>
      </c>
      <c r="H626" s="247">
        <f>H627</f>
        <v>234994.8</v>
      </c>
      <c r="I626" s="248">
        <f t="shared" si="69"/>
        <v>0</v>
      </c>
      <c r="J626" s="191">
        <f>J627</f>
        <v>234994.8</v>
      </c>
      <c r="K626" s="247">
        <f>K627</f>
        <v>234994.8</v>
      </c>
      <c r="L626" s="287">
        <f t="shared" si="70"/>
        <v>0</v>
      </c>
    </row>
    <row r="627" spans="1:12" ht="24" x14ac:dyDescent="0.2">
      <c r="A627" s="189" t="s">
        <v>604</v>
      </c>
      <c r="B627" s="189"/>
      <c r="C627" s="189" t="s">
        <v>512</v>
      </c>
      <c r="D627" s="189" t="s">
        <v>512</v>
      </c>
      <c r="E627" s="189" t="s">
        <v>603</v>
      </c>
      <c r="F627" s="189"/>
      <c r="G627" s="247">
        <v>234994.8</v>
      </c>
      <c r="H627" s="247">
        <v>234994.8</v>
      </c>
      <c r="I627" s="248">
        <f t="shared" ref="I627:I708" si="73">H627-G627</f>
        <v>0</v>
      </c>
      <c r="J627" s="191">
        <v>234994.8</v>
      </c>
      <c r="K627" s="247">
        <v>234994.8</v>
      </c>
      <c r="L627" s="287">
        <f t="shared" ref="L627:L708" si="74">K627-J627</f>
        <v>0</v>
      </c>
    </row>
    <row r="628" spans="1:12" x14ac:dyDescent="0.2">
      <c r="A628" s="189" t="s">
        <v>602</v>
      </c>
      <c r="B628" s="189"/>
      <c r="C628" s="189" t="s">
        <v>512</v>
      </c>
      <c r="D628" s="189" t="s">
        <v>512</v>
      </c>
      <c r="E628" s="189" t="s">
        <v>601</v>
      </c>
      <c r="F628" s="189"/>
      <c r="G628" s="247">
        <v>234994.8</v>
      </c>
      <c r="H628" s="247">
        <v>234994.8</v>
      </c>
      <c r="I628" s="248">
        <f t="shared" si="73"/>
        <v>0</v>
      </c>
      <c r="J628" s="191">
        <v>234994.8</v>
      </c>
      <c r="K628" s="247">
        <v>234994.8</v>
      </c>
      <c r="L628" s="287">
        <f t="shared" si="74"/>
        <v>0</v>
      </c>
    </row>
    <row r="629" spans="1:12" ht="24" x14ac:dyDescent="0.2">
      <c r="A629" s="189" t="s">
        <v>600</v>
      </c>
      <c r="B629" s="189"/>
      <c r="C629" s="189" t="s">
        <v>512</v>
      </c>
      <c r="D629" s="189" t="s">
        <v>512</v>
      </c>
      <c r="E629" s="189" t="s">
        <v>599</v>
      </c>
      <c r="F629" s="189"/>
      <c r="G629" s="247">
        <v>234994.8</v>
      </c>
      <c r="H629" s="247">
        <v>234994.8</v>
      </c>
      <c r="I629" s="248">
        <f t="shared" si="73"/>
        <v>0</v>
      </c>
      <c r="J629" s="191">
        <v>234994.8</v>
      </c>
      <c r="K629" s="247">
        <v>234994.8</v>
      </c>
      <c r="L629" s="287">
        <f t="shared" si="74"/>
        <v>0</v>
      </c>
    </row>
    <row r="630" spans="1:12" ht="24" x14ac:dyDescent="0.2">
      <c r="A630" s="189" t="s">
        <v>937</v>
      </c>
      <c r="B630" s="189"/>
      <c r="C630" s="189" t="s">
        <v>512</v>
      </c>
      <c r="D630" s="189" t="s">
        <v>512</v>
      </c>
      <c r="E630" s="189" t="s">
        <v>935</v>
      </c>
      <c r="F630" s="189"/>
      <c r="G630" s="247">
        <v>4785.2</v>
      </c>
      <c r="H630" s="247">
        <v>4785.2</v>
      </c>
      <c r="I630" s="248">
        <f t="shared" si="73"/>
        <v>0</v>
      </c>
      <c r="J630" s="191">
        <v>4785.2</v>
      </c>
      <c r="K630" s="247">
        <v>4785.2</v>
      </c>
      <c r="L630" s="287">
        <f t="shared" si="74"/>
        <v>0</v>
      </c>
    </row>
    <row r="631" spans="1:12" x14ac:dyDescent="0.2">
      <c r="A631" s="189" t="s">
        <v>553</v>
      </c>
      <c r="B631" s="189"/>
      <c r="C631" s="189" t="s">
        <v>512</v>
      </c>
      <c r="D631" s="189" t="s">
        <v>512</v>
      </c>
      <c r="E631" s="189" t="s">
        <v>935</v>
      </c>
      <c r="F631" s="189" t="s">
        <v>552</v>
      </c>
      <c r="G631" s="247">
        <v>4785.2</v>
      </c>
      <c r="H631" s="247">
        <v>4785.2</v>
      </c>
      <c r="I631" s="248">
        <f t="shared" si="73"/>
        <v>0</v>
      </c>
      <c r="J631" s="191">
        <v>4785.2</v>
      </c>
      <c r="K631" s="247">
        <v>4785.2</v>
      </c>
      <c r="L631" s="287">
        <f t="shared" si="74"/>
        <v>0</v>
      </c>
    </row>
    <row r="632" spans="1:12" x14ac:dyDescent="0.2">
      <c r="A632" s="189" t="s">
        <v>936</v>
      </c>
      <c r="B632" s="189"/>
      <c r="C632" s="189" t="s">
        <v>512</v>
      </c>
      <c r="D632" s="189" t="s">
        <v>512</v>
      </c>
      <c r="E632" s="189" t="s">
        <v>935</v>
      </c>
      <c r="F632" s="189" t="s">
        <v>934</v>
      </c>
      <c r="G632" s="247">
        <v>4785.2</v>
      </c>
      <c r="H632" s="247">
        <v>4785.2</v>
      </c>
      <c r="I632" s="248">
        <f t="shared" si="73"/>
        <v>0</v>
      </c>
      <c r="J632" s="191">
        <v>4785.2</v>
      </c>
      <c r="K632" s="247">
        <v>4785.2</v>
      </c>
      <c r="L632" s="287">
        <f t="shared" si="74"/>
        <v>0</v>
      </c>
    </row>
    <row r="633" spans="1:12" ht="36" x14ac:dyDescent="0.2">
      <c r="A633" s="189" t="s">
        <v>933</v>
      </c>
      <c r="B633" s="189"/>
      <c r="C633" s="189" t="s">
        <v>512</v>
      </c>
      <c r="D633" s="189" t="s">
        <v>512</v>
      </c>
      <c r="E633" s="189" t="s">
        <v>932</v>
      </c>
      <c r="F633" s="189"/>
      <c r="G633" s="247">
        <v>81927.7</v>
      </c>
      <c r="H633" s="247">
        <v>81927.7</v>
      </c>
      <c r="I633" s="248">
        <f t="shared" si="73"/>
        <v>0</v>
      </c>
      <c r="J633" s="191">
        <v>81927.7</v>
      </c>
      <c r="K633" s="247">
        <v>81927.7</v>
      </c>
      <c r="L633" s="287">
        <f t="shared" si="74"/>
        <v>0</v>
      </c>
    </row>
    <row r="634" spans="1:12" ht="36" x14ac:dyDescent="0.2">
      <c r="A634" s="189" t="s">
        <v>1348</v>
      </c>
      <c r="B634" s="189"/>
      <c r="C634" s="189" t="s">
        <v>512</v>
      </c>
      <c r="D634" s="189" t="s">
        <v>512</v>
      </c>
      <c r="E634" s="189" t="s">
        <v>932</v>
      </c>
      <c r="F634" s="189" t="s">
        <v>556</v>
      </c>
      <c r="G634" s="247">
        <v>78966.3</v>
      </c>
      <c r="H634" s="247">
        <v>78966.3</v>
      </c>
      <c r="I634" s="248">
        <f t="shared" si="73"/>
        <v>0</v>
      </c>
      <c r="J634" s="191">
        <v>78966.3</v>
      </c>
      <c r="K634" s="247">
        <v>78966.3</v>
      </c>
      <c r="L634" s="287">
        <f t="shared" si="74"/>
        <v>0</v>
      </c>
    </row>
    <row r="635" spans="1:12" x14ac:dyDescent="0.2">
      <c r="A635" s="189" t="s">
        <v>555</v>
      </c>
      <c r="B635" s="189"/>
      <c r="C635" s="189" t="s">
        <v>512</v>
      </c>
      <c r="D635" s="189" t="s">
        <v>512</v>
      </c>
      <c r="E635" s="189" t="s">
        <v>932</v>
      </c>
      <c r="F635" s="189" t="s">
        <v>554</v>
      </c>
      <c r="G635" s="247">
        <v>78966.3</v>
      </c>
      <c r="H635" s="247">
        <v>78966.3</v>
      </c>
      <c r="I635" s="248">
        <f t="shared" si="73"/>
        <v>0</v>
      </c>
      <c r="J635" s="191">
        <v>78966.3</v>
      </c>
      <c r="K635" s="247">
        <v>78966.3</v>
      </c>
      <c r="L635" s="287">
        <f t="shared" si="74"/>
        <v>0</v>
      </c>
    </row>
    <row r="636" spans="1:12" ht="24" x14ac:dyDescent="0.2">
      <c r="A636" s="189" t="s">
        <v>1347</v>
      </c>
      <c r="B636" s="189"/>
      <c r="C636" s="189" t="s">
        <v>512</v>
      </c>
      <c r="D636" s="189" t="s">
        <v>512</v>
      </c>
      <c r="E636" s="189" t="s">
        <v>932</v>
      </c>
      <c r="F636" s="189" t="s">
        <v>535</v>
      </c>
      <c r="G636" s="247">
        <v>2861.4</v>
      </c>
      <c r="H636" s="247">
        <v>2861.4</v>
      </c>
      <c r="I636" s="248">
        <f t="shared" si="73"/>
        <v>0</v>
      </c>
      <c r="J636" s="191">
        <v>2861.4</v>
      </c>
      <c r="K636" s="247">
        <v>2861.4</v>
      </c>
      <c r="L636" s="287">
        <f t="shared" si="74"/>
        <v>0</v>
      </c>
    </row>
    <row r="637" spans="1:12" ht="24" x14ac:dyDescent="0.2">
      <c r="A637" s="189" t="s">
        <v>534</v>
      </c>
      <c r="B637" s="189"/>
      <c r="C637" s="189" t="s">
        <v>512</v>
      </c>
      <c r="D637" s="189" t="s">
        <v>512</v>
      </c>
      <c r="E637" s="189" t="s">
        <v>932</v>
      </c>
      <c r="F637" s="189" t="s">
        <v>529</v>
      </c>
      <c r="G637" s="247">
        <v>2861.4</v>
      </c>
      <c r="H637" s="247">
        <v>2861.4</v>
      </c>
      <c r="I637" s="248">
        <f t="shared" si="73"/>
        <v>0</v>
      </c>
      <c r="J637" s="191">
        <v>2861.4</v>
      </c>
      <c r="K637" s="247">
        <v>2861.4</v>
      </c>
      <c r="L637" s="287">
        <f t="shared" si="74"/>
        <v>0</v>
      </c>
    </row>
    <row r="638" spans="1:12" x14ac:dyDescent="0.2">
      <c r="A638" s="189" t="s">
        <v>615</v>
      </c>
      <c r="B638" s="189"/>
      <c r="C638" s="189" t="s">
        <v>512</v>
      </c>
      <c r="D638" s="189" t="s">
        <v>512</v>
      </c>
      <c r="E638" s="189" t="s">
        <v>932</v>
      </c>
      <c r="F638" s="189" t="s">
        <v>509</v>
      </c>
      <c r="G638" s="247">
        <v>100</v>
      </c>
      <c r="H638" s="247">
        <v>100</v>
      </c>
      <c r="I638" s="248">
        <f t="shared" si="73"/>
        <v>0</v>
      </c>
      <c r="J638" s="191">
        <v>100</v>
      </c>
      <c r="K638" s="247">
        <v>100</v>
      </c>
      <c r="L638" s="287">
        <f t="shared" si="74"/>
        <v>0</v>
      </c>
    </row>
    <row r="639" spans="1:12" x14ac:dyDescent="0.2">
      <c r="A639" s="189" t="s">
        <v>614</v>
      </c>
      <c r="B639" s="189"/>
      <c r="C639" s="189" t="s">
        <v>512</v>
      </c>
      <c r="D639" s="189" t="s">
        <v>512</v>
      </c>
      <c r="E639" s="189" t="s">
        <v>932</v>
      </c>
      <c r="F639" s="189" t="s">
        <v>613</v>
      </c>
      <c r="G639" s="247">
        <v>100</v>
      </c>
      <c r="H639" s="247">
        <v>100</v>
      </c>
      <c r="I639" s="248">
        <f t="shared" si="73"/>
        <v>0</v>
      </c>
      <c r="J639" s="191">
        <v>100</v>
      </c>
      <c r="K639" s="247">
        <v>100</v>
      </c>
      <c r="L639" s="287">
        <f t="shared" si="74"/>
        <v>0</v>
      </c>
    </row>
    <row r="640" spans="1:12" ht="36" x14ac:dyDescent="0.2">
      <c r="A640" s="189" t="s">
        <v>931</v>
      </c>
      <c r="B640" s="189"/>
      <c r="C640" s="189" t="s">
        <v>512</v>
      </c>
      <c r="D640" s="189" t="s">
        <v>512</v>
      </c>
      <c r="E640" s="189" t="s">
        <v>930</v>
      </c>
      <c r="F640" s="189"/>
      <c r="G640" s="247">
        <v>46377.1</v>
      </c>
      <c r="H640" s="247">
        <v>46377.1</v>
      </c>
      <c r="I640" s="248">
        <f t="shared" si="73"/>
        <v>0</v>
      </c>
      <c r="J640" s="191">
        <v>46377.1</v>
      </c>
      <c r="K640" s="247">
        <v>46377.1</v>
      </c>
      <c r="L640" s="287">
        <f t="shared" si="74"/>
        <v>0</v>
      </c>
    </row>
    <row r="641" spans="1:12" ht="36" x14ac:dyDescent="0.2">
      <c r="A641" s="189" t="s">
        <v>1348</v>
      </c>
      <c r="B641" s="189"/>
      <c r="C641" s="189" t="s">
        <v>512</v>
      </c>
      <c r="D641" s="189" t="s">
        <v>512</v>
      </c>
      <c r="E641" s="189" t="s">
        <v>930</v>
      </c>
      <c r="F641" s="189" t="s">
        <v>556</v>
      </c>
      <c r="G641" s="247">
        <v>40196.6</v>
      </c>
      <c r="H641" s="247">
        <v>40196.6</v>
      </c>
      <c r="I641" s="248">
        <f t="shared" si="73"/>
        <v>0</v>
      </c>
      <c r="J641" s="191">
        <v>40196.6</v>
      </c>
      <c r="K641" s="247">
        <v>40196.6</v>
      </c>
      <c r="L641" s="287">
        <f t="shared" si="74"/>
        <v>0</v>
      </c>
    </row>
    <row r="642" spans="1:12" x14ac:dyDescent="0.2">
      <c r="A642" s="189" t="s">
        <v>555</v>
      </c>
      <c r="B642" s="189"/>
      <c r="C642" s="189" t="s">
        <v>512</v>
      </c>
      <c r="D642" s="189" t="s">
        <v>512</v>
      </c>
      <c r="E642" s="189" t="s">
        <v>930</v>
      </c>
      <c r="F642" s="189" t="s">
        <v>554</v>
      </c>
      <c r="G642" s="247">
        <v>40196.6</v>
      </c>
      <c r="H642" s="247">
        <v>40196.6</v>
      </c>
      <c r="I642" s="248">
        <f t="shared" si="73"/>
        <v>0</v>
      </c>
      <c r="J642" s="191">
        <v>40196.6</v>
      </c>
      <c r="K642" s="247">
        <v>40196.6</v>
      </c>
      <c r="L642" s="287">
        <f t="shared" si="74"/>
        <v>0</v>
      </c>
    </row>
    <row r="643" spans="1:12" ht="24" x14ac:dyDescent="0.2">
      <c r="A643" s="189" t="s">
        <v>1347</v>
      </c>
      <c r="B643" s="189"/>
      <c r="C643" s="189" t="s">
        <v>512</v>
      </c>
      <c r="D643" s="189" t="s">
        <v>512</v>
      </c>
      <c r="E643" s="189" t="s">
        <v>930</v>
      </c>
      <c r="F643" s="189" t="s">
        <v>535</v>
      </c>
      <c r="G643" s="247">
        <v>6162.4</v>
      </c>
      <c r="H643" s="247">
        <v>6162.4</v>
      </c>
      <c r="I643" s="248">
        <f t="shared" si="73"/>
        <v>0</v>
      </c>
      <c r="J643" s="191">
        <v>6162.4</v>
      </c>
      <c r="K643" s="247">
        <v>6162.4</v>
      </c>
      <c r="L643" s="287">
        <f t="shared" si="74"/>
        <v>0</v>
      </c>
    </row>
    <row r="644" spans="1:12" ht="24" x14ac:dyDescent="0.2">
      <c r="A644" s="189" t="s">
        <v>534</v>
      </c>
      <c r="B644" s="189"/>
      <c r="C644" s="189" t="s">
        <v>512</v>
      </c>
      <c r="D644" s="189" t="s">
        <v>512</v>
      </c>
      <c r="E644" s="189" t="s">
        <v>930</v>
      </c>
      <c r="F644" s="189" t="s">
        <v>529</v>
      </c>
      <c r="G644" s="247">
        <v>6162.4</v>
      </c>
      <c r="H644" s="247">
        <v>6162.4</v>
      </c>
      <c r="I644" s="248">
        <f t="shared" si="73"/>
        <v>0</v>
      </c>
      <c r="J644" s="191">
        <v>6162.4</v>
      </c>
      <c r="K644" s="247">
        <v>6162.4</v>
      </c>
      <c r="L644" s="287">
        <f t="shared" si="74"/>
        <v>0</v>
      </c>
    </row>
    <row r="645" spans="1:12" x14ac:dyDescent="0.2">
      <c r="A645" s="189" t="s">
        <v>615</v>
      </c>
      <c r="B645" s="189"/>
      <c r="C645" s="189" t="s">
        <v>512</v>
      </c>
      <c r="D645" s="189" t="s">
        <v>512</v>
      </c>
      <c r="E645" s="189" t="s">
        <v>930</v>
      </c>
      <c r="F645" s="189" t="s">
        <v>509</v>
      </c>
      <c r="G645" s="247">
        <v>18.100000000000001</v>
      </c>
      <c r="H645" s="247">
        <v>18.100000000000001</v>
      </c>
      <c r="I645" s="248">
        <f t="shared" si="73"/>
        <v>0</v>
      </c>
      <c r="J645" s="191">
        <v>18.100000000000001</v>
      </c>
      <c r="K645" s="247">
        <v>18.100000000000001</v>
      </c>
      <c r="L645" s="287">
        <f t="shared" si="74"/>
        <v>0</v>
      </c>
    </row>
    <row r="646" spans="1:12" x14ac:dyDescent="0.2">
      <c r="A646" s="189" t="s">
        <v>614</v>
      </c>
      <c r="B646" s="189"/>
      <c r="C646" s="189" t="s">
        <v>512</v>
      </c>
      <c r="D646" s="189" t="s">
        <v>512</v>
      </c>
      <c r="E646" s="189" t="s">
        <v>930</v>
      </c>
      <c r="F646" s="189" t="s">
        <v>613</v>
      </c>
      <c r="G646" s="247">
        <v>18.100000000000001</v>
      </c>
      <c r="H646" s="247">
        <v>18.100000000000001</v>
      </c>
      <c r="I646" s="248">
        <f t="shared" si="73"/>
        <v>0</v>
      </c>
      <c r="J646" s="191">
        <v>18.100000000000001</v>
      </c>
      <c r="K646" s="247">
        <v>18.100000000000001</v>
      </c>
      <c r="L646" s="287">
        <f t="shared" si="74"/>
        <v>0</v>
      </c>
    </row>
    <row r="647" spans="1:12" ht="36" x14ac:dyDescent="0.2">
      <c r="A647" s="189" t="s">
        <v>929</v>
      </c>
      <c r="B647" s="189"/>
      <c r="C647" s="189" t="s">
        <v>512</v>
      </c>
      <c r="D647" s="189" t="s">
        <v>512</v>
      </c>
      <c r="E647" s="189" t="s">
        <v>928</v>
      </c>
      <c r="F647" s="189"/>
      <c r="G647" s="247">
        <v>49400.800000000003</v>
      </c>
      <c r="H647" s="247">
        <v>49400.800000000003</v>
      </c>
      <c r="I647" s="248">
        <f t="shared" si="73"/>
        <v>0</v>
      </c>
      <c r="J647" s="191">
        <v>49400.800000000003</v>
      </c>
      <c r="K647" s="247">
        <v>49400.800000000003</v>
      </c>
      <c r="L647" s="287">
        <f t="shared" si="74"/>
        <v>0</v>
      </c>
    </row>
    <row r="648" spans="1:12" ht="36" x14ac:dyDescent="0.2">
      <c r="A648" s="189" t="s">
        <v>1348</v>
      </c>
      <c r="B648" s="189"/>
      <c r="C648" s="189" t="s">
        <v>512</v>
      </c>
      <c r="D648" s="189" t="s">
        <v>512</v>
      </c>
      <c r="E648" s="189" t="s">
        <v>928</v>
      </c>
      <c r="F648" s="189" t="s">
        <v>556</v>
      </c>
      <c r="G648" s="247">
        <v>43427.8</v>
      </c>
      <c r="H648" s="247">
        <v>43427.8</v>
      </c>
      <c r="I648" s="248">
        <f t="shared" si="73"/>
        <v>0</v>
      </c>
      <c r="J648" s="191">
        <v>43427.8</v>
      </c>
      <c r="K648" s="247">
        <v>43427.8</v>
      </c>
      <c r="L648" s="287">
        <f t="shared" si="74"/>
        <v>0</v>
      </c>
    </row>
    <row r="649" spans="1:12" x14ac:dyDescent="0.2">
      <c r="A649" s="189" t="s">
        <v>555</v>
      </c>
      <c r="B649" s="189"/>
      <c r="C649" s="189" t="s">
        <v>512</v>
      </c>
      <c r="D649" s="189" t="s">
        <v>512</v>
      </c>
      <c r="E649" s="189" t="s">
        <v>928</v>
      </c>
      <c r="F649" s="189" t="s">
        <v>554</v>
      </c>
      <c r="G649" s="247">
        <v>43427.8</v>
      </c>
      <c r="H649" s="247">
        <v>43427.8</v>
      </c>
      <c r="I649" s="248">
        <f t="shared" si="73"/>
        <v>0</v>
      </c>
      <c r="J649" s="191">
        <v>43427.8</v>
      </c>
      <c r="K649" s="247">
        <v>43427.8</v>
      </c>
      <c r="L649" s="287">
        <f t="shared" si="74"/>
        <v>0</v>
      </c>
    </row>
    <row r="650" spans="1:12" ht="24" x14ac:dyDescent="0.2">
      <c r="A650" s="189" t="s">
        <v>1347</v>
      </c>
      <c r="B650" s="189"/>
      <c r="C650" s="189" t="s">
        <v>512</v>
      </c>
      <c r="D650" s="189" t="s">
        <v>512</v>
      </c>
      <c r="E650" s="189" t="s">
        <v>928</v>
      </c>
      <c r="F650" s="189" t="s">
        <v>535</v>
      </c>
      <c r="G650" s="247">
        <v>5421</v>
      </c>
      <c r="H650" s="247">
        <v>5421</v>
      </c>
      <c r="I650" s="248">
        <f t="shared" si="73"/>
        <v>0</v>
      </c>
      <c r="J650" s="191">
        <v>5421</v>
      </c>
      <c r="K650" s="247">
        <v>5421</v>
      </c>
      <c r="L650" s="287">
        <f t="shared" si="74"/>
        <v>0</v>
      </c>
    </row>
    <row r="651" spans="1:12" ht="24" x14ac:dyDescent="0.2">
      <c r="A651" s="189" t="s">
        <v>534</v>
      </c>
      <c r="B651" s="189"/>
      <c r="C651" s="189" t="s">
        <v>512</v>
      </c>
      <c r="D651" s="189" t="s">
        <v>512</v>
      </c>
      <c r="E651" s="189" t="s">
        <v>928</v>
      </c>
      <c r="F651" s="189" t="s">
        <v>529</v>
      </c>
      <c r="G651" s="247">
        <v>5421</v>
      </c>
      <c r="H651" s="247">
        <v>5421</v>
      </c>
      <c r="I651" s="248">
        <f t="shared" si="73"/>
        <v>0</v>
      </c>
      <c r="J651" s="191">
        <v>5421</v>
      </c>
      <c r="K651" s="247">
        <v>5421</v>
      </c>
      <c r="L651" s="287">
        <f t="shared" si="74"/>
        <v>0</v>
      </c>
    </row>
    <row r="652" spans="1:12" x14ac:dyDescent="0.2">
      <c r="A652" s="189" t="s">
        <v>615</v>
      </c>
      <c r="B652" s="189"/>
      <c r="C652" s="189" t="s">
        <v>512</v>
      </c>
      <c r="D652" s="189" t="s">
        <v>512</v>
      </c>
      <c r="E652" s="189" t="s">
        <v>928</v>
      </c>
      <c r="F652" s="189" t="s">
        <v>509</v>
      </c>
      <c r="G652" s="247">
        <v>552</v>
      </c>
      <c r="H652" s="247">
        <v>552</v>
      </c>
      <c r="I652" s="248">
        <f t="shared" si="73"/>
        <v>0</v>
      </c>
      <c r="J652" s="191">
        <v>552</v>
      </c>
      <c r="K652" s="247">
        <v>552</v>
      </c>
      <c r="L652" s="287">
        <f t="shared" si="74"/>
        <v>0</v>
      </c>
    </row>
    <row r="653" spans="1:12" x14ac:dyDescent="0.2">
      <c r="A653" s="189" t="s">
        <v>614</v>
      </c>
      <c r="B653" s="189"/>
      <c r="C653" s="189" t="s">
        <v>512</v>
      </c>
      <c r="D653" s="189" t="s">
        <v>512</v>
      </c>
      <c r="E653" s="189" t="s">
        <v>928</v>
      </c>
      <c r="F653" s="189" t="s">
        <v>613</v>
      </c>
      <c r="G653" s="247">
        <v>552</v>
      </c>
      <c r="H653" s="247">
        <v>552</v>
      </c>
      <c r="I653" s="248">
        <f t="shared" si="73"/>
        <v>0</v>
      </c>
      <c r="J653" s="191">
        <v>552</v>
      </c>
      <c r="K653" s="247">
        <v>552</v>
      </c>
      <c r="L653" s="287">
        <f t="shared" si="74"/>
        <v>0</v>
      </c>
    </row>
    <row r="654" spans="1:12" ht="36" x14ac:dyDescent="0.2">
      <c r="A654" s="189" t="s">
        <v>927</v>
      </c>
      <c r="B654" s="189"/>
      <c r="C654" s="189" t="s">
        <v>512</v>
      </c>
      <c r="D654" s="189" t="s">
        <v>512</v>
      </c>
      <c r="E654" s="189" t="s">
        <v>926</v>
      </c>
      <c r="F654" s="189"/>
      <c r="G654" s="247">
        <v>52504</v>
      </c>
      <c r="H654" s="247">
        <v>52504</v>
      </c>
      <c r="I654" s="248">
        <f t="shared" si="73"/>
        <v>0</v>
      </c>
      <c r="J654" s="191">
        <v>52504</v>
      </c>
      <c r="K654" s="247">
        <v>52504</v>
      </c>
      <c r="L654" s="287">
        <f t="shared" si="74"/>
        <v>0</v>
      </c>
    </row>
    <row r="655" spans="1:12" ht="36" x14ac:dyDescent="0.2">
      <c r="A655" s="189" t="s">
        <v>1348</v>
      </c>
      <c r="B655" s="189"/>
      <c r="C655" s="189" t="s">
        <v>512</v>
      </c>
      <c r="D655" s="189" t="s">
        <v>512</v>
      </c>
      <c r="E655" s="189" t="s">
        <v>926</v>
      </c>
      <c r="F655" s="189" t="s">
        <v>556</v>
      </c>
      <c r="G655" s="247">
        <v>47186.400000000001</v>
      </c>
      <c r="H655" s="247">
        <v>47186.400000000001</v>
      </c>
      <c r="I655" s="248">
        <f t="shared" si="73"/>
        <v>0</v>
      </c>
      <c r="J655" s="191">
        <v>47186.400000000001</v>
      </c>
      <c r="K655" s="247">
        <v>47186.400000000001</v>
      </c>
      <c r="L655" s="287">
        <f t="shared" si="74"/>
        <v>0</v>
      </c>
    </row>
    <row r="656" spans="1:12" x14ac:dyDescent="0.2">
      <c r="A656" s="189" t="s">
        <v>555</v>
      </c>
      <c r="B656" s="189"/>
      <c r="C656" s="189" t="s">
        <v>512</v>
      </c>
      <c r="D656" s="189" t="s">
        <v>512</v>
      </c>
      <c r="E656" s="189" t="s">
        <v>926</v>
      </c>
      <c r="F656" s="189" t="s">
        <v>554</v>
      </c>
      <c r="G656" s="247">
        <v>47186.400000000001</v>
      </c>
      <c r="H656" s="247">
        <v>47186.400000000001</v>
      </c>
      <c r="I656" s="248">
        <f t="shared" si="73"/>
        <v>0</v>
      </c>
      <c r="J656" s="191">
        <v>47186.400000000001</v>
      </c>
      <c r="K656" s="247">
        <v>47186.400000000001</v>
      </c>
      <c r="L656" s="287">
        <f t="shared" si="74"/>
        <v>0</v>
      </c>
    </row>
    <row r="657" spans="1:12" ht="24" x14ac:dyDescent="0.2">
      <c r="A657" s="189" t="s">
        <v>1347</v>
      </c>
      <c r="B657" s="189"/>
      <c r="C657" s="189" t="s">
        <v>512</v>
      </c>
      <c r="D657" s="189" t="s">
        <v>512</v>
      </c>
      <c r="E657" s="189" t="s">
        <v>926</v>
      </c>
      <c r="F657" s="189" t="s">
        <v>535</v>
      </c>
      <c r="G657" s="247">
        <v>5234.7</v>
      </c>
      <c r="H657" s="247">
        <v>5234.7</v>
      </c>
      <c r="I657" s="248">
        <f t="shared" si="73"/>
        <v>0</v>
      </c>
      <c r="J657" s="191">
        <v>5234.7</v>
      </c>
      <c r="K657" s="247">
        <v>5234.7</v>
      </c>
      <c r="L657" s="287">
        <f t="shared" si="74"/>
        <v>0</v>
      </c>
    </row>
    <row r="658" spans="1:12" ht="24" x14ac:dyDescent="0.2">
      <c r="A658" s="189" t="s">
        <v>534</v>
      </c>
      <c r="B658" s="189"/>
      <c r="C658" s="189" t="s">
        <v>512</v>
      </c>
      <c r="D658" s="189" t="s">
        <v>512</v>
      </c>
      <c r="E658" s="189" t="s">
        <v>926</v>
      </c>
      <c r="F658" s="189" t="s">
        <v>529</v>
      </c>
      <c r="G658" s="247">
        <v>5234.7</v>
      </c>
      <c r="H658" s="247">
        <v>5234.7</v>
      </c>
      <c r="I658" s="248">
        <f t="shared" si="73"/>
        <v>0</v>
      </c>
      <c r="J658" s="191">
        <v>5234.7</v>
      </c>
      <c r="K658" s="247">
        <v>5234.7</v>
      </c>
      <c r="L658" s="287">
        <f t="shared" si="74"/>
        <v>0</v>
      </c>
    </row>
    <row r="659" spans="1:12" x14ac:dyDescent="0.2">
      <c r="A659" s="189" t="s">
        <v>615</v>
      </c>
      <c r="B659" s="189"/>
      <c r="C659" s="189" t="s">
        <v>512</v>
      </c>
      <c r="D659" s="189" t="s">
        <v>512</v>
      </c>
      <c r="E659" s="189" t="s">
        <v>926</v>
      </c>
      <c r="F659" s="189" t="s">
        <v>509</v>
      </c>
      <c r="G659" s="247">
        <v>82.9</v>
      </c>
      <c r="H659" s="247">
        <v>82.9</v>
      </c>
      <c r="I659" s="248">
        <f t="shared" si="73"/>
        <v>0</v>
      </c>
      <c r="J659" s="191">
        <v>82.9</v>
      </c>
      <c r="K659" s="247">
        <v>82.9</v>
      </c>
      <c r="L659" s="287">
        <f t="shared" si="74"/>
        <v>0</v>
      </c>
    </row>
    <row r="660" spans="1:12" x14ac:dyDescent="0.2">
      <c r="A660" s="189" t="s">
        <v>614</v>
      </c>
      <c r="B660" s="189"/>
      <c r="C660" s="189" t="s">
        <v>512</v>
      </c>
      <c r="D660" s="189" t="s">
        <v>512</v>
      </c>
      <c r="E660" s="189" t="s">
        <v>926</v>
      </c>
      <c r="F660" s="189" t="s">
        <v>613</v>
      </c>
      <c r="G660" s="247">
        <v>82.9</v>
      </c>
      <c r="H660" s="247">
        <v>82.9</v>
      </c>
      <c r="I660" s="248">
        <f t="shared" si="73"/>
        <v>0</v>
      </c>
      <c r="J660" s="191">
        <v>82.9</v>
      </c>
      <c r="K660" s="247">
        <v>82.9</v>
      </c>
      <c r="L660" s="287">
        <f t="shared" si="74"/>
        <v>0</v>
      </c>
    </row>
    <row r="661" spans="1:12" s="78" customFormat="1" x14ac:dyDescent="0.2">
      <c r="A661" s="185" t="s">
        <v>925</v>
      </c>
      <c r="B661" s="185"/>
      <c r="C661" s="185" t="s">
        <v>747</v>
      </c>
      <c r="D661" s="185"/>
      <c r="E661" s="185"/>
      <c r="F661" s="185"/>
      <c r="G661" s="245">
        <f>G669</f>
        <v>15050</v>
      </c>
      <c r="H661" s="245">
        <f>H669+H662</f>
        <v>245733.8</v>
      </c>
      <c r="I661" s="246">
        <f t="shared" si="73"/>
        <v>230683.8</v>
      </c>
      <c r="J661" s="187">
        <f>J669</f>
        <v>15650</v>
      </c>
      <c r="K661" s="245">
        <f>K669+K662</f>
        <v>15650</v>
      </c>
      <c r="L661" s="286">
        <f t="shared" si="74"/>
        <v>0</v>
      </c>
    </row>
    <row r="662" spans="1:12" s="78" customFormat="1" x14ac:dyDescent="0.2">
      <c r="A662" s="189" t="s">
        <v>1595</v>
      </c>
      <c r="B662" s="186"/>
      <c r="C662" s="189" t="s">
        <v>747</v>
      </c>
      <c r="D662" s="189" t="s">
        <v>502</v>
      </c>
      <c r="E662" s="189"/>
      <c r="F662" s="189"/>
      <c r="G662" s="247">
        <f t="shared" ref="G662:H667" si="75">G663</f>
        <v>0</v>
      </c>
      <c r="H662" s="247">
        <f t="shared" si="75"/>
        <v>230683.8</v>
      </c>
      <c r="I662" s="248">
        <f t="shared" si="73"/>
        <v>230683.8</v>
      </c>
      <c r="J662" s="191">
        <f t="shared" ref="J662:K667" si="76">J663</f>
        <v>0</v>
      </c>
      <c r="K662" s="247">
        <f t="shared" si="76"/>
        <v>0</v>
      </c>
      <c r="L662" s="287">
        <f t="shared" si="74"/>
        <v>0</v>
      </c>
    </row>
    <row r="663" spans="1:12" s="78" customFormat="1" ht="24" x14ac:dyDescent="0.2">
      <c r="A663" s="189" t="s">
        <v>943</v>
      </c>
      <c r="B663" s="186"/>
      <c r="C663" s="189" t="s">
        <v>747</v>
      </c>
      <c r="D663" s="189" t="s">
        <v>502</v>
      </c>
      <c r="E663" s="189" t="s">
        <v>942</v>
      </c>
      <c r="F663" s="189"/>
      <c r="G663" s="247">
        <f t="shared" si="75"/>
        <v>0</v>
      </c>
      <c r="H663" s="247">
        <f t="shared" si="75"/>
        <v>230683.8</v>
      </c>
      <c r="I663" s="248">
        <f t="shared" si="73"/>
        <v>230683.8</v>
      </c>
      <c r="J663" s="191">
        <f t="shared" si="76"/>
        <v>0</v>
      </c>
      <c r="K663" s="247">
        <f t="shared" si="76"/>
        <v>0</v>
      </c>
      <c r="L663" s="287">
        <f t="shared" si="74"/>
        <v>0</v>
      </c>
    </row>
    <row r="664" spans="1:12" s="78" customFormat="1" x14ac:dyDescent="0.2">
      <c r="A664" s="189" t="s">
        <v>1596</v>
      </c>
      <c r="B664" s="186"/>
      <c r="C664" s="189" t="s">
        <v>747</v>
      </c>
      <c r="D664" s="189" t="s">
        <v>502</v>
      </c>
      <c r="E664" s="189" t="s">
        <v>1599</v>
      </c>
      <c r="F664" s="189"/>
      <c r="G664" s="247">
        <f t="shared" si="75"/>
        <v>0</v>
      </c>
      <c r="H664" s="247">
        <f t="shared" si="75"/>
        <v>230683.8</v>
      </c>
      <c r="I664" s="248">
        <f t="shared" si="73"/>
        <v>230683.8</v>
      </c>
      <c r="J664" s="191">
        <f t="shared" si="76"/>
        <v>0</v>
      </c>
      <c r="K664" s="247">
        <f t="shared" si="76"/>
        <v>0</v>
      </c>
      <c r="L664" s="287">
        <f t="shared" si="74"/>
        <v>0</v>
      </c>
    </row>
    <row r="665" spans="1:12" s="78" customFormat="1" ht="48" x14ac:dyDescent="0.2">
      <c r="A665" s="189" t="s">
        <v>1597</v>
      </c>
      <c r="B665" s="186"/>
      <c r="C665" s="189" t="s">
        <v>747</v>
      </c>
      <c r="D665" s="189" t="s">
        <v>502</v>
      </c>
      <c r="E665" s="189" t="s">
        <v>1600</v>
      </c>
      <c r="F665" s="189"/>
      <c r="G665" s="247">
        <f t="shared" si="75"/>
        <v>0</v>
      </c>
      <c r="H665" s="247">
        <f t="shared" si="75"/>
        <v>230683.8</v>
      </c>
      <c r="I665" s="248">
        <f t="shared" si="73"/>
        <v>230683.8</v>
      </c>
      <c r="J665" s="191">
        <f t="shared" si="76"/>
        <v>0</v>
      </c>
      <c r="K665" s="247">
        <f t="shared" si="76"/>
        <v>0</v>
      </c>
      <c r="L665" s="287">
        <f t="shared" si="74"/>
        <v>0</v>
      </c>
    </row>
    <row r="666" spans="1:12" s="78" customFormat="1" ht="24" x14ac:dyDescent="0.2">
      <c r="A666" s="189" t="s">
        <v>1598</v>
      </c>
      <c r="B666" s="186"/>
      <c r="C666" s="189" t="s">
        <v>747</v>
      </c>
      <c r="D666" s="189" t="s">
        <v>502</v>
      </c>
      <c r="E666" s="189" t="s">
        <v>1601</v>
      </c>
      <c r="F666" s="189"/>
      <c r="G666" s="247">
        <f t="shared" si="75"/>
        <v>0</v>
      </c>
      <c r="H666" s="247">
        <f t="shared" si="75"/>
        <v>230683.8</v>
      </c>
      <c r="I666" s="248">
        <f t="shared" si="73"/>
        <v>230683.8</v>
      </c>
      <c r="J666" s="191">
        <f t="shared" si="76"/>
        <v>0</v>
      </c>
      <c r="K666" s="247">
        <f t="shared" si="76"/>
        <v>0</v>
      </c>
      <c r="L666" s="287">
        <f t="shared" si="74"/>
        <v>0</v>
      </c>
    </row>
    <row r="667" spans="1:12" s="78" customFormat="1" ht="24" x14ac:dyDescent="0.2">
      <c r="A667" s="189" t="s">
        <v>1355</v>
      </c>
      <c r="B667" s="186"/>
      <c r="C667" s="189" t="s">
        <v>747</v>
      </c>
      <c r="D667" s="189" t="s">
        <v>502</v>
      </c>
      <c r="E667" s="189" t="s">
        <v>1601</v>
      </c>
      <c r="F667" s="189" t="s">
        <v>824</v>
      </c>
      <c r="G667" s="247">
        <f t="shared" si="75"/>
        <v>0</v>
      </c>
      <c r="H667" s="247">
        <f t="shared" si="75"/>
        <v>230683.8</v>
      </c>
      <c r="I667" s="248">
        <f t="shared" si="73"/>
        <v>230683.8</v>
      </c>
      <c r="J667" s="191">
        <f t="shared" si="76"/>
        <v>0</v>
      </c>
      <c r="K667" s="247">
        <f t="shared" si="76"/>
        <v>0</v>
      </c>
      <c r="L667" s="287">
        <f t="shared" si="74"/>
        <v>0</v>
      </c>
    </row>
    <row r="668" spans="1:12" s="78" customFormat="1" x14ac:dyDescent="0.2">
      <c r="A668" s="189" t="s">
        <v>823</v>
      </c>
      <c r="B668" s="186"/>
      <c r="C668" s="189" t="s">
        <v>747</v>
      </c>
      <c r="D668" s="189" t="s">
        <v>502</v>
      </c>
      <c r="E668" s="189" t="s">
        <v>1601</v>
      </c>
      <c r="F668" s="189" t="s">
        <v>821</v>
      </c>
      <c r="G668" s="247">
        <v>0</v>
      </c>
      <c r="H668" s="247">
        <f>144177+86506.8</f>
        <v>230683.8</v>
      </c>
      <c r="I668" s="248">
        <f t="shared" si="73"/>
        <v>230683.8</v>
      </c>
      <c r="J668" s="191">
        <v>0</v>
      </c>
      <c r="K668" s="247">
        <v>0</v>
      </c>
      <c r="L668" s="287">
        <f t="shared" si="74"/>
        <v>0</v>
      </c>
    </row>
    <row r="669" spans="1:12" x14ac:dyDescent="0.2">
      <c r="A669" s="189" t="s">
        <v>924</v>
      </c>
      <c r="B669" s="189"/>
      <c r="C669" s="189" t="s">
        <v>747</v>
      </c>
      <c r="D669" s="189" t="s">
        <v>531</v>
      </c>
      <c r="E669" s="189"/>
      <c r="F669" s="189"/>
      <c r="G669" s="247">
        <f>G670</f>
        <v>15050</v>
      </c>
      <c r="H669" s="247">
        <f>H670</f>
        <v>15050</v>
      </c>
      <c r="I669" s="248">
        <f t="shared" si="73"/>
        <v>0</v>
      </c>
      <c r="J669" s="191">
        <f>J670</f>
        <v>15650</v>
      </c>
      <c r="K669" s="247">
        <f>K670</f>
        <v>15650</v>
      </c>
      <c r="L669" s="287">
        <f t="shared" si="74"/>
        <v>0</v>
      </c>
    </row>
    <row r="670" spans="1:12" x14ac:dyDescent="0.2">
      <c r="A670" s="189" t="s">
        <v>923</v>
      </c>
      <c r="B670" s="189"/>
      <c r="C670" s="189" t="s">
        <v>747</v>
      </c>
      <c r="D670" s="189" t="s">
        <v>531</v>
      </c>
      <c r="E670" s="189" t="s">
        <v>922</v>
      </c>
      <c r="F670" s="189"/>
      <c r="G670" s="247">
        <f>G671+G683</f>
        <v>15050</v>
      </c>
      <c r="H670" s="247">
        <f>H671+H683</f>
        <v>15050</v>
      </c>
      <c r="I670" s="248">
        <f t="shared" si="73"/>
        <v>0</v>
      </c>
      <c r="J670" s="191">
        <f>J671+J683</f>
        <v>15650</v>
      </c>
      <c r="K670" s="247">
        <f>K671+K683</f>
        <v>15650</v>
      </c>
      <c r="L670" s="287">
        <f t="shared" si="74"/>
        <v>0</v>
      </c>
    </row>
    <row r="671" spans="1:12" x14ac:dyDescent="0.2">
      <c r="A671" s="189" t="s">
        <v>921</v>
      </c>
      <c r="B671" s="189"/>
      <c r="C671" s="189" t="s">
        <v>747</v>
      </c>
      <c r="D671" s="189" t="s">
        <v>531</v>
      </c>
      <c r="E671" s="189" t="s">
        <v>920</v>
      </c>
      <c r="F671" s="189"/>
      <c r="G671" s="247">
        <f>G679+G672</f>
        <v>14050</v>
      </c>
      <c r="H671" s="247">
        <f>H679+H672</f>
        <v>14050</v>
      </c>
      <c r="I671" s="248">
        <f t="shared" si="73"/>
        <v>0</v>
      </c>
      <c r="J671" s="191">
        <f>J679+J672</f>
        <v>14150</v>
      </c>
      <c r="K671" s="247">
        <f>K679+K672</f>
        <v>14150</v>
      </c>
      <c r="L671" s="287">
        <f t="shared" si="74"/>
        <v>0</v>
      </c>
    </row>
    <row r="672" spans="1:12" s="241" customFormat="1" ht="24" x14ac:dyDescent="0.2">
      <c r="A672" s="189" t="s">
        <v>1015</v>
      </c>
      <c r="B672" s="189"/>
      <c r="C672" s="189" t="s">
        <v>747</v>
      </c>
      <c r="D672" s="189" t="s">
        <v>531</v>
      </c>
      <c r="E672" s="189" t="s">
        <v>1014</v>
      </c>
      <c r="F672" s="190"/>
      <c r="G672" s="247">
        <f>G673+G676</f>
        <v>14000</v>
      </c>
      <c r="H672" s="247">
        <f>H673+H676</f>
        <v>14000</v>
      </c>
      <c r="I672" s="248">
        <f t="shared" si="73"/>
        <v>0</v>
      </c>
      <c r="J672" s="191">
        <f>J673+J676</f>
        <v>14000</v>
      </c>
      <c r="K672" s="247">
        <f>K673+K676</f>
        <v>14000</v>
      </c>
      <c r="L672" s="287">
        <f t="shared" si="74"/>
        <v>0</v>
      </c>
    </row>
    <row r="673" spans="1:12" s="241" customFormat="1" ht="24" x14ac:dyDescent="0.2">
      <c r="A673" s="189" t="s">
        <v>917</v>
      </c>
      <c r="B673" s="189"/>
      <c r="C673" s="189" t="s">
        <v>747</v>
      </c>
      <c r="D673" s="189" t="s">
        <v>531</v>
      </c>
      <c r="E673" s="189" t="s">
        <v>1377</v>
      </c>
      <c r="F673" s="190"/>
      <c r="G673" s="247">
        <f>G674</f>
        <v>4000</v>
      </c>
      <c r="H673" s="247">
        <f>H674</f>
        <v>4000</v>
      </c>
      <c r="I673" s="248">
        <f t="shared" si="73"/>
        <v>0</v>
      </c>
      <c r="J673" s="191">
        <f>J674</f>
        <v>4000</v>
      </c>
      <c r="K673" s="247">
        <f>K674</f>
        <v>4000</v>
      </c>
      <c r="L673" s="287">
        <f t="shared" si="74"/>
        <v>0</v>
      </c>
    </row>
    <row r="674" spans="1:12" s="241" customFormat="1" ht="24" x14ac:dyDescent="0.2">
      <c r="A674" s="189" t="s">
        <v>1347</v>
      </c>
      <c r="B674" s="189"/>
      <c r="C674" s="189" t="s">
        <v>747</v>
      </c>
      <c r="D674" s="189" t="s">
        <v>531</v>
      </c>
      <c r="E674" s="189" t="s">
        <v>1377</v>
      </c>
      <c r="F674" s="190">
        <v>200</v>
      </c>
      <c r="G674" s="247">
        <f>G675</f>
        <v>4000</v>
      </c>
      <c r="H674" s="247">
        <f>H675</f>
        <v>4000</v>
      </c>
      <c r="I674" s="248">
        <f t="shared" si="73"/>
        <v>0</v>
      </c>
      <c r="J674" s="191">
        <f>J675</f>
        <v>4000</v>
      </c>
      <c r="K674" s="247">
        <f>K675</f>
        <v>4000</v>
      </c>
      <c r="L674" s="287">
        <f t="shared" si="74"/>
        <v>0</v>
      </c>
    </row>
    <row r="675" spans="1:12" s="241" customFormat="1" ht="24" x14ac:dyDescent="0.2">
      <c r="A675" s="189" t="s">
        <v>534</v>
      </c>
      <c r="B675" s="189"/>
      <c r="C675" s="189" t="s">
        <v>747</v>
      </c>
      <c r="D675" s="189" t="s">
        <v>531</v>
      </c>
      <c r="E675" s="189" t="s">
        <v>1377</v>
      </c>
      <c r="F675" s="190">
        <v>240</v>
      </c>
      <c r="G675" s="247">
        <v>4000</v>
      </c>
      <c r="H675" s="247">
        <v>4000</v>
      </c>
      <c r="I675" s="248">
        <f t="shared" si="73"/>
        <v>0</v>
      </c>
      <c r="J675" s="191">
        <v>4000</v>
      </c>
      <c r="K675" s="247">
        <v>4000</v>
      </c>
      <c r="L675" s="287">
        <f t="shared" ref="L675:L678" si="77">K675-J675</f>
        <v>0</v>
      </c>
    </row>
    <row r="676" spans="1:12" s="241" customFormat="1" ht="24" x14ac:dyDescent="0.2">
      <c r="A676" s="189" t="s">
        <v>915</v>
      </c>
      <c r="B676" s="190"/>
      <c r="C676" s="189" t="s">
        <v>747</v>
      </c>
      <c r="D676" s="189" t="s">
        <v>531</v>
      </c>
      <c r="E676" s="189" t="s">
        <v>1386</v>
      </c>
      <c r="F676" s="190"/>
      <c r="G676" s="247">
        <f>G677</f>
        <v>10000</v>
      </c>
      <c r="H676" s="247">
        <f>H677</f>
        <v>10000</v>
      </c>
      <c r="I676" s="248">
        <f t="shared" si="73"/>
        <v>0</v>
      </c>
      <c r="J676" s="191">
        <f t="shared" ref="J676:K677" si="78">J677</f>
        <v>10000</v>
      </c>
      <c r="K676" s="247">
        <f t="shared" si="78"/>
        <v>10000</v>
      </c>
      <c r="L676" s="287">
        <f t="shared" si="77"/>
        <v>0</v>
      </c>
    </row>
    <row r="677" spans="1:12" s="241" customFormat="1" ht="24" x14ac:dyDescent="0.2">
      <c r="A677" s="189" t="s">
        <v>1347</v>
      </c>
      <c r="B677" s="190"/>
      <c r="C677" s="189" t="s">
        <v>747</v>
      </c>
      <c r="D677" s="189" t="s">
        <v>531</v>
      </c>
      <c r="E677" s="189" t="s">
        <v>1386</v>
      </c>
      <c r="F677" s="190">
        <v>200</v>
      </c>
      <c r="G677" s="247">
        <f>G678</f>
        <v>10000</v>
      </c>
      <c r="H677" s="247">
        <f>H678</f>
        <v>10000</v>
      </c>
      <c r="I677" s="248">
        <f t="shared" si="73"/>
        <v>0</v>
      </c>
      <c r="J677" s="191">
        <f t="shared" si="78"/>
        <v>10000</v>
      </c>
      <c r="K677" s="247">
        <f t="shared" si="78"/>
        <v>10000</v>
      </c>
      <c r="L677" s="287">
        <f t="shared" si="77"/>
        <v>0</v>
      </c>
    </row>
    <row r="678" spans="1:12" s="241" customFormat="1" ht="24" x14ac:dyDescent="0.2">
      <c r="A678" s="189" t="s">
        <v>534</v>
      </c>
      <c r="B678" s="190"/>
      <c r="C678" s="189" t="s">
        <v>747</v>
      </c>
      <c r="D678" s="189" t="s">
        <v>531</v>
      </c>
      <c r="E678" s="189" t="s">
        <v>1386</v>
      </c>
      <c r="F678" s="190">
        <v>240</v>
      </c>
      <c r="G678" s="247">
        <v>10000</v>
      </c>
      <c r="H678" s="247">
        <v>10000</v>
      </c>
      <c r="I678" s="248">
        <f t="shared" si="73"/>
        <v>0</v>
      </c>
      <c r="J678" s="191">
        <v>10000</v>
      </c>
      <c r="K678" s="247">
        <v>10000</v>
      </c>
      <c r="L678" s="287">
        <f t="shared" si="77"/>
        <v>0</v>
      </c>
    </row>
    <row r="679" spans="1:12" ht="24" x14ac:dyDescent="0.2">
      <c r="A679" s="189" t="s">
        <v>919</v>
      </c>
      <c r="B679" s="189"/>
      <c r="C679" s="189" t="s">
        <v>747</v>
      </c>
      <c r="D679" s="189" t="s">
        <v>531</v>
      </c>
      <c r="E679" s="189" t="s">
        <v>918</v>
      </c>
      <c r="F679" s="189"/>
      <c r="G679" s="247">
        <f t="shared" ref="G679:H681" si="79">G680</f>
        <v>50</v>
      </c>
      <c r="H679" s="247">
        <f t="shared" si="79"/>
        <v>50</v>
      </c>
      <c r="I679" s="248">
        <f t="shared" si="73"/>
        <v>0</v>
      </c>
      <c r="J679" s="191">
        <f t="shared" ref="J679:K679" si="80">J680</f>
        <v>150</v>
      </c>
      <c r="K679" s="247">
        <f t="shared" si="80"/>
        <v>150</v>
      </c>
      <c r="L679" s="287">
        <f t="shared" si="74"/>
        <v>0</v>
      </c>
    </row>
    <row r="680" spans="1:12" ht="24" x14ac:dyDescent="0.2">
      <c r="A680" s="189" t="s">
        <v>917</v>
      </c>
      <c r="B680" s="189"/>
      <c r="C680" s="189" t="s">
        <v>747</v>
      </c>
      <c r="D680" s="189" t="s">
        <v>531</v>
      </c>
      <c r="E680" s="189" t="s">
        <v>916</v>
      </c>
      <c r="F680" s="189"/>
      <c r="G680" s="247">
        <f t="shared" si="79"/>
        <v>50</v>
      </c>
      <c r="H680" s="247">
        <f t="shared" si="79"/>
        <v>50</v>
      </c>
      <c r="I680" s="248">
        <f t="shared" si="73"/>
        <v>0</v>
      </c>
      <c r="J680" s="191">
        <f>J681</f>
        <v>150</v>
      </c>
      <c r="K680" s="247">
        <f>K681</f>
        <v>150</v>
      </c>
      <c r="L680" s="287">
        <f t="shared" si="74"/>
        <v>0</v>
      </c>
    </row>
    <row r="681" spans="1:12" ht="24" x14ac:dyDescent="0.2">
      <c r="A681" s="189" t="s">
        <v>1347</v>
      </c>
      <c r="B681" s="189"/>
      <c r="C681" s="189" t="s">
        <v>747</v>
      </c>
      <c r="D681" s="189" t="s">
        <v>531</v>
      </c>
      <c r="E681" s="189" t="s">
        <v>916</v>
      </c>
      <c r="F681" s="189" t="s">
        <v>535</v>
      </c>
      <c r="G681" s="247">
        <f t="shared" si="79"/>
        <v>50</v>
      </c>
      <c r="H681" s="247">
        <f t="shared" si="79"/>
        <v>50</v>
      </c>
      <c r="I681" s="248">
        <f t="shared" si="73"/>
        <v>0</v>
      </c>
      <c r="J681" s="191">
        <f>J682</f>
        <v>150</v>
      </c>
      <c r="K681" s="247">
        <f>K682</f>
        <v>150</v>
      </c>
      <c r="L681" s="287">
        <f t="shared" si="74"/>
        <v>0</v>
      </c>
    </row>
    <row r="682" spans="1:12" ht="24" x14ac:dyDescent="0.2">
      <c r="A682" s="189" t="s">
        <v>534</v>
      </c>
      <c r="B682" s="189"/>
      <c r="C682" s="189" t="s">
        <v>747</v>
      </c>
      <c r="D682" s="189" t="s">
        <v>531</v>
      </c>
      <c r="E682" s="189" t="s">
        <v>916</v>
      </c>
      <c r="F682" s="189" t="s">
        <v>529</v>
      </c>
      <c r="G682" s="247">
        <f>5280-5230</f>
        <v>50</v>
      </c>
      <c r="H682" s="247">
        <f>5280-5230</f>
        <v>50</v>
      </c>
      <c r="I682" s="248">
        <f t="shared" si="73"/>
        <v>0</v>
      </c>
      <c r="J682" s="191">
        <f>6090-5940</f>
        <v>150</v>
      </c>
      <c r="K682" s="247">
        <f>6090-5940</f>
        <v>150</v>
      </c>
      <c r="L682" s="287">
        <f t="shared" si="74"/>
        <v>0</v>
      </c>
    </row>
    <row r="683" spans="1:12" s="241" customFormat="1" x14ac:dyDescent="0.2">
      <c r="A683" s="189" t="s">
        <v>1380</v>
      </c>
      <c r="B683" s="190"/>
      <c r="C683" s="189" t="s">
        <v>747</v>
      </c>
      <c r="D683" s="189" t="s">
        <v>531</v>
      </c>
      <c r="E683" s="189" t="s">
        <v>1383</v>
      </c>
      <c r="F683" s="190"/>
      <c r="G683" s="247">
        <f t="shared" ref="G683:H686" si="81">G684</f>
        <v>1000</v>
      </c>
      <c r="H683" s="247">
        <f t="shared" si="81"/>
        <v>1000</v>
      </c>
      <c r="I683" s="248">
        <f t="shared" si="73"/>
        <v>0</v>
      </c>
      <c r="J683" s="191">
        <f t="shared" ref="J683:K686" si="82">J684</f>
        <v>1500</v>
      </c>
      <c r="K683" s="247">
        <f t="shared" si="82"/>
        <v>1500</v>
      </c>
      <c r="L683" s="287">
        <f t="shared" si="74"/>
        <v>0</v>
      </c>
    </row>
    <row r="684" spans="1:12" s="241" customFormat="1" ht="24" x14ac:dyDescent="0.2">
      <c r="A684" s="189" t="s">
        <v>1381</v>
      </c>
      <c r="B684" s="190"/>
      <c r="C684" s="189" t="s">
        <v>747</v>
      </c>
      <c r="D684" s="189" t="s">
        <v>531</v>
      </c>
      <c r="E684" s="189" t="s">
        <v>1384</v>
      </c>
      <c r="F684" s="190"/>
      <c r="G684" s="247">
        <f t="shared" si="81"/>
        <v>1000</v>
      </c>
      <c r="H684" s="247">
        <f t="shared" si="81"/>
        <v>1000</v>
      </c>
      <c r="I684" s="248">
        <f t="shared" si="73"/>
        <v>0</v>
      </c>
      <c r="J684" s="191">
        <f t="shared" si="82"/>
        <v>1500</v>
      </c>
      <c r="K684" s="247">
        <f t="shared" si="82"/>
        <v>1500</v>
      </c>
      <c r="L684" s="287">
        <f t="shared" si="74"/>
        <v>0</v>
      </c>
    </row>
    <row r="685" spans="1:12" s="241" customFormat="1" ht="24" x14ac:dyDescent="0.2">
      <c r="A685" s="189" t="s">
        <v>1382</v>
      </c>
      <c r="B685" s="190"/>
      <c r="C685" s="189" t="s">
        <v>747</v>
      </c>
      <c r="D685" s="189" t="s">
        <v>531</v>
      </c>
      <c r="E685" s="189" t="s">
        <v>1385</v>
      </c>
      <c r="F685" s="190"/>
      <c r="G685" s="247">
        <f t="shared" si="81"/>
        <v>1000</v>
      </c>
      <c r="H685" s="247">
        <f t="shared" si="81"/>
        <v>1000</v>
      </c>
      <c r="I685" s="248">
        <f t="shared" si="73"/>
        <v>0</v>
      </c>
      <c r="J685" s="191">
        <f t="shared" si="82"/>
        <v>1500</v>
      </c>
      <c r="K685" s="247">
        <f t="shared" si="82"/>
        <v>1500</v>
      </c>
      <c r="L685" s="287">
        <f t="shared" si="74"/>
        <v>0</v>
      </c>
    </row>
    <row r="686" spans="1:12" s="241" customFormat="1" ht="24" x14ac:dyDescent="0.2">
      <c r="A686" s="189" t="s">
        <v>1347</v>
      </c>
      <c r="B686" s="190"/>
      <c r="C686" s="189" t="s">
        <v>747</v>
      </c>
      <c r="D686" s="189" t="s">
        <v>531</v>
      </c>
      <c r="E686" s="189" t="s">
        <v>1385</v>
      </c>
      <c r="F686" s="190" t="s">
        <v>535</v>
      </c>
      <c r="G686" s="247">
        <f t="shared" si="81"/>
        <v>1000</v>
      </c>
      <c r="H686" s="247">
        <f t="shared" si="81"/>
        <v>1000</v>
      </c>
      <c r="I686" s="248">
        <f t="shared" si="73"/>
        <v>0</v>
      </c>
      <c r="J686" s="191">
        <f t="shared" si="82"/>
        <v>1500</v>
      </c>
      <c r="K686" s="247">
        <f t="shared" si="82"/>
        <v>1500</v>
      </c>
      <c r="L686" s="287">
        <f t="shared" si="74"/>
        <v>0</v>
      </c>
    </row>
    <row r="687" spans="1:12" s="241" customFormat="1" ht="24" x14ac:dyDescent="0.2">
      <c r="A687" s="189" t="s">
        <v>534</v>
      </c>
      <c r="B687" s="190"/>
      <c r="C687" s="189" t="s">
        <v>747</v>
      </c>
      <c r="D687" s="189" t="s">
        <v>531</v>
      </c>
      <c r="E687" s="189" t="s">
        <v>1385</v>
      </c>
      <c r="F687" s="190" t="s">
        <v>529</v>
      </c>
      <c r="G687" s="247">
        <v>1000</v>
      </c>
      <c r="H687" s="247">
        <v>1000</v>
      </c>
      <c r="I687" s="248">
        <f t="shared" si="73"/>
        <v>0</v>
      </c>
      <c r="J687" s="191">
        <v>1500</v>
      </c>
      <c r="K687" s="247">
        <v>1500</v>
      </c>
      <c r="L687" s="287">
        <f t="shared" si="74"/>
        <v>0</v>
      </c>
    </row>
    <row r="688" spans="1:12" s="78" customFormat="1" x14ac:dyDescent="0.2">
      <c r="A688" s="185" t="s">
        <v>612</v>
      </c>
      <c r="B688" s="185"/>
      <c r="C688" s="185" t="s">
        <v>609</v>
      </c>
      <c r="D688" s="185"/>
      <c r="E688" s="185"/>
      <c r="F688" s="185"/>
      <c r="G688" s="245">
        <f>G689+G705+G722+G729+G736</f>
        <v>2576405.2000000002</v>
      </c>
      <c r="H688" s="245">
        <f>H689+H705+H722+H729+H736</f>
        <v>1402597.5</v>
      </c>
      <c r="I688" s="246">
        <f t="shared" si="73"/>
        <v>-1173807.7000000002</v>
      </c>
      <c r="J688" s="187">
        <f>J689+J705+J722+J729+J736-0.1</f>
        <v>2618114.1999999997</v>
      </c>
      <c r="K688" s="245">
        <f>K689+K705+K722+K729+K736-0.1</f>
        <v>3676351.5999999996</v>
      </c>
      <c r="L688" s="286">
        <f t="shared" si="74"/>
        <v>1058237.3999999999</v>
      </c>
    </row>
    <row r="689" spans="1:12" x14ac:dyDescent="0.2">
      <c r="A689" s="189" t="s">
        <v>728</v>
      </c>
      <c r="B689" s="189"/>
      <c r="C689" s="189" t="s">
        <v>609</v>
      </c>
      <c r="D689" s="189" t="s">
        <v>498</v>
      </c>
      <c r="E689" s="189"/>
      <c r="F689" s="189"/>
      <c r="G689" s="247">
        <f>G690+G696</f>
        <v>591286.29999999993</v>
      </c>
      <c r="H689" s="247">
        <f>H690+H696</f>
        <v>279972.89999999991</v>
      </c>
      <c r="I689" s="248">
        <f t="shared" si="73"/>
        <v>-311313.40000000002</v>
      </c>
      <c r="J689" s="191">
        <f>J690+J696</f>
        <v>570082.69999999995</v>
      </c>
      <c r="K689" s="247">
        <f>K690+K696</f>
        <v>820523.10000000009</v>
      </c>
      <c r="L689" s="287">
        <f t="shared" si="74"/>
        <v>250440.40000000014</v>
      </c>
    </row>
    <row r="690" spans="1:12" x14ac:dyDescent="0.2">
      <c r="A690" s="189" t="s">
        <v>568</v>
      </c>
      <c r="B690" s="189"/>
      <c r="C690" s="189" t="s">
        <v>609</v>
      </c>
      <c r="D690" s="189" t="s">
        <v>498</v>
      </c>
      <c r="E690" s="189" t="s">
        <v>567</v>
      </c>
      <c r="F690" s="189"/>
      <c r="G690" s="247">
        <v>800</v>
      </c>
      <c r="H690" s="247">
        <v>800</v>
      </c>
      <c r="I690" s="248">
        <f t="shared" si="73"/>
        <v>0</v>
      </c>
      <c r="J690" s="191">
        <v>800</v>
      </c>
      <c r="K690" s="247">
        <v>800</v>
      </c>
      <c r="L690" s="287">
        <f t="shared" si="74"/>
        <v>0</v>
      </c>
    </row>
    <row r="691" spans="1:12" x14ac:dyDescent="0.2">
      <c r="A691" s="189" t="s">
        <v>566</v>
      </c>
      <c r="B691" s="189"/>
      <c r="C691" s="189" t="s">
        <v>609</v>
      </c>
      <c r="D691" s="189" t="s">
        <v>498</v>
      </c>
      <c r="E691" s="189" t="s">
        <v>565</v>
      </c>
      <c r="F691" s="189"/>
      <c r="G691" s="247">
        <v>800</v>
      </c>
      <c r="H691" s="247">
        <v>800</v>
      </c>
      <c r="I691" s="248">
        <f t="shared" si="73"/>
        <v>0</v>
      </c>
      <c r="J691" s="191">
        <v>800</v>
      </c>
      <c r="K691" s="247">
        <v>800</v>
      </c>
      <c r="L691" s="287">
        <f t="shared" si="74"/>
        <v>0</v>
      </c>
    </row>
    <row r="692" spans="1:12" ht="24.75" customHeight="1" x14ac:dyDescent="0.2">
      <c r="A692" s="189" t="s">
        <v>1387</v>
      </c>
      <c r="B692" s="189"/>
      <c r="C692" s="189" t="s">
        <v>609</v>
      </c>
      <c r="D692" s="189" t="s">
        <v>498</v>
      </c>
      <c r="E692" s="189" t="s">
        <v>578</v>
      </c>
      <c r="F692" s="189"/>
      <c r="G692" s="247">
        <v>800</v>
      </c>
      <c r="H692" s="247">
        <v>800</v>
      </c>
      <c r="I692" s="248">
        <f t="shared" si="73"/>
        <v>0</v>
      </c>
      <c r="J692" s="191">
        <v>800</v>
      </c>
      <c r="K692" s="247">
        <v>800</v>
      </c>
      <c r="L692" s="287">
        <f t="shared" si="74"/>
        <v>0</v>
      </c>
    </row>
    <row r="693" spans="1:12" ht="24" x14ac:dyDescent="0.2">
      <c r="A693" s="189" t="s">
        <v>914</v>
      </c>
      <c r="B693" s="189"/>
      <c r="C693" s="189" t="s">
        <v>609</v>
      </c>
      <c r="D693" s="189" t="s">
        <v>498</v>
      </c>
      <c r="E693" s="189" t="s">
        <v>913</v>
      </c>
      <c r="F693" s="189"/>
      <c r="G693" s="247">
        <v>800</v>
      </c>
      <c r="H693" s="247">
        <v>800</v>
      </c>
      <c r="I693" s="248">
        <f t="shared" si="73"/>
        <v>0</v>
      </c>
      <c r="J693" s="191">
        <v>800</v>
      </c>
      <c r="K693" s="247">
        <v>800</v>
      </c>
      <c r="L693" s="287">
        <f t="shared" si="74"/>
        <v>0</v>
      </c>
    </row>
    <row r="694" spans="1:12" ht="24" x14ac:dyDescent="0.2">
      <c r="A694" s="189" t="s">
        <v>1347</v>
      </c>
      <c r="B694" s="189"/>
      <c r="C694" s="189" t="s">
        <v>609</v>
      </c>
      <c r="D694" s="189" t="s">
        <v>498</v>
      </c>
      <c r="E694" s="189" t="s">
        <v>913</v>
      </c>
      <c r="F694" s="189" t="s">
        <v>535</v>
      </c>
      <c r="G694" s="247">
        <v>800</v>
      </c>
      <c r="H694" s="247">
        <v>800</v>
      </c>
      <c r="I694" s="248">
        <f t="shared" si="73"/>
        <v>0</v>
      </c>
      <c r="J694" s="191">
        <v>800</v>
      </c>
      <c r="K694" s="247">
        <v>800</v>
      </c>
      <c r="L694" s="287">
        <f t="shared" si="74"/>
        <v>0</v>
      </c>
    </row>
    <row r="695" spans="1:12" ht="24" x14ac:dyDescent="0.2">
      <c r="A695" s="189" t="s">
        <v>534</v>
      </c>
      <c r="B695" s="189"/>
      <c r="C695" s="189" t="s">
        <v>609</v>
      </c>
      <c r="D695" s="189" t="s">
        <v>498</v>
      </c>
      <c r="E695" s="189" t="s">
        <v>913</v>
      </c>
      <c r="F695" s="189" t="s">
        <v>529</v>
      </c>
      <c r="G695" s="247">
        <v>800</v>
      </c>
      <c r="H695" s="247">
        <v>800</v>
      </c>
      <c r="I695" s="248">
        <f t="shared" si="73"/>
        <v>0</v>
      </c>
      <c r="J695" s="191">
        <v>800</v>
      </c>
      <c r="K695" s="247">
        <v>800</v>
      </c>
      <c r="L695" s="287">
        <f t="shared" si="74"/>
        <v>0</v>
      </c>
    </row>
    <row r="696" spans="1:12" ht="24" x14ac:dyDescent="0.2">
      <c r="A696" s="189" t="s">
        <v>908</v>
      </c>
      <c r="B696" s="189"/>
      <c r="C696" s="189" t="s">
        <v>609</v>
      </c>
      <c r="D696" s="189" t="s">
        <v>498</v>
      </c>
      <c r="E696" s="189" t="s">
        <v>907</v>
      </c>
      <c r="F696" s="189"/>
      <c r="G696" s="247">
        <f>G697</f>
        <v>590486.29999999993</v>
      </c>
      <c r="H696" s="247">
        <f>H697</f>
        <v>279172.89999999991</v>
      </c>
      <c r="I696" s="248">
        <f t="shared" si="73"/>
        <v>-311313.40000000002</v>
      </c>
      <c r="J696" s="191">
        <f>J697</f>
        <v>569282.69999999995</v>
      </c>
      <c r="K696" s="247">
        <f>K697</f>
        <v>819723.10000000009</v>
      </c>
      <c r="L696" s="287">
        <f t="shared" si="74"/>
        <v>250440.40000000014</v>
      </c>
    </row>
    <row r="697" spans="1:12" x14ac:dyDescent="0.2">
      <c r="A697" s="189" t="s">
        <v>906</v>
      </c>
      <c r="B697" s="189"/>
      <c r="C697" s="189" t="s">
        <v>609</v>
      </c>
      <c r="D697" s="189" t="s">
        <v>498</v>
      </c>
      <c r="E697" s="189" t="s">
        <v>905</v>
      </c>
      <c r="F697" s="189"/>
      <c r="G697" s="247">
        <f>G698</f>
        <v>590486.29999999993</v>
      </c>
      <c r="H697" s="247">
        <f>H698</f>
        <v>279172.89999999991</v>
      </c>
      <c r="I697" s="248">
        <f t="shared" si="73"/>
        <v>-311313.40000000002</v>
      </c>
      <c r="J697" s="191">
        <f>J698</f>
        <v>569282.69999999995</v>
      </c>
      <c r="K697" s="247">
        <f>K698</f>
        <v>819723.10000000009</v>
      </c>
      <c r="L697" s="287">
        <f t="shared" si="74"/>
        <v>250440.40000000014</v>
      </c>
    </row>
    <row r="698" spans="1:12" ht="24" x14ac:dyDescent="0.2">
      <c r="A698" s="189" t="s">
        <v>912</v>
      </c>
      <c r="B698" s="189"/>
      <c r="C698" s="189" t="s">
        <v>609</v>
      </c>
      <c r="D698" s="189" t="s">
        <v>498</v>
      </c>
      <c r="E698" s="189" t="s">
        <v>911</v>
      </c>
      <c r="F698" s="189"/>
      <c r="G698" s="247">
        <f>G699+G702</f>
        <v>590486.29999999993</v>
      </c>
      <c r="H698" s="247">
        <f>H699+H702</f>
        <v>279172.89999999991</v>
      </c>
      <c r="I698" s="248">
        <f t="shared" si="73"/>
        <v>-311313.40000000002</v>
      </c>
      <c r="J698" s="191">
        <f>J699+J702</f>
        <v>569282.69999999995</v>
      </c>
      <c r="K698" s="247">
        <f>K699+K702</f>
        <v>819723.10000000009</v>
      </c>
      <c r="L698" s="287">
        <f t="shared" si="74"/>
        <v>250440.40000000014</v>
      </c>
    </row>
    <row r="699" spans="1:12" x14ac:dyDescent="0.2">
      <c r="A699" s="189" t="s">
        <v>910</v>
      </c>
      <c r="B699" s="189"/>
      <c r="C699" s="189" t="s">
        <v>609</v>
      </c>
      <c r="D699" s="189" t="s">
        <v>498</v>
      </c>
      <c r="E699" s="189" t="s">
        <v>909</v>
      </c>
      <c r="F699" s="189"/>
      <c r="G699" s="247">
        <f>G700</f>
        <v>340613.99999999994</v>
      </c>
      <c r="H699" s="247">
        <f>H700</f>
        <v>179172.89999999994</v>
      </c>
      <c r="I699" s="248">
        <f t="shared" si="73"/>
        <v>-161441.1</v>
      </c>
      <c r="J699" s="191">
        <f>J700</f>
        <v>556394.69999999995</v>
      </c>
      <c r="K699" s="247">
        <f>K700</f>
        <v>561962.80000000005</v>
      </c>
      <c r="L699" s="287">
        <f t="shared" si="74"/>
        <v>5568.1000000000931</v>
      </c>
    </row>
    <row r="700" spans="1:12" ht="24" x14ac:dyDescent="0.2">
      <c r="A700" s="189" t="s">
        <v>1355</v>
      </c>
      <c r="B700" s="189"/>
      <c r="C700" s="189" t="s">
        <v>609</v>
      </c>
      <c r="D700" s="189" t="s">
        <v>498</v>
      </c>
      <c r="E700" s="189" t="s">
        <v>909</v>
      </c>
      <c r="F700" s="189" t="s">
        <v>824</v>
      </c>
      <c r="G700" s="247">
        <f>G701</f>
        <v>340613.99999999994</v>
      </c>
      <c r="H700" s="247">
        <f>H701</f>
        <v>179172.89999999994</v>
      </c>
      <c r="I700" s="248">
        <f t="shared" si="73"/>
        <v>-161441.1</v>
      </c>
      <c r="J700" s="191">
        <f>J701</f>
        <v>556394.69999999995</v>
      </c>
      <c r="K700" s="247">
        <f>K701</f>
        <v>561962.80000000005</v>
      </c>
      <c r="L700" s="287">
        <f t="shared" si="74"/>
        <v>5568.1000000000931</v>
      </c>
    </row>
    <row r="701" spans="1:12" x14ac:dyDescent="0.2">
      <c r="A701" s="189" t="s">
        <v>823</v>
      </c>
      <c r="B701" s="189"/>
      <c r="C701" s="189" t="s">
        <v>609</v>
      </c>
      <c r="D701" s="189" t="s">
        <v>498</v>
      </c>
      <c r="E701" s="189" t="s">
        <v>909</v>
      </c>
      <c r="F701" s="189" t="s">
        <v>821</v>
      </c>
      <c r="G701" s="247">
        <f>370077.8+1655.8+1058.6-32178.2</f>
        <v>340613.99999999994</v>
      </c>
      <c r="H701" s="247">
        <f>370077.8+1655.8+1058.6-32178.2-161441.1</f>
        <v>179172.89999999994</v>
      </c>
      <c r="I701" s="248">
        <f t="shared" si="73"/>
        <v>-161441.1</v>
      </c>
      <c r="J701" s="191">
        <f>507458+48936.7</f>
        <v>556394.69999999995</v>
      </c>
      <c r="K701" s="247">
        <f>507458+48936.7-20033.2+25601.3</f>
        <v>561962.80000000005</v>
      </c>
      <c r="L701" s="287">
        <f t="shared" si="74"/>
        <v>5568.1000000000931</v>
      </c>
    </row>
    <row r="702" spans="1:12" s="295" customFormat="1" ht="22.5" x14ac:dyDescent="0.2">
      <c r="A702" s="202" t="s">
        <v>1408</v>
      </c>
      <c r="B702" s="189"/>
      <c r="C702" s="297" t="s">
        <v>609</v>
      </c>
      <c r="D702" s="297" t="s">
        <v>498</v>
      </c>
      <c r="E702" s="297" t="s">
        <v>1409</v>
      </c>
      <c r="F702" s="297"/>
      <c r="G702" s="247">
        <f>G703</f>
        <v>249872.3</v>
      </c>
      <c r="H702" s="247">
        <f>H703</f>
        <v>100000</v>
      </c>
      <c r="I702" s="248">
        <f t="shared" si="73"/>
        <v>-149872.29999999999</v>
      </c>
      <c r="J702" s="191">
        <f>J703</f>
        <v>12888</v>
      </c>
      <c r="K702" s="247">
        <f>K703</f>
        <v>257760.3</v>
      </c>
      <c r="L702" s="287">
        <f t="shared" si="74"/>
        <v>244872.3</v>
      </c>
    </row>
    <row r="703" spans="1:12" s="295" customFormat="1" x14ac:dyDescent="0.2">
      <c r="A703" s="202" t="s">
        <v>1355</v>
      </c>
      <c r="B703" s="189"/>
      <c r="C703" s="297" t="s">
        <v>609</v>
      </c>
      <c r="D703" s="297" t="s">
        <v>498</v>
      </c>
      <c r="E703" s="297" t="s">
        <v>1409</v>
      </c>
      <c r="F703" s="297" t="s">
        <v>824</v>
      </c>
      <c r="G703" s="247">
        <f>G704</f>
        <v>249872.3</v>
      </c>
      <c r="H703" s="247">
        <f>H704</f>
        <v>100000</v>
      </c>
      <c r="I703" s="248">
        <f t="shared" si="73"/>
        <v>-149872.29999999999</v>
      </c>
      <c r="J703" s="191">
        <f>J704</f>
        <v>12888</v>
      </c>
      <c r="K703" s="247">
        <f>K704</f>
        <v>257760.3</v>
      </c>
      <c r="L703" s="287">
        <f t="shared" si="74"/>
        <v>244872.3</v>
      </c>
    </row>
    <row r="704" spans="1:12" s="295" customFormat="1" x14ac:dyDescent="0.2">
      <c r="A704" s="202" t="s">
        <v>823</v>
      </c>
      <c r="B704" s="189"/>
      <c r="C704" s="297" t="s">
        <v>609</v>
      </c>
      <c r="D704" s="297" t="s">
        <v>498</v>
      </c>
      <c r="E704" s="297" t="s">
        <v>1409</v>
      </c>
      <c r="F704" s="297" t="s">
        <v>821</v>
      </c>
      <c r="G704" s="247">
        <f>244872.3+12888-7888</f>
        <v>249872.3</v>
      </c>
      <c r="H704" s="247">
        <f>244872.3+12888-7888-149872.3</f>
        <v>100000</v>
      </c>
      <c r="I704" s="248">
        <f t="shared" si="73"/>
        <v>-149872.29999999999</v>
      </c>
      <c r="J704" s="191">
        <v>12888</v>
      </c>
      <c r="K704" s="247">
        <f>12888+244872.3</f>
        <v>257760.3</v>
      </c>
      <c r="L704" s="287">
        <f t="shared" si="74"/>
        <v>244872.3</v>
      </c>
    </row>
    <row r="705" spans="1:12" x14ac:dyDescent="0.2">
      <c r="A705" s="189" t="s">
        <v>717</v>
      </c>
      <c r="B705" s="189"/>
      <c r="C705" s="189" t="s">
        <v>609</v>
      </c>
      <c r="D705" s="189" t="s">
        <v>502</v>
      </c>
      <c r="E705" s="189"/>
      <c r="F705" s="189"/>
      <c r="G705" s="247">
        <f>G706+G712</f>
        <v>1938434.4000000001</v>
      </c>
      <c r="H705" s="247">
        <f>H706+H712</f>
        <v>1075940.1000000001</v>
      </c>
      <c r="I705" s="248">
        <f t="shared" si="73"/>
        <v>-862494.3</v>
      </c>
      <c r="J705" s="191">
        <f>J706+J712</f>
        <v>2001347.1</v>
      </c>
      <c r="K705" s="247">
        <f>K706+K712</f>
        <v>2809144.0999999996</v>
      </c>
      <c r="L705" s="287">
        <f t="shared" si="74"/>
        <v>807796.99999999953</v>
      </c>
    </row>
    <row r="706" spans="1:12" x14ac:dyDescent="0.2">
      <c r="A706" s="189" t="s">
        <v>666</v>
      </c>
      <c r="B706" s="189"/>
      <c r="C706" s="189" t="s">
        <v>609</v>
      </c>
      <c r="D706" s="189" t="s">
        <v>502</v>
      </c>
      <c r="E706" s="189" t="s">
        <v>665</v>
      </c>
      <c r="F706" s="189"/>
      <c r="G706" s="247">
        <f t="shared" ref="G706:H710" si="83">G707</f>
        <v>123374</v>
      </c>
      <c r="H706" s="247">
        <f t="shared" si="83"/>
        <v>123374</v>
      </c>
      <c r="I706" s="248">
        <f t="shared" si="73"/>
        <v>0</v>
      </c>
      <c r="J706" s="191">
        <v>0</v>
      </c>
      <c r="K706" s="247">
        <v>0</v>
      </c>
      <c r="L706" s="287">
        <f t="shared" si="74"/>
        <v>0</v>
      </c>
    </row>
    <row r="707" spans="1:12" x14ac:dyDescent="0.2">
      <c r="A707" s="189" t="s">
        <v>688</v>
      </c>
      <c r="B707" s="189"/>
      <c r="C707" s="189" t="s">
        <v>609</v>
      </c>
      <c r="D707" s="189" t="s">
        <v>502</v>
      </c>
      <c r="E707" s="189" t="s">
        <v>687</v>
      </c>
      <c r="F707" s="189"/>
      <c r="G707" s="247">
        <f t="shared" si="83"/>
        <v>123374</v>
      </c>
      <c r="H707" s="247">
        <f t="shared" si="83"/>
        <v>123374</v>
      </c>
      <c r="I707" s="248">
        <f t="shared" si="73"/>
        <v>0</v>
      </c>
      <c r="J707" s="191">
        <v>0</v>
      </c>
      <c r="K707" s="247">
        <v>0</v>
      </c>
      <c r="L707" s="287">
        <f t="shared" si="74"/>
        <v>0</v>
      </c>
    </row>
    <row r="708" spans="1:12" x14ac:dyDescent="0.2">
      <c r="A708" s="189" t="s">
        <v>900</v>
      </c>
      <c r="B708" s="189"/>
      <c r="C708" s="189" t="s">
        <v>609</v>
      </c>
      <c r="D708" s="189" t="s">
        <v>502</v>
      </c>
      <c r="E708" s="189" t="s">
        <v>1293</v>
      </c>
      <c r="F708" s="189"/>
      <c r="G708" s="247">
        <f t="shared" si="83"/>
        <v>123374</v>
      </c>
      <c r="H708" s="247">
        <f t="shared" si="83"/>
        <v>123374</v>
      </c>
      <c r="I708" s="248">
        <f t="shared" si="73"/>
        <v>0</v>
      </c>
      <c r="J708" s="191">
        <f t="shared" ref="J708:K710" si="84">J709</f>
        <v>0</v>
      </c>
      <c r="K708" s="247">
        <f t="shared" si="84"/>
        <v>0</v>
      </c>
      <c r="L708" s="287">
        <f t="shared" si="74"/>
        <v>0</v>
      </c>
    </row>
    <row r="709" spans="1:12" s="299" customFormat="1" ht="24" x14ac:dyDescent="0.2">
      <c r="A709" s="189" t="s">
        <v>1411</v>
      </c>
      <c r="B709" s="189"/>
      <c r="C709" s="189" t="s">
        <v>609</v>
      </c>
      <c r="D709" s="189" t="s">
        <v>502</v>
      </c>
      <c r="E709" s="189" t="s">
        <v>1429</v>
      </c>
      <c r="F709" s="189"/>
      <c r="G709" s="247">
        <f t="shared" si="83"/>
        <v>123374</v>
      </c>
      <c r="H709" s="247">
        <f t="shared" si="83"/>
        <v>123374</v>
      </c>
      <c r="I709" s="248">
        <f t="shared" ref="I709:I773" si="85">H709-G709</f>
        <v>0</v>
      </c>
      <c r="J709" s="191">
        <f t="shared" si="84"/>
        <v>0</v>
      </c>
      <c r="K709" s="247">
        <f t="shared" si="84"/>
        <v>0</v>
      </c>
      <c r="L709" s="287">
        <f t="shared" ref="L709:L773" si="86">K709-J709</f>
        <v>0</v>
      </c>
    </row>
    <row r="710" spans="1:12" s="299" customFormat="1" ht="24" x14ac:dyDescent="0.2">
      <c r="A710" s="189" t="s">
        <v>1347</v>
      </c>
      <c r="B710" s="189"/>
      <c r="C710" s="189" t="s">
        <v>609</v>
      </c>
      <c r="D710" s="189" t="s">
        <v>502</v>
      </c>
      <c r="E710" s="189" t="s">
        <v>1429</v>
      </c>
      <c r="F710" s="189" t="s">
        <v>535</v>
      </c>
      <c r="G710" s="247">
        <f t="shared" si="83"/>
        <v>123374</v>
      </c>
      <c r="H710" s="247">
        <f t="shared" si="83"/>
        <v>123374</v>
      </c>
      <c r="I710" s="248">
        <f t="shared" si="85"/>
        <v>0</v>
      </c>
      <c r="J710" s="191">
        <f t="shared" si="84"/>
        <v>0</v>
      </c>
      <c r="K710" s="247">
        <f t="shared" si="84"/>
        <v>0</v>
      </c>
      <c r="L710" s="287">
        <f t="shared" si="86"/>
        <v>0</v>
      </c>
    </row>
    <row r="711" spans="1:12" s="299" customFormat="1" ht="24" x14ac:dyDescent="0.2">
      <c r="A711" s="189" t="s">
        <v>534</v>
      </c>
      <c r="B711" s="189"/>
      <c r="C711" s="189" t="s">
        <v>609</v>
      </c>
      <c r="D711" s="189" t="s">
        <v>502</v>
      </c>
      <c r="E711" s="189" t="s">
        <v>1429</v>
      </c>
      <c r="F711" s="189" t="s">
        <v>529</v>
      </c>
      <c r="G711" s="247">
        <v>123374</v>
      </c>
      <c r="H711" s="247">
        <v>123374</v>
      </c>
      <c r="I711" s="248">
        <f t="shared" si="85"/>
        <v>0</v>
      </c>
      <c r="J711" s="191">
        <v>0</v>
      </c>
      <c r="K711" s="247">
        <v>0</v>
      </c>
      <c r="L711" s="287">
        <f t="shared" si="86"/>
        <v>0</v>
      </c>
    </row>
    <row r="712" spans="1:12" ht="24" x14ac:dyDescent="0.2">
      <c r="A712" s="189" t="s">
        <v>908</v>
      </c>
      <c r="B712" s="189"/>
      <c r="C712" s="189" t="s">
        <v>609</v>
      </c>
      <c r="D712" s="189" t="s">
        <v>502</v>
      </c>
      <c r="E712" s="189" t="s">
        <v>907</v>
      </c>
      <c r="F712" s="189"/>
      <c r="G712" s="247">
        <f>G713</f>
        <v>1815060.4000000001</v>
      </c>
      <c r="H712" s="247">
        <f>H713</f>
        <v>952566.1</v>
      </c>
      <c r="I712" s="248">
        <f t="shared" si="85"/>
        <v>-862494.30000000016</v>
      </c>
      <c r="J712" s="191">
        <f>J713</f>
        <v>2001347.1</v>
      </c>
      <c r="K712" s="247">
        <f>K713</f>
        <v>2809144.0999999996</v>
      </c>
      <c r="L712" s="287">
        <f t="shared" si="86"/>
        <v>807796.99999999953</v>
      </c>
    </row>
    <row r="713" spans="1:12" x14ac:dyDescent="0.2">
      <c r="A713" s="189" t="s">
        <v>906</v>
      </c>
      <c r="B713" s="189"/>
      <c r="C713" s="189" t="s">
        <v>609</v>
      </c>
      <c r="D713" s="189" t="s">
        <v>502</v>
      </c>
      <c r="E713" s="189" t="s">
        <v>905</v>
      </c>
      <c r="F713" s="189"/>
      <c r="G713" s="247">
        <f>G714+G718</f>
        <v>1815060.4000000001</v>
      </c>
      <c r="H713" s="247">
        <f>H714+H718</f>
        <v>952566.1</v>
      </c>
      <c r="I713" s="248">
        <f t="shared" si="85"/>
        <v>-862494.30000000016</v>
      </c>
      <c r="J713" s="191">
        <f>J714+J718</f>
        <v>2001347.1</v>
      </c>
      <c r="K713" s="247">
        <f>K714+K718</f>
        <v>2809144.0999999996</v>
      </c>
      <c r="L713" s="287">
        <f t="shared" si="86"/>
        <v>807796.99999999953</v>
      </c>
    </row>
    <row r="714" spans="1:12" ht="24" x14ac:dyDescent="0.2">
      <c r="A714" s="189" t="s">
        <v>904</v>
      </c>
      <c r="B714" s="189"/>
      <c r="C714" s="189" t="s">
        <v>609</v>
      </c>
      <c r="D714" s="189" t="s">
        <v>502</v>
      </c>
      <c r="E714" s="189" t="s">
        <v>903</v>
      </c>
      <c r="F714" s="189"/>
      <c r="G714" s="247">
        <f t="shared" ref="G714:H716" si="87">G715</f>
        <v>250204.1</v>
      </c>
      <c r="H714" s="247">
        <f t="shared" si="87"/>
        <v>250204.1</v>
      </c>
      <c r="I714" s="248">
        <f t="shared" si="85"/>
        <v>0</v>
      </c>
      <c r="J714" s="191">
        <f t="shared" ref="J714:K716" si="88">J715</f>
        <v>525659.29999999993</v>
      </c>
      <c r="K714" s="247">
        <f t="shared" si="88"/>
        <v>525659.29999999993</v>
      </c>
      <c r="L714" s="287">
        <f t="shared" si="86"/>
        <v>0</v>
      </c>
    </row>
    <row r="715" spans="1:12" ht="24" x14ac:dyDescent="0.2">
      <c r="A715" s="189" t="s">
        <v>902</v>
      </c>
      <c r="B715" s="189"/>
      <c r="C715" s="189" t="s">
        <v>609</v>
      </c>
      <c r="D715" s="189" t="s">
        <v>502</v>
      </c>
      <c r="E715" s="189" t="s">
        <v>901</v>
      </c>
      <c r="F715" s="189"/>
      <c r="G715" s="247">
        <f t="shared" si="87"/>
        <v>250204.1</v>
      </c>
      <c r="H715" s="247">
        <f t="shared" si="87"/>
        <v>250204.1</v>
      </c>
      <c r="I715" s="248">
        <f t="shared" si="85"/>
        <v>0</v>
      </c>
      <c r="J715" s="191">
        <f t="shared" si="88"/>
        <v>525659.29999999993</v>
      </c>
      <c r="K715" s="247">
        <f t="shared" si="88"/>
        <v>525659.29999999993</v>
      </c>
      <c r="L715" s="287">
        <f t="shared" si="86"/>
        <v>0</v>
      </c>
    </row>
    <row r="716" spans="1:12" ht="24" x14ac:dyDescent="0.2">
      <c r="A716" s="189" t="s">
        <v>1355</v>
      </c>
      <c r="B716" s="189"/>
      <c r="C716" s="189" t="s">
        <v>609</v>
      </c>
      <c r="D716" s="189" t="s">
        <v>502</v>
      </c>
      <c r="E716" s="189" t="s">
        <v>901</v>
      </c>
      <c r="F716" s="189" t="s">
        <v>824</v>
      </c>
      <c r="G716" s="247">
        <f t="shared" si="87"/>
        <v>250204.1</v>
      </c>
      <c r="H716" s="247">
        <f t="shared" si="87"/>
        <v>250204.1</v>
      </c>
      <c r="I716" s="248">
        <f t="shared" si="85"/>
        <v>0</v>
      </c>
      <c r="J716" s="191">
        <f t="shared" si="88"/>
        <v>525659.29999999993</v>
      </c>
      <c r="K716" s="247">
        <f t="shared" si="88"/>
        <v>525659.29999999993</v>
      </c>
      <c r="L716" s="287">
        <f t="shared" si="86"/>
        <v>0</v>
      </c>
    </row>
    <row r="717" spans="1:12" x14ac:dyDescent="0.2">
      <c r="A717" s="189" t="s">
        <v>823</v>
      </c>
      <c r="B717" s="189"/>
      <c r="C717" s="189" t="s">
        <v>609</v>
      </c>
      <c r="D717" s="189" t="s">
        <v>502</v>
      </c>
      <c r="E717" s="189" t="s">
        <v>901</v>
      </c>
      <c r="F717" s="189" t="s">
        <v>821</v>
      </c>
      <c r="G717" s="247">
        <f>285094.7-34890.6</f>
        <v>250204.1</v>
      </c>
      <c r="H717" s="247">
        <f>285094.7-34890.6</f>
        <v>250204.1</v>
      </c>
      <c r="I717" s="248">
        <f t="shared" si="85"/>
        <v>0</v>
      </c>
      <c r="J717" s="191">
        <f>420987.6+104671.7</f>
        <v>525659.29999999993</v>
      </c>
      <c r="K717" s="247">
        <f>420987.6+104671.7</f>
        <v>525659.29999999993</v>
      </c>
      <c r="L717" s="287">
        <f t="shared" si="86"/>
        <v>0</v>
      </c>
    </row>
    <row r="718" spans="1:12" x14ac:dyDescent="0.2">
      <c r="A718" s="189" t="s">
        <v>900</v>
      </c>
      <c r="B718" s="189"/>
      <c r="C718" s="189" t="s">
        <v>609</v>
      </c>
      <c r="D718" s="189" t="s">
        <v>502</v>
      </c>
      <c r="E718" s="189" t="s">
        <v>899</v>
      </c>
      <c r="F718" s="189"/>
      <c r="G718" s="247">
        <f t="shared" ref="G718:H720" si="89">G719</f>
        <v>1564856.3</v>
      </c>
      <c r="H718" s="247">
        <f t="shared" si="89"/>
        <v>702362</v>
      </c>
      <c r="I718" s="248">
        <f t="shared" si="85"/>
        <v>-862494.3</v>
      </c>
      <c r="J718" s="191">
        <f t="shared" ref="J718:K720" si="90">J719</f>
        <v>1475687.8</v>
      </c>
      <c r="K718" s="247">
        <f t="shared" si="90"/>
        <v>2283484.7999999998</v>
      </c>
      <c r="L718" s="287">
        <f t="shared" si="86"/>
        <v>807796.99999999977</v>
      </c>
    </row>
    <row r="719" spans="1:12" x14ac:dyDescent="0.2">
      <c r="A719" s="189" t="s">
        <v>898</v>
      </c>
      <c r="B719" s="189"/>
      <c r="C719" s="189" t="s">
        <v>609</v>
      </c>
      <c r="D719" s="189" t="s">
        <v>502</v>
      </c>
      <c r="E719" s="189" t="s">
        <v>897</v>
      </c>
      <c r="F719" s="189"/>
      <c r="G719" s="247">
        <f t="shared" si="89"/>
        <v>1564856.3</v>
      </c>
      <c r="H719" s="247">
        <f t="shared" si="89"/>
        <v>702362</v>
      </c>
      <c r="I719" s="248">
        <f t="shared" si="85"/>
        <v>-862494.3</v>
      </c>
      <c r="J719" s="191">
        <f t="shared" si="90"/>
        <v>1475687.8</v>
      </c>
      <c r="K719" s="247">
        <f t="shared" si="90"/>
        <v>2283484.7999999998</v>
      </c>
      <c r="L719" s="287">
        <f t="shared" si="86"/>
        <v>807796.99999999977</v>
      </c>
    </row>
    <row r="720" spans="1:12" ht="24" x14ac:dyDescent="0.2">
      <c r="A720" s="189" t="s">
        <v>1355</v>
      </c>
      <c r="B720" s="189"/>
      <c r="C720" s="189" t="s">
        <v>609</v>
      </c>
      <c r="D720" s="189" t="s">
        <v>502</v>
      </c>
      <c r="E720" s="189" t="s">
        <v>897</v>
      </c>
      <c r="F720" s="189" t="s">
        <v>824</v>
      </c>
      <c r="G720" s="247">
        <f t="shared" si="89"/>
        <v>1564856.3</v>
      </c>
      <c r="H720" s="247">
        <f t="shared" si="89"/>
        <v>702362</v>
      </c>
      <c r="I720" s="248">
        <f t="shared" si="85"/>
        <v>-862494.3</v>
      </c>
      <c r="J720" s="191">
        <f t="shared" si="90"/>
        <v>1475687.8</v>
      </c>
      <c r="K720" s="247">
        <f t="shared" si="90"/>
        <v>2283484.7999999998</v>
      </c>
      <c r="L720" s="287">
        <f t="shared" si="86"/>
        <v>807796.99999999977</v>
      </c>
    </row>
    <row r="721" spans="1:12" x14ac:dyDescent="0.2">
      <c r="A721" s="189" t="s">
        <v>823</v>
      </c>
      <c r="B721" s="189"/>
      <c r="C721" s="189" t="s">
        <v>609</v>
      </c>
      <c r="D721" s="189" t="s">
        <v>502</v>
      </c>
      <c r="E721" s="189" t="s">
        <v>897</v>
      </c>
      <c r="F721" s="189" t="s">
        <v>821</v>
      </c>
      <c r="G721" s="247">
        <f>1737940.3-24799.9-148284.1</f>
        <v>1564856.3</v>
      </c>
      <c r="H721" s="247">
        <f>1737940.3-24799.9-148284.1-862494.3</f>
        <v>702362</v>
      </c>
      <c r="I721" s="248">
        <f t="shared" si="85"/>
        <v>-862494.3</v>
      </c>
      <c r="J721" s="191">
        <f>1019011.3+24799.9+431876.6</f>
        <v>1475687.8</v>
      </c>
      <c r="K721" s="247">
        <f>1019011.3+24799.9+431876.6+807797</f>
        <v>2283484.7999999998</v>
      </c>
      <c r="L721" s="287">
        <f t="shared" si="86"/>
        <v>807796.99999999977</v>
      </c>
    </row>
    <row r="722" spans="1:12" x14ac:dyDescent="0.2">
      <c r="A722" s="189" t="s">
        <v>894</v>
      </c>
      <c r="B722" s="189"/>
      <c r="C722" s="189" t="s">
        <v>609</v>
      </c>
      <c r="D722" s="189" t="s">
        <v>512</v>
      </c>
      <c r="E722" s="189"/>
      <c r="F722" s="189"/>
      <c r="G722" s="247">
        <v>285</v>
      </c>
      <c r="H722" s="247">
        <v>285</v>
      </c>
      <c r="I722" s="248">
        <f t="shared" si="85"/>
        <v>0</v>
      </c>
      <c r="J722" s="191">
        <v>285</v>
      </c>
      <c r="K722" s="247">
        <v>285</v>
      </c>
      <c r="L722" s="287">
        <f t="shared" si="86"/>
        <v>0</v>
      </c>
    </row>
    <row r="723" spans="1:12" ht="24" x14ac:dyDescent="0.2">
      <c r="A723" s="189" t="s">
        <v>604</v>
      </c>
      <c r="B723" s="189"/>
      <c r="C723" s="189" t="s">
        <v>609</v>
      </c>
      <c r="D723" s="189" t="s">
        <v>512</v>
      </c>
      <c r="E723" s="189" t="s">
        <v>603</v>
      </c>
      <c r="F723" s="189"/>
      <c r="G723" s="247">
        <v>285</v>
      </c>
      <c r="H723" s="247">
        <v>285</v>
      </c>
      <c r="I723" s="248">
        <f t="shared" si="85"/>
        <v>0</v>
      </c>
      <c r="J723" s="191">
        <v>285</v>
      </c>
      <c r="K723" s="247">
        <v>285</v>
      </c>
      <c r="L723" s="287">
        <f t="shared" si="86"/>
        <v>0</v>
      </c>
    </row>
    <row r="724" spans="1:12" ht="24" x14ac:dyDescent="0.2">
      <c r="A724" s="189" t="s">
        <v>893</v>
      </c>
      <c r="B724" s="189"/>
      <c r="C724" s="189" t="s">
        <v>609</v>
      </c>
      <c r="D724" s="189" t="s">
        <v>512</v>
      </c>
      <c r="E724" s="189" t="s">
        <v>892</v>
      </c>
      <c r="F724" s="189"/>
      <c r="G724" s="247">
        <v>285</v>
      </c>
      <c r="H724" s="247">
        <v>285</v>
      </c>
      <c r="I724" s="248">
        <f t="shared" si="85"/>
        <v>0</v>
      </c>
      <c r="J724" s="191">
        <v>285</v>
      </c>
      <c r="K724" s="247">
        <v>285</v>
      </c>
      <c r="L724" s="287">
        <f t="shared" si="86"/>
        <v>0</v>
      </c>
    </row>
    <row r="725" spans="1:12" ht="24" x14ac:dyDescent="0.2">
      <c r="A725" s="189" t="s">
        <v>891</v>
      </c>
      <c r="B725" s="189"/>
      <c r="C725" s="189" t="s">
        <v>609</v>
      </c>
      <c r="D725" s="189" t="s">
        <v>512</v>
      </c>
      <c r="E725" s="189" t="s">
        <v>890</v>
      </c>
      <c r="F725" s="189"/>
      <c r="G725" s="247">
        <v>285</v>
      </c>
      <c r="H725" s="247">
        <v>285</v>
      </c>
      <c r="I725" s="248">
        <f t="shared" si="85"/>
        <v>0</v>
      </c>
      <c r="J725" s="191">
        <v>285</v>
      </c>
      <c r="K725" s="247">
        <v>285</v>
      </c>
      <c r="L725" s="287">
        <f t="shared" si="86"/>
        <v>0</v>
      </c>
    </row>
    <row r="726" spans="1:12" ht="72" x14ac:dyDescent="0.2">
      <c r="A726" s="189" t="s">
        <v>889</v>
      </c>
      <c r="B726" s="189"/>
      <c r="C726" s="189" t="s">
        <v>609</v>
      </c>
      <c r="D726" s="189" t="s">
        <v>512</v>
      </c>
      <c r="E726" s="189" t="s">
        <v>888</v>
      </c>
      <c r="F726" s="189"/>
      <c r="G726" s="247">
        <v>285</v>
      </c>
      <c r="H726" s="247">
        <v>285</v>
      </c>
      <c r="I726" s="248">
        <f t="shared" si="85"/>
        <v>0</v>
      </c>
      <c r="J726" s="191">
        <v>285</v>
      </c>
      <c r="K726" s="247">
        <v>285</v>
      </c>
      <c r="L726" s="287">
        <f t="shared" si="86"/>
        <v>0</v>
      </c>
    </row>
    <row r="727" spans="1:12" ht="24" x14ac:dyDescent="0.2">
      <c r="A727" s="189" t="s">
        <v>1347</v>
      </c>
      <c r="B727" s="189"/>
      <c r="C727" s="189" t="s">
        <v>609</v>
      </c>
      <c r="D727" s="189" t="s">
        <v>512</v>
      </c>
      <c r="E727" s="189" t="s">
        <v>888</v>
      </c>
      <c r="F727" s="189" t="s">
        <v>535</v>
      </c>
      <c r="G727" s="247">
        <v>285</v>
      </c>
      <c r="H727" s="247">
        <v>285</v>
      </c>
      <c r="I727" s="248">
        <f t="shared" si="85"/>
        <v>0</v>
      </c>
      <c r="J727" s="191">
        <v>285</v>
      </c>
      <c r="K727" s="247">
        <v>285</v>
      </c>
      <c r="L727" s="287">
        <f t="shared" si="86"/>
        <v>0</v>
      </c>
    </row>
    <row r="728" spans="1:12" ht="24" x14ac:dyDescent="0.2">
      <c r="A728" s="189" t="s">
        <v>534</v>
      </c>
      <c r="B728" s="189"/>
      <c r="C728" s="189" t="s">
        <v>609</v>
      </c>
      <c r="D728" s="189" t="s">
        <v>512</v>
      </c>
      <c r="E728" s="189" t="s">
        <v>888</v>
      </c>
      <c r="F728" s="189" t="s">
        <v>529</v>
      </c>
      <c r="G728" s="247">
        <v>285</v>
      </c>
      <c r="H728" s="247">
        <v>285</v>
      </c>
      <c r="I728" s="248">
        <f t="shared" si="85"/>
        <v>0</v>
      </c>
      <c r="J728" s="191">
        <v>285</v>
      </c>
      <c r="K728" s="247">
        <v>285</v>
      </c>
      <c r="L728" s="287">
        <f t="shared" si="86"/>
        <v>0</v>
      </c>
    </row>
    <row r="729" spans="1:12" x14ac:dyDescent="0.2">
      <c r="A729" s="189" t="s">
        <v>1356</v>
      </c>
      <c r="B729" s="189"/>
      <c r="C729" s="189" t="s">
        <v>609</v>
      </c>
      <c r="D729" s="189" t="s">
        <v>609</v>
      </c>
      <c r="E729" s="189"/>
      <c r="F729" s="189"/>
      <c r="G729" s="247">
        <v>950</v>
      </c>
      <c r="H729" s="247">
        <v>950</v>
      </c>
      <c r="I729" s="248">
        <f t="shared" si="85"/>
        <v>0</v>
      </c>
      <c r="J729" s="191">
        <v>950</v>
      </c>
      <c r="K729" s="247">
        <v>950</v>
      </c>
      <c r="L729" s="287">
        <f t="shared" si="86"/>
        <v>0</v>
      </c>
    </row>
    <row r="730" spans="1:12" ht="36" x14ac:dyDescent="0.2">
      <c r="A730" s="189" t="s">
        <v>588</v>
      </c>
      <c r="B730" s="189"/>
      <c r="C730" s="189" t="s">
        <v>609</v>
      </c>
      <c r="D730" s="189" t="s">
        <v>609</v>
      </c>
      <c r="E730" s="189" t="s">
        <v>587</v>
      </c>
      <c r="F730" s="189"/>
      <c r="G730" s="247">
        <v>950</v>
      </c>
      <c r="H730" s="247">
        <v>950</v>
      </c>
      <c r="I730" s="248">
        <f t="shared" si="85"/>
        <v>0</v>
      </c>
      <c r="J730" s="191">
        <v>950</v>
      </c>
      <c r="K730" s="247">
        <v>950</v>
      </c>
      <c r="L730" s="287">
        <f t="shared" si="86"/>
        <v>0</v>
      </c>
    </row>
    <row r="731" spans="1:12" x14ac:dyDescent="0.2">
      <c r="A731" s="189" t="s">
        <v>586</v>
      </c>
      <c r="B731" s="189"/>
      <c r="C731" s="189" t="s">
        <v>609</v>
      </c>
      <c r="D731" s="189" t="s">
        <v>609</v>
      </c>
      <c r="E731" s="189" t="s">
        <v>585</v>
      </c>
      <c r="F731" s="189"/>
      <c r="G731" s="247">
        <v>950</v>
      </c>
      <c r="H731" s="247">
        <v>950</v>
      </c>
      <c r="I731" s="248">
        <f t="shared" si="85"/>
        <v>0</v>
      </c>
      <c r="J731" s="191">
        <v>950</v>
      </c>
      <c r="K731" s="247">
        <v>950</v>
      </c>
      <c r="L731" s="287">
        <f t="shared" si="86"/>
        <v>0</v>
      </c>
    </row>
    <row r="732" spans="1:12" ht="48" x14ac:dyDescent="0.2">
      <c r="A732" s="189" t="s">
        <v>584</v>
      </c>
      <c r="B732" s="189"/>
      <c r="C732" s="189" t="s">
        <v>609</v>
      </c>
      <c r="D732" s="189" t="s">
        <v>609</v>
      </c>
      <c r="E732" s="189" t="s">
        <v>583</v>
      </c>
      <c r="F732" s="189"/>
      <c r="G732" s="247">
        <v>950</v>
      </c>
      <c r="H732" s="247">
        <v>950</v>
      </c>
      <c r="I732" s="248">
        <f t="shared" si="85"/>
        <v>0</v>
      </c>
      <c r="J732" s="191">
        <v>950</v>
      </c>
      <c r="K732" s="247">
        <v>950</v>
      </c>
      <c r="L732" s="287">
        <f t="shared" si="86"/>
        <v>0</v>
      </c>
    </row>
    <row r="733" spans="1:12" ht="24" x14ac:dyDescent="0.2">
      <c r="A733" s="189" t="s">
        <v>887</v>
      </c>
      <c r="B733" s="189"/>
      <c r="C733" s="189" t="s">
        <v>609</v>
      </c>
      <c r="D733" s="189" t="s">
        <v>609</v>
      </c>
      <c r="E733" s="189" t="s">
        <v>886</v>
      </c>
      <c r="F733" s="189"/>
      <c r="G733" s="247">
        <v>950</v>
      </c>
      <c r="H733" s="247">
        <v>950</v>
      </c>
      <c r="I733" s="248">
        <f t="shared" si="85"/>
        <v>0</v>
      </c>
      <c r="J733" s="191">
        <v>950</v>
      </c>
      <c r="K733" s="247">
        <v>950</v>
      </c>
      <c r="L733" s="287">
        <f t="shared" si="86"/>
        <v>0</v>
      </c>
    </row>
    <row r="734" spans="1:12" ht="24" x14ac:dyDescent="0.2">
      <c r="A734" s="189" t="s">
        <v>1347</v>
      </c>
      <c r="B734" s="189"/>
      <c r="C734" s="189" t="s">
        <v>609</v>
      </c>
      <c r="D734" s="189" t="s">
        <v>609</v>
      </c>
      <c r="E734" s="189" t="s">
        <v>886</v>
      </c>
      <c r="F734" s="189" t="s">
        <v>535</v>
      </c>
      <c r="G734" s="247">
        <v>950</v>
      </c>
      <c r="H734" s="247">
        <v>950</v>
      </c>
      <c r="I734" s="248">
        <f t="shared" si="85"/>
        <v>0</v>
      </c>
      <c r="J734" s="191">
        <v>950</v>
      </c>
      <c r="K734" s="247">
        <v>950</v>
      </c>
      <c r="L734" s="287">
        <f t="shared" si="86"/>
        <v>0</v>
      </c>
    </row>
    <row r="735" spans="1:12" ht="24" x14ac:dyDescent="0.2">
      <c r="A735" s="189" t="s">
        <v>534</v>
      </c>
      <c r="B735" s="189"/>
      <c r="C735" s="189" t="s">
        <v>609</v>
      </c>
      <c r="D735" s="189" t="s">
        <v>609</v>
      </c>
      <c r="E735" s="189" t="s">
        <v>886</v>
      </c>
      <c r="F735" s="189" t="s">
        <v>529</v>
      </c>
      <c r="G735" s="247">
        <v>950</v>
      </c>
      <c r="H735" s="247">
        <v>950</v>
      </c>
      <c r="I735" s="248">
        <f t="shared" si="85"/>
        <v>0</v>
      </c>
      <c r="J735" s="191">
        <v>950</v>
      </c>
      <c r="K735" s="247">
        <v>950</v>
      </c>
      <c r="L735" s="287">
        <f t="shared" si="86"/>
        <v>0</v>
      </c>
    </row>
    <row r="736" spans="1:12" x14ac:dyDescent="0.2">
      <c r="A736" s="189" t="s">
        <v>689</v>
      </c>
      <c r="B736" s="189"/>
      <c r="C736" s="189" t="s">
        <v>609</v>
      </c>
      <c r="D736" s="189" t="s">
        <v>670</v>
      </c>
      <c r="E736" s="189"/>
      <c r="F736" s="189"/>
      <c r="G736" s="247">
        <f>G737+G743</f>
        <v>45449.5</v>
      </c>
      <c r="H736" s="247">
        <f>H737+H743</f>
        <v>45449.5</v>
      </c>
      <c r="I736" s="248">
        <f t="shared" si="85"/>
        <v>0</v>
      </c>
      <c r="J736" s="191">
        <f>J737+J743</f>
        <v>45449.5</v>
      </c>
      <c r="K736" s="247">
        <f>K737+K743</f>
        <v>45449.5</v>
      </c>
      <c r="L736" s="287">
        <f t="shared" si="86"/>
        <v>0</v>
      </c>
    </row>
    <row r="737" spans="1:12" x14ac:dyDescent="0.2">
      <c r="A737" s="189" t="s">
        <v>568</v>
      </c>
      <c r="B737" s="189"/>
      <c r="C737" s="189" t="s">
        <v>609</v>
      </c>
      <c r="D737" s="189" t="s">
        <v>670</v>
      </c>
      <c r="E737" s="189" t="s">
        <v>567</v>
      </c>
      <c r="F737" s="189"/>
      <c r="G737" s="247">
        <f t="shared" ref="G737:H741" si="91">G738</f>
        <v>17535.3</v>
      </c>
      <c r="H737" s="247">
        <f t="shared" si="91"/>
        <v>17535.3</v>
      </c>
      <c r="I737" s="248">
        <f t="shared" si="85"/>
        <v>0</v>
      </c>
      <c r="J737" s="191">
        <f t="shared" ref="J737:K741" si="92">J738</f>
        <v>17535.3</v>
      </c>
      <c r="K737" s="247">
        <f t="shared" si="92"/>
        <v>17535.3</v>
      </c>
      <c r="L737" s="287">
        <f t="shared" si="86"/>
        <v>0</v>
      </c>
    </row>
    <row r="738" spans="1:12" x14ac:dyDescent="0.2">
      <c r="A738" s="189" t="s">
        <v>675</v>
      </c>
      <c r="B738" s="189"/>
      <c r="C738" s="189" t="s">
        <v>609</v>
      </c>
      <c r="D738" s="189" t="s">
        <v>670</v>
      </c>
      <c r="E738" s="189" t="s">
        <v>674</v>
      </c>
      <c r="F738" s="189"/>
      <c r="G738" s="247">
        <f t="shared" si="91"/>
        <v>17535.3</v>
      </c>
      <c r="H738" s="247">
        <f t="shared" si="91"/>
        <v>17535.3</v>
      </c>
      <c r="I738" s="248">
        <f t="shared" si="85"/>
        <v>0</v>
      </c>
      <c r="J738" s="191">
        <f t="shared" si="92"/>
        <v>17535.3</v>
      </c>
      <c r="K738" s="247">
        <f t="shared" si="92"/>
        <v>17535.3</v>
      </c>
      <c r="L738" s="287">
        <f t="shared" si="86"/>
        <v>0</v>
      </c>
    </row>
    <row r="739" spans="1:12" ht="36" x14ac:dyDescent="0.2">
      <c r="A739" s="189" t="s">
        <v>673</v>
      </c>
      <c r="B739" s="189"/>
      <c r="C739" s="189" t="s">
        <v>609</v>
      </c>
      <c r="D739" s="189" t="s">
        <v>670</v>
      </c>
      <c r="E739" s="189" t="s">
        <v>672</v>
      </c>
      <c r="F739" s="189"/>
      <c r="G739" s="247">
        <f t="shared" si="91"/>
        <v>17535.3</v>
      </c>
      <c r="H739" s="247">
        <f t="shared" si="91"/>
        <v>17535.3</v>
      </c>
      <c r="I739" s="248">
        <f t="shared" si="85"/>
        <v>0</v>
      </c>
      <c r="J739" s="191">
        <f t="shared" si="92"/>
        <v>17535.3</v>
      </c>
      <c r="K739" s="247">
        <f t="shared" si="92"/>
        <v>17535.3</v>
      </c>
      <c r="L739" s="287">
        <f t="shared" si="86"/>
        <v>0</v>
      </c>
    </row>
    <row r="740" spans="1:12" x14ac:dyDescent="0.2">
      <c r="A740" s="189" t="s">
        <v>671</v>
      </c>
      <c r="B740" s="189"/>
      <c r="C740" s="189" t="s">
        <v>609</v>
      </c>
      <c r="D740" s="189" t="s">
        <v>670</v>
      </c>
      <c r="E740" s="189" t="s">
        <v>669</v>
      </c>
      <c r="F740" s="189"/>
      <c r="G740" s="247">
        <f t="shared" si="91"/>
        <v>17535.3</v>
      </c>
      <c r="H740" s="247">
        <f t="shared" si="91"/>
        <v>17535.3</v>
      </c>
      <c r="I740" s="248">
        <f t="shared" si="85"/>
        <v>0</v>
      </c>
      <c r="J740" s="191">
        <f t="shared" si="92"/>
        <v>17535.3</v>
      </c>
      <c r="K740" s="247">
        <f t="shared" si="92"/>
        <v>17535.3</v>
      </c>
      <c r="L740" s="287">
        <f t="shared" si="86"/>
        <v>0</v>
      </c>
    </row>
    <row r="741" spans="1:12" x14ac:dyDescent="0.2">
      <c r="A741" s="189" t="s">
        <v>553</v>
      </c>
      <c r="B741" s="189"/>
      <c r="C741" s="189" t="s">
        <v>609</v>
      </c>
      <c r="D741" s="189" t="s">
        <v>670</v>
      </c>
      <c r="E741" s="189" t="s">
        <v>669</v>
      </c>
      <c r="F741" s="189" t="s">
        <v>552</v>
      </c>
      <c r="G741" s="247">
        <f t="shared" si="91"/>
        <v>17535.3</v>
      </c>
      <c r="H741" s="247">
        <f t="shared" si="91"/>
        <v>17535.3</v>
      </c>
      <c r="I741" s="248">
        <f t="shared" si="85"/>
        <v>0</v>
      </c>
      <c r="J741" s="191">
        <f t="shared" si="92"/>
        <v>17535.3</v>
      </c>
      <c r="K741" s="247">
        <f t="shared" si="92"/>
        <v>17535.3</v>
      </c>
      <c r="L741" s="287">
        <f t="shared" si="86"/>
        <v>0</v>
      </c>
    </row>
    <row r="742" spans="1:12" ht="24" x14ac:dyDescent="0.2">
      <c r="A742" s="189" t="s">
        <v>832</v>
      </c>
      <c r="B742" s="189"/>
      <c r="C742" s="189" t="s">
        <v>609</v>
      </c>
      <c r="D742" s="189" t="s">
        <v>670</v>
      </c>
      <c r="E742" s="189" t="s">
        <v>669</v>
      </c>
      <c r="F742" s="189" t="s">
        <v>830</v>
      </c>
      <c r="G742" s="247">
        <f>16885.3+650</f>
        <v>17535.3</v>
      </c>
      <c r="H742" s="247">
        <f>16885.3+650</f>
        <v>17535.3</v>
      </c>
      <c r="I742" s="248">
        <f t="shared" si="85"/>
        <v>0</v>
      </c>
      <c r="J742" s="191">
        <f>16885.3+650</f>
        <v>17535.3</v>
      </c>
      <c r="K742" s="247">
        <f>16885.3+650</f>
        <v>17535.3</v>
      </c>
      <c r="L742" s="287">
        <f t="shared" si="86"/>
        <v>0</v>
      </c>
    </row>
    <row r="743" spans="1:12" ht="24" x14ac:dyDescent="0.2">
      <c r="A743" s="189" t="s">
        <v>604</v>
      </c>
      <c r="B743" s="189"/>
      <c r="C743" s="189" t="s">
        <v>609</v>
      </c>
      <c r="D743" s="189" t="s">
        <v>670</v>
      </c>
      <c r="E743" s="189" t="s">
        <v>603</v>
      </c>
      <c r="F743" s="189"/>
      <c r="G743" s="247">
        <v>27914.2</v>
      </c>
      <c r="H743" s="247">
        <v>27914.2</v>
      </c>
      <c r="I743" s="248">
        <f t="shared" si="85"/>
        <v>0</v>
      </c>
      <c r="J743" s="191">
        <v>27914.2</v>
      </c>
      <c r="K743" s="247">
        <v>27914.2</v>
      </c>
      <c r="L743" s="287">
        <f t="shared" si="86"/>
        <v>0</v>
      </c>
    </row>
    <row r="744" spans="1:12" x14ac:dyDescent="0.2">
      <c r="A744" s="189" t="s">
        <v>602</v>
      </c>
      <c r="B744" s="189"/>
      <c r="C744" s="189" t="s">
        <v>609</v>
      </c>
      <c r="D744" s="189" t="s">
        <v>670</v>
      </c>
      <c r="E744" s="189" t="s">
        <v>601</v>
      </c>
      <c r="F744" s="189"/>
      <c r="G744" s="247">
        <v>27914.2</v>
      </c>
      <c r="H744" s="247">
        <v>27914.2</v>
      </c>
      <c r="I744" s="248">
        <f t="shared" si="85"/>
        <v>0</v>
      </c>
      <c r="J744" s="191">
        <v>27914.2</v>
      </c>
      <c r="K744" s="247">
        <v>27914.2</v>
      </c>
      <c r="L744" s="287">
        <f t="shared" si="86"/>
        <v>0</v>
      </c>
    </row>
    <row r="745" spans="1:12" ht="24" x14ac:dyDescent="0.2">
      <c r="A745" s="189" t="s">
        <v>600</v>
      </c>
      <c r="B745" s="189"/>
      <c r="C745" s="189" t="s">
        <v>609</v>
      </c>
      <c r="D745" s="189" t="s">
        <v>670</v>
      </c>
      <c r="E745" s="189" t="s">
        <v>599</v>
      </c>
      <c r="F745" s="189"/>
      <c r="G745" s="247">
        <v>27914.2</v>
      </c>
      <c r="H745" s="247">
        <v>27914.2</v>
      </c>
      <c r="I745" s="248">
        <f t="shared" si="85"/>
        <v>0</v>
      </c>
      <c r="J745" s="191">
        <v>27914.2</v>
      </c>
      <c r="K745" s="247">
        <v>27914.2</v>
      </c>
      <c r="L745" s="287">
        <f t="shared" si="86"/>
        <v>0</v>
      </c>
    </row>
    <row r="746" spans="1:12" ht="36" x14ac:dyDescent="0.2">
      <c r="A746" s="189" t="s">
        <v>885</v>
      </c>
      <c r="B746" s="189"/>
      <c r="C746" s="189" t="s">
        <v>609</v>
      </c>
      <c r="D746" s="189" t="s">
        <v>670</v>
      </c>
      <c r="E746" s="189" t="s">
        <v>884</v>
      </c>
      <c r="F746" s="189"/>
      <c r="G746" s="247">
        <v>16835.099999999999</v>
      </c>
      <c r="H746" s="247">
        <v>16835.099999999999</v>
      </c>
      <c r="I746" s="248">
        <f t="shared" si="85"/>
        <v>0</v>
      </c>
      <c r="J746" s="191">
        <v>16835.099999999999</v>
      </c>
      <c r="K746" s="247">
        <v>16835.099999999999</v>
      </c>
      <c r="L746" s="287">
        <f t="shared" si="86"/>
        <v>0</v>
      </c>
    </row>
    <row r="747" spans="1:12" ht="24" x14ac:dyDescent="0.2">
      <c r="A747" s="189" t="s">
        <v>547</v>
      </c>
      <c r="B747" s="189"/>
      <c r="C747" s="189" t="s">
        <v>609</v>
      </c>
      <c r="D747" s="189" t="s">
        <v>670</v>
      </c>
      <c r="E747" s="189" t="s">
        <v>884</v>
      </c>
      <c r="F747" s="189" t="s">
        <v>519</v>
      </c>
      <c r="G747" s="247">
        <v>16835.099999999999</v>
      </c>
      <c r="H747" s="247">
        <v>16835.099999999999</v>
      </c>
      <c r="I747" s="248">
        <f t="shared" si="85"/>
        <v>0</v>
      </c>
      <c r="J747" s="191">
        <v>16835.099999999999</v>
      </c>
      <c r="K747" s="247">
        <v>16835.099999999999</v>
      </c>
      <c r="L747" s="287">
        <f t="shared" si="86"/>
        <v>0</v>
      </c>
    </row>
    <row r="748" spans="1:12" x14ac:dyDescent="0.2">
      <c r="A748" s="189" t="s">
        <v>571</v>
      </c>
      <c r="B748" s="189"/>
      <c r="C748" s="189" t="s">
        <v>609</v>
      </c>
      <c r="D748" s="189" t="s">
        <v>670</v>
      </c>
      <c r="E748" s="189" t="s">
        <v>884</v>
      </c>
      <c r="F748" s="189" t="s">
        <v>522</v>
      </c>
      <c r="G748" s="247">
        <v>16835.099999999999</v>
      </c>
      <c r="H748" s="247">
        <v>16835.099999999999</v>
      </c>
      <c r="I748" s="248">
        <f t="shared" si="85"/>
        <v>0</v>
      </c>
      <c r="J748" s="191">
        <v>16835.099999999999</v>
      </c>
      <c r="K748" s="247">
        <v>16835.099999999999</v>
      </c>
      <c r="L748" s="287">
        <f t="shared" si="86"/>
        <v>0</v>
      </c>
    </row>
    <row r="749" spans="1:12" ht="36" x14ac:dyDescent="0.2">
      <c r="A749" s="189" t="s">
        <v>883</v>
      </c>
      <c r="B749" s="189"/>
      <c r="C749" s="189" t="s">
        <v>609</v>
      </c>
      <c r="D749" s="189" t="s">
        <v>670</v>
      </c>
      <c r="E749" s="189" t="s">
        <v>882</v>
      </c>
      <c r="F749" s="189"/>
      <c r="G749" s="247">
        <v>11079.1</v>
      </c>
      <c r="H749" s="247">
        <v>11079.1</v>
      </c>
      <c r="I749" s="248">
        <f t="shared" si="85"/>
        <v>0</v>
      </c>
      <c r="J749" s="191">
        <v>11079.1</v>
      </c>
      <c r="K749" s="247">
        <v>11079.1</v>
      </c>
      <c r="L749" s="287">
        <f t="shared" si="86"/>
        <v>0</v>
      </c>
    </row>
    <row r="750" spans="1:12" ht="24" x14ac:dyDescent="0.2">
      <c r="A750" s="189" t="s">
        <v>547</v>
      </c>
      <c r="B750" s="189"/>
      <c r="C750" s="189" t="s">
        <v>609</v>
      </c>
      <c r="D750" s="189" t="s">
        <v>670</v>
      </c>
      <c r="E750" s="189" t="s">
        <v>882</v>
      </c>
      <c r="F750" s="189" t="s">
        <v>519</v>
      </c>
      <c r="G750" s="247">
        <v>11079.1</v>
      </c>
      <c r="H750" s="247">
        <v>11079.1</v>
      </c>
      <c r="I750" s="248">
        <f t="shared" si="85"/>
        <v>0</v>
      </c>
      <c r="J750" s="191">
        <v>11079.1</v>
      </c>
      <c r="K750" s="247">
        <v>11079.1</v>
      </c>
      <c r="L750" s="287">
        <f t="shared" si="86"/>
        <v>0</v>
      </c>
    </row>
    <row r="751" spans="1:12" x14ac:dyDescent="0.2">
      <c r="A751" s="189" t="s">
        <v>571</v>
      </c>
      <c r="B751" s="189"/>
      <c r="C751" s="189" t="s">
        <v>609</v>
      </c>
      <c r="D751" s="189" t="s">
        <v>670</v>
      </c>
      <c r="E751" s="189" t="s">
        <v>882</v>
      </c>
      <c r="F751" s="189" t="s">
        <v>522</v>
      </c>
      <c r="G751" s="247">
        <v>11079.1</v>
      </c>
      <c r="H751" s="247">
        <v>11079.1</v>
      </c>
      <c r="I751" s="248">
        <f t="shared" si="85"/>
        <v>0</v>
      </c>
      <c r="J751" s="191">
        <v>11079.1</v>
      </c>
      <c r="K751" s="247">
        <v>11079.1</v>
      </c>
      <c r="L751" s="287">
        <f t="shared" si="86"/>
        <v>0</v>
      </c>
    </row>
    <row r="752" spans="1:12" s="78" customFormat="1" x14ac:dyDescent="0.2">
      <c r="A752" s="185" t="s">
        <v>1345</v>
      </c>
      <c r="B752" s="185"/>
      <c r="C752" s="185" t="s">
        <v>617</v>
      </c>
      <c r="D752" s="185"/>
      <c r="E752" s="185"/>
      <c r="F752" s="185"/>
      <c r="G752" s="245">
        <v>11436</v>
      </c>
      <c r="H752" s="245">
        <v>11436</v>
      </c>
      <c r="I752" s="246">
        <f t="shared" si="85"/>
        <v>0</v>
      </c>
      <c r="J752" s="187">
        <v>12726</v>
      </c>
      <c r="K752" s="245">
        <v>12726</v>
      </c>
      <c r="L752" s="286">
        <f t="shared" si="86"/>
        <v>0</v>
      </c>
    </row>
    <row r="753" spans="1:12" x14ac:dyDescent="0.2">
      <c r="A753" s="189" t="s">
        <v>654</v>
      </c>
      <c r="B753" s="189"/>
      <c r="C753" s="189" t="s">
        <v>617</v>
      </c>
      <c r="D753" s="189" t="s">
        <v>498</v>
      </c>
      <c r="E753" s="189"/>
      <c r="F753" s="189"/>
      <c r="G753" s="247">
        <v>11436</v>
      </c>
      <c r="H753" s="247">
        <v>11436</v>
      </c>
      <c r="I753" s="248">
        <f t="shared" si="85"/>
        <v>0</v>
      </c>
      <c r="J753" s="191">
        <v>12726</v>
      </c>
      <c r="K753" s="247">
        <v>12726</v>
      </c>
      <c r="L753" s="287">
        <f t="shared" si="86"/>
        <v>0</v>
      </c>
    </row>
    <row r="754" spans="1:12" x14ac:dyDescent="0.2">
      <c r="A754" s="189" t="s">
        <v>653</v>
      </c>
      <c r="B754" s="189"/>
      <c r="C754" s="189" t="s">
        <v>617</v>
      </c>
      <c r="D754" s="189" t="s">
        <v>498</v>
      </c>
      <c r="E754" s="189" t="s">
        <v>652</v>
      </c>
      <c r="F754" s="189"/>
      <c r="G754" s="247">
        <v>6650</v>
      </c>
      <c r="H754" s="247">
        <v>6650</v>
      </c>
      <c r="I754" s="248">
        <f t="shared" si="85"/>
        <v>0</v>
      </c>
      <c r="J754" s="191">
        <v>6650</v>
      </c>
      <c r="K754" s="247">
        <v>6650</v>
      </c>
      <c r="L754" s="287">
        <f t="shared" si="86"/>
        <v>0</v>
      </c>
    </row>
    <row r="755" spans="1:12" x14ac:dyDescent="0.2">
      <c r="A755" s="189" t="s">
        <v>645</v>
      </c>
      <c r="B755" s="189"/>
      <c r="C755" s="189" t="s">
        <v>617</v>
      </c>
      <c r="D755" s="189" t="s">
        <v>498</v>
      </c>
      <c r="E755" s="189" t="s">
        <v>644</v>
      </c>
      <c r="F755" s="189"/>
      <c r="G755" s="247">
        <v>3107.4</v>
      </c>
      <c r="H755" s="247">
        <v>3107.4</v>
      </c>
      <c r="I755" s="248">
        <f t="shared" si="85"/>
        <v>0</v>
      </c>
      <c r="J755" s="191">
        <v>3107.4</v>
      </c>
      <c r="K755" s="247">
        <v>3107.4</v>
      </c>
      <c r="L755" s="287">
        <f t="shared" si="86"/>
        <v>0</v>
      </c>
    </row>
    <row r="756" spans="1:12" ht="24" x14ac:dyDescent="0.2">
      <c r="A756" s="189" t="s">
        <v>643</v>
      </c>
      <c r="B756" s="189"/>
      <c r="C756" s="189" t="s">
        <v>617</v>
      </c>
      <c r="D756" s="189" t="s">
        <v>498</v>
      </c>
      <c r="E756" s="189" t="s">
        <v>642</v>
      </c>
      <c r="F756" s="189"/>
      <c r="G756" s="247">
        <v>3107.4</v>
      </c>
      <c r="H756" s="247">
        <v>3107.4</v>
      </c>
      <c r="I756" s="248">
        <f t="shared" si="85"/>
        <v>0</v>
      </c>
      <c r="J756" s="191">
        <v>3107.4</v>
      </c>
      <c r="K756" s="247">
        <v>3107.4</v>
      </c>
      <c r="L756" s="287">
        <f t="shared" si="86"/>
        <v>0</v>
      </c>
    </row>
    <row r="757" spans="1:12" ht="24" x14ac:dyDescent="0.2">
      <c r="A757" s="189" t="s">
        <v>881</v>
      </c>
      <c r="B757" s="189"/>
      <c r="C757" s="189" t="s">
        <v>617</v>
      </c>
      <c r="D757" s="189" t="s">
        <v>498</v>
      </c>
      <c r="E757" s="189" t="s">
        <v>880</v>
      </c>
      <c r="F757" s="189"/>
      <c r="G757" s="247">
        <v>3107.4</v>
      </c>
      <c r="H757" s="247">
        <v>3107.4</v>
      </c>
      <c r="I757" s="248">
        <f t="shared" si="85"/>
        <v>0</v>
      </c>
      <c r="J757" s="191">
        <v>3107.4</v>
      </c>
      <c r="K757" s="247">
        <v>3107.4</v>
      </c>
      <c r="L757" s="287">
        <f t="shared" si="86"/>
        <v>0</v>
      </c>
    </row>
    <row r="758" spans="1:12" ht="24" x14ac:dyDescent="0.2">
      <c r="A758" s="189" t="s">
        <v>1347</v>
      </c>
      <c r="B758" s="189"/>
      <c r="C758" s="189" t="s">
        <v>617</v>
      </c>
      <c r="D758" s="189" t="s">
        <v>498</v>
      </c>
      <c r="E758" s="189" t="s">
        <v>880</v>
      </c>
      <c r="F758" s="189" t="s">
        <v>535</v>
      </c>
      <c r="G758" s="247">
        <v>3107.4</v>
      </c>
      <c r="H758" s="247">
        <v>3107.4</v>
      </c>
      <c r="I758" s="248">
        <f t="shared" si="85"/>
        <v>0</v>
      </c>
      <c r="J758" s="191">
        <v>3107.4</v>
      </c>
      <c r="K758" s="247">
        <v>3107.4</v>
      </c>
      <c r="L758" s="287">
        <f t="shared" si="86"/>
        <v>0</v>
      </c>
    </row>
    <row r="759" spans="1:12" ht="24" x14ac:dyDescent="0.2">
      <c r="A759" s="189" t="s">
        <v>534</v>
      </c>
      <c r="B759" s="189"/>
      <c r="C759" s="189" t="s">
        <v>617</v>
      </c>
      <c r="D759" s="189" t="s">
        <v>498</v>
      </c>
      <c r="E759" s="189" t="s">
        <v>880</v>
      </c>
      <c r="F759" s="189" t="s">
        <v>529</v>
      </c>
      <c r="G759" s="247">
        <v>3107.4</v>
      </c>
      <c r="H759" s="247">
        <v>3107.4</v>
      </c>
      <c r="I759" s="248">
        <f t="shared" si="85"/>
        <v>0</v>
      </c>
      <c r="J759" s="191">
        <v>3107.4</v>
      </c>
      <c r="K759" s="247">
        <v>3107.4</v>
      </c>
      <c r="L759" s="287">
        <f t="shared" si="86"/>
        <v>0</v>
      </c>
    </row>
    <row r="760" spans="1:12" ht="24" x14ac:dyDescent="0.2">
      <c r="A760" s="189" t="s">
        <v>639</v>
      </c>
      <c r="B760" s="189"/>
      <c r="C760" s="189" t="s">
        <v>617</v>
      </c>
      <c r="D760" s="189" t="s">
        <v>498</v>
      </c>
      <c r="E760" s="189" t="s">
        <v>638</v>
      </c>
      <c r="F760" s="189"/>
      <c r="G760" s="247">
        <v>3542.6</v>
      </c>
      <c r="H760" s="247">
        <v>3542.6</v>
      </c>
      <c r="I760" s="248">
        <f t="shared" si="85"/>
        <v>0</v>
      </c>
      <c r="J760" s="191">
        <v>3542.6</v>
      </c>
      <c r="K760" s="247">
        <v>3542.6</v>
      </c>
      <c r="L760" s="287">
        <f t="shared" si="86"/>
        <v>0</v>
      </c>
    </row>
    <row r="761" spans="1:12" ht="24" x14ac:dyDescent="0.2">
      <c r="A761" s="189" t="s">
        <v>1357</v>
      </c>
      <c r="B761" s="189"/>
      <c r="C761" s="189" t="s">
        <v>617</v>
      </c>
      <c r="D761" s="189" t="s">
        <v>498</v>
      </c>
      <c r="E761" s="189" t="s">
        <v>1358</v>
      </c>
      <c r="F761" s="189"/>
      <c r="G761" s="247">
        <v>3542.6</v>
      </c>
      <c r="H761" s="247">
        <v>3542.6</v>
      </c>
      <c r="I761" s="248">
        <f t="shared" si="85"/>
        <v>0</v>
      </c>
      <c r="J761" s="191">
        <v>3542.6</v>
      </c>
      <c r="K761" s="247">
        <v>3542.6</v>
      </c>
      <c r="L761" s="287">
        <f t="shared" si="86"/>
        <v>0</v>
      </c>
    </row>
    <row r="762" spans="1:12" ht="24" x14ac:dyDescent="0.2">
      <c r="A762" s="189" t="s">
        <v>625</v>
      </c>
      <c r="B762" s="189"/>
      <c r="C762" s="189" t="s">
        <v>617</v>
      </c>
      <c r="D762" s="189" t="s">
        <v>498</v>
      </c>
      <c r="E762" s="189" t="s">
        <v>1359</v>
      </c>
      <c r="F762" s="189"/>
      <c r="G762" s="247">
        <v>3542.6</v>
      </c>
      <c r="H762" s="247">
        <v>3542.6</v>
      </c>
      <c r="I762" s="248">
        <f t="shared" si="85"/>
        <v>0</v>
      </c>
      <c r="J762" s="191">
        <v>3542.6</v>
      </c>
      <c r="K762" s="247">
        <v>3542.6</v>
      </c>
      <c r="L762" s="287">
        <f t="shared" si="86"/>
        <v>0</v>
      </c>
    </row>
    <row r="763" spans="1:12" ht="24" x14ac:dyDescent="0.2">
      <c r="A763" s="189" t="s">
        <v>1347</v>
      </c>
      <c r="B763" s="189"/>
      <c r="C763" s="189" t="s">
        <v>617</v>
      </c>
      <c r="D763" s="189" t="s">
        <v>498</v>
      </c>
      <c r="E763" s="189" t="s">
        <v>1359</v>
      </c>
      <c r="F763" s="189" t="s">
        <v>535</v>
      </c>
      <c r="G763" s="247">
        <v>3542.6</v>
      </c>
      <c r="H763" s="247">
        <v>3542.6</v>
      </c>
      <c r="I763" s="248">
        <f t="shared" si="85"/>
        <v>0</v>
      </c>
      <c r="J763" s="191">
        <v>3542.6</v>
      </c>
      <c r="K763" s="247">
        <v>3542.6</v>
      </c>
      <c r="L763" s="287">
        <f t="shared" si="86"/>
        <v>0</v>
      </c>
    </row>
    <row r="764" spans="1:12" ht="24" x14ac:dyDescent="0.2">
      <c r="A764" s="189" t="s">
        <v>534</v>
      </c>
      <c r="B764" s="189"/>
      <c r="C764" s="189" t="s">
        <v>617</v>
      </c>
      <c r="D764" s="189" t="s">
        <v>498</v>
      </c>
      <c r="E764" s="189" t="s">
        <v>1359</v>
      </c>
      <c r="F764" s="189" t="s">
        <v>529</v>
      </c>
      <c r="G764" s="247">
        <v>3542.6</v>
      </c>
      <c r="H764" s="247">
        <v>3542.6</v>
      </c>
      <c r="I764" s="248">
        <f t="shared" si="85"/>
        <v>0</v>
      </c>
      <c r="J764" s="191">
        <v>3542.6</v>
      </c>
      <c r="K764" s="247">
        <v>3542.6</v>
      </c>
      <c r="L764" s="287">
        <f t="shared" si="86"/>
        <v>0</v>
      </c>
    </row>
    <row r="765" spans="1:12" x14ac:dyDescent="0.2">
      <c r="A765" s="189" t="s">
        <v>879</v>
      </c>
      <c r="B765" s="189"/>
      <c r="C765" s="189" t="s">
        <v>617</v>
      </c>
      <c r="D765" s="189" t="s">
        <v>498</v>
      </c>
      <c r="E765" s="189" t="s">
        <v>878</v>
      </c>
      <c r="F765" s="189"/>
      <c r="G765" s="247">
        <v>3260.8</v>
      </c>
      <c r="H765" s="247">
        <v>3260.8</v>
      </c>
      <c r="I765" s="248">
        <f t="shared" si="85"/>
        <v>0</v>
      </c>
      <c r="J765" s="191">
        <v>3260.8</v>
      </c>
      <c r="K765" s="247">
        <v>3260.8</v>
      </c>
      <c r="L765" s="287">
        <f t="shared" si="86"/>
        <v>0</v>
      </c>
    </row>
    <row r="766" spans="1:12" x14ac:dyDescent="0.2">
      <c r="A766" s="189" t="s">
        <v>877</v>
      </c>
      <c r="B766" s="189"/>
      <c r="C766" s="189" t="s">
        <v>617</v>
      </c>
      <c r="D766" s="189" t="s">
        <v>498</v>
      </c>
      <c r="E766" s="189" t="s">
        <v>876</v>
      </c>
      <c r="F766" s="189"/>
      <c r="G766" s="247">
        <v>3260.8</v>
      </c>
      <c r="H766" s="247">
        <v>3260.8</v>
      </c>
      <c r="I766" s="248">
        <f t="shared" si="85"/>
        <v>0</v>
      </c>
      <c r="J766" s="191">
        <v>3260.8</v>
      </c>
      <c r="K766" s="247">
        <v>3260.8</v>
      </c>
      <c r="L766" s="287">
        <f t="shared" si="86"/>
        <v>0</v>
      </c>
    </row>
    <row r="767" spans="1:12" x14ac:dyDescent="0.2">
      <c r="A767" s="189" t="s">
        <v>875</v>
      </c>
      <c r="B767" s="189"/>
      <c r="C767" s="189" t="s">
        <v>617</v>
      </c>
      <c r="D767" s="189" t="s">
        <v>498</v>
      </c>
      <c r="E767" s="189" t="s">
        <v>874</v>
      </c>
      <c r="F767" s="189"/>
      <c r="G767" s="247">
        <v>3260.8</v>
      </c>
      <c r="H767" s="247">
        <v>3260.8</v>
      </c>
      <c r="I767" s="248">
        <f t="shared" si="85"/>
        <v>0</v>
      </c>
      <c r="J767" s="191">
        <v>3260.8</v>
      </c>
      <c r="K767" s="247">
        <v>3260.8</v>
      </c>
      <c r="L767" s="287">
        <f t="shared" si="86"/>
        <v>0</v>
      </c>
    </row>
    <row r="768" spans="1:12" ht="24" x14ac:dyDescent="0.2">
      <c r="A768" s="189" t="s">
        <v>873</v>
      </c>
      <c r="B768" s="189"/>
      <c r="C768" s="189" t="s">
        <v>617</v>
      </c>
      <c r="D768" s="189" t="s">
        <v>498</v>
      </c>
      <c r="E768" s="189" t="s">
        <v>872</v>
      </c>
      <c r="F768" s="189"/>
      <c r="G768" s="247">
        <v>3260.8</v>
      </c>
      <c r="H768" s="247">
        <v>3260.8</v>
      </c>
      <c r="I768" s="248">
        <f t="shared" si="85"/>
        <v>0</v>
      </c>
      <c r="J768" s="191">
        <v>3260.8</v>
      </c>
      <c r="K768" s="247">
        <v>3260.8</v>
      </c>
      <c r="L768" s="287">
        <f t="shared" si="86"/>
        <v>0</v>
      </c>
    </row>
    <row r="769" spans="1:12" ht="24" x14ac:dyDescent="0.2">
      <c r="A769" s="189" t="s">
        <v>1347</v>
      </c>
      <c r="B769" s="189"/>
      <c r="C769" s="189" t="s">
        <v>617</v>
      </c>
      <c r="D769" s="189" t="s">
        <v>498</v>
      </c>
      <c r="E769" s="189" t="s">
        <v>872</v>
      </c>
      <c r="F769" s="189" t="s">
        <v>535</v>
      </c>
      <c r="G769" s="247">
        <v>3260.8</v>
      </c>
      <c r="H769" s="247">
        <v>3260.8</v>
      </c>
      <c r="I769" s="248">
        <f t="shared" si="85"/>
        <v>0</v>
      </c>
      <c r="J769" s="191">
        <v>3260.8</v>
      </c>
      <c r="K769" s="247">
        <v>3260.8</v>
      </c>
      <c r="L769" s="287">
        <f t="shared" si="86"/>
        <v>0</v>
      </c>
    </row>
    <row r="770" spans="1:12" ht="24" x14ac:dyDescent="0.2">
      <c r="A770" s="189" t="s">
        <v>534</v>
      </c>
      <c r="B770" s="189"/>
      <c r="C770" s="189" t="s">
        <v>617</v>
      </c>
      <c r="D770" s="189" t="s">
        <v>498</v>
      </c>
      <c r="E770" s="189" t="s">
        <v>872</v>
      </c>
      <c r="F770" s="189" t="s">
        <v>529</v>
      </c>
      <c r="G770" s="247">
        <v>3260.8</v>
      </c>
      <c r="H770" s="247">
        <v>3260.8</v>
      </c>
      <c r="I770" s="248">
        <f t="shared" si="85"/>
        <v>0</v>
      </c>
      <c r="J770" s="191">
        <v>3260.8</v>
      </c>
      <c r="K770" s="247">
        <v>3260.8</v>
      </c>
      <c r="L770" s="287">
        <f t="shared" si="86"/>
        <v>0</v>
      </c>
    </row>
    <row r="771" spans="1:12" x14ac:dyDescent="0.2">
      <c r="A771" s="189" t="s">
        <v>595</v>
      </c>
      <c r="B771" s="189"/>
      <c r="C771" s="189" t="s">
        <v>617</v>
      </c>
      <c r="D771" s="189" t="s">
        <v>498</v>
      </c>
      <c r="E771" s="189" t="s">
        <v>594</v>
      </c>
      <c r="F771" s="189"/>
      <c r="G771" s="247">
        <v>1525.2</v>
      </c>
      <c r="H771" s="247">
        <v>1525.2</v>
      </c>
      <c r="I771" s="248">
        <f t="shared" si="85"/>
        <v>0</v>
      </c>
      <c r="J771" s="191">
        <v>2815.2</v>
      </c>
      <c r="K771" s="247">
        <v>2815.2</v>
      </c>
      <c r="L771" s="287">
        <f t="shared" si="86"/>
        <v>0</v>
      </c>
    </row>
    <row r="772" spans="1:12" ht="24" x14ac:dyDescent="0.2">
      <c r="A772" s="189" t="s">
        <v>871</v>
      </c>
      <c r="B772" s="189"/>
      <c r="C772" s="189" t="s">
        <v>617</v>
      </c>
      <c r="D772" s="189" t="s">
        <v>498</v>
      </c>
      <c r="E772" s="189" t="s">
        <v>870</v>
      </c>
      <c r="F772" s="189"/>
      <c r="G772" s="247">
        <v>1525.2</v>
      </c>
      <c r="H772" s="247">
        <v>1525.2</v>
      </c>
      <c r="I772" s="248">
        <f t="shared" si="85"/>
        <v>0</v>
      </c>
      <c r="J772" s="191">
        <v>2815.2</v>
      </c>
      <c r="K772" s="247">
        <v>2815.2</v>
      </c>
      <c r="L772" s="287">
        <f t="shared" si="86"/>
        <v>0</v>
      </c>
    </row>
    <row r="773" spans="1:12" ht="24" x14ac:dyDescent="0.2">
      <c r="A773" s="189" t="s">
        <v>1347</v>
      </c>
      <c r="B773" s="189"/>
      <c r="C773" s="189" t="s">
        <v>617</v>
      </c>
      <c r="D773" s="189" t="s">
        <v>498</v>
      </c>
      <c r="E773" s="189" t="s">
        <v>870</v>
      </c>
      <c r="F773" s="189" t="s">
        <v>535</v>
      </c>
      <c r="G773" s="247">
        <v>1525.2</v>
      </c>
      <c r="H773" s="247">
        <v>1525.2</v>
      </c>
      <c r="I773" s="248">
        <f t="shared" si="85"/>
        <v>0</v>
      </c>
      <c r="J773" s="191">
        <v>2815.2</v>
      </c>
      <c r="K773" s="247">
        <v>2815.2</v>
      </c>
      <c r="L773" s="287">
        <f t="shared" si="86"/>
        <v>0</v>
      </c>
    </row>
    <row r="774" spans="1:12" ht="24" x14ac:dyDescent="0.2">
      <c r="A774" s="189" t="s">
        <v>534</v>
      </c>
      <c r="B774" s="189"/>
      <c r="C774" s="189" t="s">
        <v>617</v>
      </c>
      <c r="D774" s="189" t="s">
        <v>498</v>
      </c>
      <c r="E774" s="189" t="s">
        <v>870</v>
      </c>
      <c r="F774" s="189" t="s">
        <v>529</v>
      </c>
      <c r="G774" s="247">
        <v>1525.2</v>
      </c>
      <c r="H774" s="247">
        <v>1525.2</v>
      </c>
      <c r="I774" s="248">
        <f t="shared" ref="I774:I837" si="93">H774-G774</f>
        <v>0</v>
      </c>
      <c r="J774" s="191">
        <v>2815.2</v>
      </c>
      <c r="K774" s="247">
        <v>2815.2</v>
      </c>
      <c r="L774" s="287">
        <f t="shared" ref="L774:L837" si="94">K774-J774</f>
        <v>0</v>
      </c>
    </row>
    <row r="775" spans="1:12" s="78" customFormat="1" x14ac:dyDescent="0.2">
      <c r="A775" s="185" t="s">
        <v>668</v>
      </c>
      <c r="B775" s="185"/>
      <c r="C775" s="185" t="s">
        <v>657</v>
      </c>
      <c r="D775" s="185"/>
      <c r="E775" s="185"/>
      <c r="F775" s="185"/>
      <c r="G775" s="245">
        <v>212020</v>
      </c>
      <c r="H775" s="245">
        <f>H776+H783+H828+H840</f>
        <v>217020</v>
      </c>
      <c r="I775" s="246">
        <f t="shared" si="93"/>
        <v>5000</v>
      </c>
      <c r="J775" s="187">
        <v>263168.2</v>
      </c>
      <c r="K775" s="245">
        <f>K776+K783+K828+K840</f>
        <v>263168.2</v>
      </c>
      <c r="L775" s="286">
        <f t="shared" si="94"/>
        <v>0</v>
      </c>
    </row>
    <row r="776" spans="1:12" x14ac:dyDescent="0.2">
      <c r="A776" s="189" t="s">
        <v>869</v>
      </c>
      <c r="B776" s="189"/>
      <c r="C776" s="189" t="s">
        <v>657</v>
      </c>
      <c r="D776" s="189" t="s">
        <v>498</v>
      </c>
      <c r="E776" s="189"/>
      <c r="F776" s="189"/>
      <c r="G776" s="247">
        <v>27100</v>
      </c>
      <c r="H776" s="247">
        <v>27100</v>
      </c>
      <c r="I776" s="248">
        <f t="shared" si="93"/>
        <v>0</v>
      </c>
      <c r="J776" s="191">
        <v>27100</v>
      </c>
      <c r="K776" s="247">
        <v>27100</v>
      </c>
      <c r="L776" s="287">
        <f t="shared" si="94"/>
        <v>0</v>
      </c>
    </row>
    <row r="777" spans="1:12" x14ac:dyDescent="0.2">
      <c r="A777" s="189" t="s">
        <v>568</v>
      </c>
      <c r="B777" s="189"/>
      <c r="C777" s="189" t="s">
        <v>657</v>
      </c>
      <c r="D777" s="189" t="s">
        <v>498</v>
      </c>
      <c r="E777" s="189" t="s">
        <v>567</v>
      </c>
      <c r="F777" s="189"/>
      <c r="G777" s="247">
        <v>27100</v>
      </c>
      <c r="H777" s="247">
        <v>27100</v>
      </c>
      <c r="I777" s="248">
        <f t="shared" si="93"/>
        <v>0</v>
      </c>
      <c r="J777" s="191">
        <v>27100</v>
      </c>
      <c r="K777" s="247">
        <v>27100</v>
      </c>
      <c r="L777" s="287">
        <f t="shared" si="94"/>
        <v>0</v>
      </c>
    </row>
    <row r="778" spans="1:12" x14ac:dyDescent="0.2">
      <c r="A778" s="189" t="s">
        <v>855</v>
      </c>
      <c r="B778" s="189"/>
      <c r="C778" s="189" t="s">
        <v>657</v>
      </c>
      <c r="D778" s="189" t="s">
        <v>498</v>
      </c>
      <c r="E778" s="189" t="s">
        <v>854</v>
      </c>
      <c r="F778" s="189"/>
      <c r="G778" s="247">
        <v>27100</v>
      </c>
      <c r="H778" s="247">
        <v>27100</v>
      </c>
      <c r="I778" s="248">
        <f t="shared" si="93"/>
        <v>0</v>
      </c>
      <c r="J778" s="191">
        <v>27100</v>
      </c>
      <c r="K778" s="247">
        <v>27100</v>
      </c>
      <c r="L778" s="287">
        <f t="shared" si="94"/>
        <v>0</v>
      </c>
    </row>
    <row r="779" spans="1:12" ht="24" x14ac:dyDescent="0.2">
      <c r="A779" s="189" t="s">
        <v>868</v>
      </c>
      <c r="B779" s="189"/>
      <c r="C779" s="189" t="s">
        <v>657</v>
      </c>
      <c r="D779" s="189" t="s">
        <v>498</v>
      </c>
      <c r="E779" s="189" t="s">
        <v>867</v>
      </c>
      <c r="F779" s="189"/>
      <c r="G779" s="247">
        <v>27100</v>
      </c>
      <c r="H779" s="247">
        <v>27100</v>
      </c>
      <c r="I779" s="248">
        <f t="shared" si="93"/>
        <v>0</v>
      </c>
      <c r="J779" s="191">
        <v>27100</v>
      </c>
      <c r="K779" s="247">
        <v>27100</v>
      </c>
      <c r="L779" s="287">
        <f t="shared" si="94"/>
        <v>0</v>
      </c>
    </row>
    <row r="780" spans="1:12" ht="24" x14ac:dyDescent="0.2">
      <c r="A780" s="189" t="s">
        <v>866</v>
      </c>
      <c r="B780" s="189"/>
      <c r="C780" s="189" t="s">
        <v>657</v>
      </c>
      <c r="D780" s="189" t="s">
        <v>498</v>
      </c>
      <c r="E780" s="189" t="s">
        <v>865</v>
      </c>
      <c r="F780" s="189"/>
      <c r="G780" s="247">
        <v>27100</v>
      </c>
      <c r="H780" s="247">
        <v>27100</v>
      </c>
      <c r="I780" s="248">
        <f t="shared" si="93"/>
        <v>0</v>
      </c>
      <c r="J780" s="191">
        <v>27100</v>
      </c>
      <c r="K780" s="247">
        <v>27100</v>
      </c>
      <c r="L780" s="287">
        <f t="shared" si="94"/>
        <v>0</v>
      </c>
    </row>
    <row r="781" spans="1:12" x14ac:dyDescent="0.2">
      <c r="A781" s="189" t="s">
        <v>553</v>
      </c>
      <c r="B781" s="189"/>
      <c r="C781" s="189" t="s">
        <v>657</v>
      </c>
      <c r="D781" s="189" t="s">
        <v>498</v>
      </c>
      <c r="E781" s="189" t="s">
        <v>865</v>
      </c>
      <c r="F781" s="189" t="s">
        <v>552</v>
      </c>
      <c r="G781" s="247">
        <v>27100</v>
      </c>
      <c r="H781" s="247">
        <v>27100</v>
      </c>
      <c r="I781" s="248">
        <f t="shared" si="93"/>
        <v>0</v>
      </c>
      <c r="J781" s="191">
        <v>27100</v>
      </c>
      <c r="K781" s="247">
        <v>27100</v>
      </c>
      <c r="L781" s="287">
        <f t="shared" si="94"/>
        <v>0</v>
      </c>
    </row>
    <row r="782" spans="1:12" ht="24" x14ac:dyDescent="0.2">
      <c r="A782" s="189" t="s">
        <v>832</v>
      </c>
      <c r="B782" s="189"/>
      <c r="C782" s="189" t="s">
        <v>657</v>
      </c>
      <c r="D782" s="189" t="s">
        <v>498</v>
      </c>
      <c r="E782" s="189" t="s">
        <v>865</v>
      </c>
      <c r="F782" s="189" t="s">
        <v>830</v>
      </c>
      <c r="G782" s="247">
        <v>27100</v>
      </c>
      <c r="H782" s="247">
        <v>27100</v>
      </c>
      <c r="I782" s="248">
        <f t="shared" si="93"/>
        <v>0</v>
      </c>
      <c r="J782" s="191">
        <v>27100</v>
      </c>
      <c r="K782" s="247">
        <v>27100</v>
      </c>
      <c r="L782" s="287">
        <f t="shared" si="94"/>
        <v>0</v>
      </c>
    </row>
    <row r="783" spans="1:12" x14ac:dyDescent="0.2">
      <c r="A783" s="189" t="s">
        <v>864</v>
      </c>
      <c r="B783" s="189"/>
      <c r="C783" s="189" t="s">
        <v>657</v>
      </c>
      <c r="D783" s="189" t="s">
        <v>531</v>
      </c>
      <c r="E783" s="189"/>
      <c r="F783" s="189"/>
      <c r="G783" s="247">
        <v>139991</v>
      </c>
      <c r="H783" s="247">
        <v>139991</v>
      </c>
      <c r="I783" s="248">
        <f t="shared" si="93"/>
        <v>0</v>
      </c>
      <c r="J783" s="191">
        <v>199749.9</v>
      </c>
      <c r="K783" s="247">
        <v>199749.9</v>
      </c>
      <c r="L783" s="287">
        <f t="shared" si="94"/>
        <v>0</v>
      </c>
    </row>
    <row r="784" spans="1:12" x14ac:dyDescent="0.2">
      <c r="A784" s="189" t="s">
        <v>863</v>
      </c>
      <c r="B784" s="189"/>
      <c r="C784" s="189" t="s">
        <v>657</v>
      </c>
      <c r="D784" s="189" t="s">
        <v>531</v>
      </c>
      <c r="E784" s="189" t="s">
        <v>862</v>
      </c>
      <c r="F784" s="189"/>
      <c r="G784" s="247">
        <v>4860</v>
      </c>
      <c r="H784" s="247">
        <v>4860</v>
      </c>
      <c r="I784" s="248">
        <f t="shared" si="93"/>
        <v>0</v>
      </c>
      <c r="J784" s="191">
        <v>4860</v>
      </c>
      <c r="K784" s="247">
        <v>4860</v>
      </c>
      <c r="L784" s="287">
        <f t="shared" si="94"/>
        <v>0</v>
      </c>
    </row>
    <row r="785" spans="1:12" ht="24" x14ac:dyDescent="0.2">
      <c r="A785" s="189" t="s">
        <v>861</v>
      </c>
      <c r="B785" s="189"/>
      <c r="C785" s="189" t="s">
        <v>657</v>
      </c>
      <c r="D785" s="189" t="s">
        <v>531</v>
      </c>
      <c r="E785" s="189" t="s">
        <v>860</v>
      </c>
      <c r="F785" s="189"/>
      <c r="G785" s="247">
        <v>4860</v>
      </c>
      <c r="H785" s="247">
        <v>4860</v>
      </c>
      <c r="I785" s="248">
        <f t="shared" si="93"/>
        <v>0</v>
      </c>
      <c r="J785" s="191">
        <v>4860</v>
      </c>
      <c r="K785" s="247">
        <v>4860</v>
      </c>
      <c r="L785" s="287">
        <f t="shared" si="94"/>
        <v>0</v>
      </c>
    </row>
    <row r="786" spans="1:12" ht="24" x14ac:dyDescent="0.2">
      <c r="A786" s="189" t="s">
        <v>859</v>
      </c>
      <c r="B786" s="189"/>
      <c r="C786" s="189" t="s">
        <v>657</v>
      </c>
      <c r="D786" s="189" t="s">
        <v>531</v>
      </c>
      <c r="E786" s="189" t="s">
        <v>858</v>
      </c>
      <c r="F786" s="189"/>
      <c r="G786" s="247">
        <v>4860</v>
      </c>
      <c r="H786" s="247">
        <v>4860</v>
      </c>
      <c r="I786" s="248">
        <f t="shared" si="93"/>
        <v>0</v>
      </c>
      <c r="J786" s="191">
        <v>4860</v>
      </c>
      <c r="K786" s="247">
        <v>4860</v>
      </c>
      <c r="L786" s="287">
        <f t="shared" si="94"/>
        <v>0</v>
      </c>
    </row>
    <row r="787" spans="1:12" ht="48" x14ac:dyDescent="0.2">
      <c r="A787" s="189" t="s">
        <v>857</v>
      </c>
      <c r="B787" s="189"/>
      <c r="C787" s="189" t="s">
        <v>657</v>
      </c>
      <c r="D787" s="189" t="s">
        <v>531</v>
      </c>
      <c r="E787" s="189" t="s">
        <v>856</v>
      </c>
      <c r="F787" s="189"/>
      <c r="G787" s="247">
        <v>4860</v>
      </c>
      <c r="H787" s="247">
        <v>4860</v>
      </c>
      <c r="I787" s="248">
        <f t="shared" si="93"/>
        <v>0</v>
      </c>
      <c r="J787" s="191">
        <v>4860</v>
      </c>
      <c r="K787" s="247">
        <v>4860</v>
      </c>
      <c r="L787" s="287">
        <f t="shared" si="94"/>
        <v>0</v>
      </c>
    </row>
    <row r="788" spans="1:12" x14ac:dyDescent="0.2">
      <c r="A788" s="189" t="s">
        <v>553</v>
      </c>
      <c r="B788" s="189"/>
      <c r="C788" s="189" t="s">
        <v>657</v>
      </c>
      <c r="D788" s="189" t="s">
        <v>531</v>
      </c>
      <c r="E788" s="189" t="s">
        <v>856</v>
      </c>
      <c r="F788" s="189" t="s">
        <v>552</v>
      </c>
      <c r="G788" s="247">
        <v>4860</v>
      </c>
      <c r="H788" s="247">
        <v>4860</v>
      </c>
      <c r="I788" s="248">
        <f t="shared" si="93"/>
        <v>0</v>
      </c>
      <c r="J788" s="191">
        <v>4860</v>
      </c>
      <c r="K788" s="247">
        <v>4860</v>
      </c>
      <c r="L788" s="287">
        <f t="shared" si="94"/>
        <v>0</v>
      </c>
    </row>
    <row r="789" spans="1:12" x14ac:dyDescent="0.2">
      <c r="A789" s="189" t="s">
        <v>659</v>
      </c>
      <c r="B789" s="189"/>
      <c r="C789" s="189" t="s">
        <v>657</v>
      </c>
      <c r="D789" s="189" t="s">
        <v>531</v>
      </c>
      <c r="E789" s="189" t="s">
        <v>856</v>
      </c>
      <c r="F789" s="189" t="s">
        <v>655</v>
      </c>
      <c r="G789" s="247">
        <v>4860</v>
      </c>
      <c r="H789" s="247">
        <v>4860</v>
      </c>
      <c r="I789" s="248">
        <f t="shared" si="93"/>
        <v>0</v>
      </c>
      <c r="J789" s="191">
        <v>4860</v>
      </c>
      <c r="K789" s="247">
        <v>4860</v>
      </c>
      <c r="L789" s="287">
        <f t="shared" si="94"/>
        <v>0</v>
      </c>
    </row>
    <row r="790" spans="1:12" x14ac:dyDescent="0.2">
      <c r="A790" s="189" t="s">
        <v>568</v>
      </c>
      <c r="B790" s="189"/>
      <c r="C790" s="189" t="s">
        <v>657</v>
      </c>
      <c r="D790" s="189" t="s">
        <v>531</v>
      </c>
      <c r="E790" s="189" t="s">
        <v>567</v>
      </c>
      <c r="F790" s="189"/>
      <c r="G790" s="247">
        <v>130337</v>
      </c>
      <c r="H790" s="247">
        <v>130337</v>
      </c>
      <c r="I790" s="248">
        <f t="shared" si="93"/>
        <v>0</v>
      </c>
      <c r="J790" s="191">
        <v>163688.79999999999</v>
      </c>
      <c r="K790" s="247">
        <v>163688.79999999999</v>
      </c>
      <c r="L790" s="287">
        <f t="shared" si="94"/>
        <v>0</v>
      </c>
    </row>
    <row r="791" spans="1:12" x14ac:dyDescent="0.2">
      <c r="A791" s="189" t="s">
        <v>855</v>
      </c>
      <c r="B791" s="189"/>
      <c r="C791" s="189" t="s">
        <v>657</v>
      </c>
      <c r="D791" s="189" t="s">
        <v>531</v>
      </c>
      <c r="E791" s="189" t="s">
        <v>854</v>
      </c>
      <c r="F791" s="189"/>
      <c r="G791" s="247">
        <v>130337</v>
      </c>
      <c r="H791" s="247">
        <v>130337</v>
      </c>
      <c r="I791" s="248">
        <f t="shared" si="93"/>
        <v>0</v>
      </c>
      <c r="J791" s="191">
        <v>163688.79999999999</v>
      </c>
      <c r="K791" s="247">
        <v>163688.79999999999</v>
      </c>
      <c r="L791" s="287">
        <f t="shared" si="94"/>
        <v>0</v>
      </c>
    </row>
    <row r="792" spans="1:12" ht="36" x14ac:dyDescent="0.2">
      <c r="A792" s="189" t="s">
        <v>853</v>
      </c>
      <c r="B792" s="189"/>
      <c r="C792" s="189" t="s">
        <v>657</v>
      </c>
      <c r="D792" s="189" t="s">
        <v>531</v>
      </c>
      <c r="E792" s="189" t="s">
        <v>852</v>
      </c>
      <c r="F792" s="189"/>
      <c r="G792" s="247">
        <v>130337</v>
      </c>
      <c r="H792" s="247">
        <v>130337</v>
      </c>
      <c r="I792" s="248">
        <f t="shared" si="93"/>
        <v>0</v>
      </c>
      <c r="J792" s="191">
        <v>135811</v>
      </c>
      <c r="K792" s="247">
        <v>135811</v>
      </c>
      <c r="L792" s="287">
        <f t="shared" si="94"/>
        <v>0</v>
      </c>
    </row>
    <row r="793" spans="1:12" ht="24" x14ac:dyDescent="0.2">
      <c r="A793" s="189" t="s">
        <v>851</v>
      </c>
      <c r="B793" s="189"/>
      <c r="C793" s="189" t="s">
        <v>657</v>
      </c>
      <c r="D793" s="189" t="s">
        <v>531</v>
      </c>
      <c r="E793" s="189" t="s">
        <v>850</v>
      </c>
      <c r="F793" s="189"/>
      <c r="G793" s="247">
        <v>130337</v>
      </c>
      <c r="H793" s="247">
        <v>130337</v>
      </c>
      <c r="I793" s="248">
        <f t="shared" si="93"/>
        <v>0</v>
      </c>
      <c r="J793" s="191">
        <v>135811</v>
      </c>
      <c r="K793" s="247">
        <v>135811</v>
      </c>
      <c r="L793" s="287">
        <f t="shared" si="94"/>
        <v>0</v>
      </c>
    </row>
    <row r="794" spans="1:12" ht="24" x14ac:dyDescent="0.2">
      <c r="A794" s="189" t="s">
        <v>1347</v>
      </c>
      <c r="B794" s="189"/>
      <c r="C794" s="189" t="s">
        <v>657</v>
      </c>
      <c r="D794" s="189" t="s">
        <v>531</v>
      </c>
      <c r="E794" s="189" t="s">
        <v>850</v>
      </c>
      <c r="F794" s="189" t="s">
        <v>535</v>
      </c>
      <c r="G794" s="247">
        <v>974.1</v>
      </c>
      <c r="H794" s="247">
        <v>974.1</v>
      </c>
      <c r="I794" s="248">
        <f t="shared" si="93"/>
        <v>0</v>
      </c>
      <c r="J794" s="191">
        <v>1015.1</v>
      </c>
      <c r="K794" s="247">
        <v>1015.1</v>
      </c>
      <c r="L794" s="287">
        <f t="shared" si="94"/>
        <v>0</v>
      </c>
    </row>
    <row r="795" spans="1:12" ht="24" x14ac:dyDescent="0.2">
      <c r="A795" s="189" t="s">
        <v>534</v>
      </c>
      <c r="B795" s="189"/>
      <c r="C795" s="189" t="s">
        <v>657</v>
      </c>
      <c r="D795" s="189" t="s">
        <v>531</v>
      </c>
      <c r="E795" s="189" t="s">
        <v>850</v>
      </c>
      <c r="F795" s="189" t="s">
        <v>529</v>
      </c>
      <c r="G795" s="247">
        <v>974.1</v>
      </c>
      <c r="H795" s="247">
        <v>974.1</v>
      </c>
      <c r="I795" s="248">
        <f t="shared" si="93"/>
        <v>0</v>
      </c>
      <c r="J795" s="191">
        <v>1015.1</v>
      </c>
      <c r="K795" s="247">
        <v>1015.1</v>
      </c>
      <c r="L795" s="287">
        <f t="shared" si="94"/>
        <v>0</v>
      </c>
    </row>
    <row r="796" spans="1:12" x14ac:dyDescent="0.2">
      <c r="A796" s="189" t="s">
        <v>553</v>
      </c>
      <c r="B796" s="189"/>
      <c r="C796" s="189" t="s">
        <v>657</v>
      </c>
      <c r="D796" s="189" t="s">
        <v>531</v>
      </c>
      <c r="E796" s="189" t="s">
        <v>850</v>
      </c>
      <c r="F796" s="189" t="s">
        <v>552</v>
      </c>
      <c r="G796" s="247">
        <v>129362.9</v>
      </c>
      <c r="H796" s="247">
        <v>129362.9</v>
      </c>
      <c r="I796" s="248">
        <f t="shared" si="93"/>
        <v>0</v>
      </c>
      <c r="J796" s="191">
        <v>134795.9</v>
      </c>
      <c r="K796" s="247">
        <v>134795.9</v>
      </c>
      <c r="L796" s="287">
        <f t="shared" si="94"/>
        <v>0</v>
      </c>
    </row>
    <row r="797" spans="1:12" ht="24" x14ac:dyDescent="0.2">
      <c r="A797" s="189" t="s">
        <v>832</v>
      </c>
      <c r="B797" s="189"/>
      <c r="C797" s="189" t="s">
        <v>657</v>
      </c>
      <c r="D797" s="189" t="s">
        <v>531</v>
      </c>
      <c r="E797" s="189" t="s">
        <v>850</v>
      </c>
      <c r="F797" s="189" t="s">
        <v>830</v>
      </c>
      <c r="G797" s="247">
        <v>129362.9</v>
      </c>
      <c r="H797" s="247">
        <v>129362.9</v>
      </c>
      <c r="I797" s="248">
        <f t="shared" si="93"/>
        <v>0</v>
      </c>
      <c r="J797" s="191">
        <v>134795.9</v>
      </c>
      <c r="K797" s="247">
        <v>134795.9</v>
      </c>
      <c r="L797" s="287">
        <f t="shared" si="94"/>
        <v>0</v>
      </c>
    </row>
    <row r="798" spans="1:12" ht="24" x14ac:dyDescent="0.2">
      <c r="A798" s="189" t="s">
        <v>1294</v>
      </c>
      <c r="B798" s="189"/>
      <c r="C798" s="189" t="s">
        <v>657</v>
      </c>
      <c r="D798" s="189" t="s">
        <v>531</v>
      </c>
      <c r="E798" s="189" t="s">
        <v>1295</v>
      </c>
      <c r="F798" s="189"/>
      <c r="G798" s="247">
        <v>0</v>
      </c>
      <c r="H798" s="247">
        <v>0</v>
      </c>
      <c r="I798" s="248">
        <f t="shared" si="93"/>
        <v>0</v>
      </c>
      <c r="J798" s="191">
        <v>27877.8</v>
      </c>
      <c r="K798" s="247">
        <v>27877.8</v>
      </c>
      <c r="L798" s="287">
        <f t="shared" si="94"/>
        <v>0</v>
      </c>
    </row>
    <row r="799" spans="1:12" ht="24" x14ac:dyDescent="0.2">
      <c r="A799" s="189" t="s">
        <v>1296</v>
      </c>
      <c r="B799" s="189"/>
      <c r="C799" s="189" t="s">
        <v>657</v>
      </c>
      <c r="D799" s="189" t="s">
        <v>531</v>
      </c>
      <c r="E799" s="189" t="s">
        <v>1297</v>
      </c>
      <c r="F799" s="189"/>
      <c r="G799" s="247">
        <v>0</v>
      </c>
      <c r="H799" s="247">
        <v>0</v>
      </c>
      <c r="I799" s="248">
        <f t="shared" si="93"/>
        <v>0</v>
      </c>
      <c r="J799" s="191">
        <v>27877.8</v>
      </c>
      <c r="K799" s="247">
        <v>27877.8</v>
      </c>
      <c r="L799" s="287">
        <f t="shared" si="94"/>
        <v>0</v>
      </c>
    </row>
    <row r="800" spans="1:12" x14ac:dyDescent="0.2">
      <c r="A800" s="189" t="s">
        <v>553</v>
      </c>
      <c r="B800" s="189"/>
      <c r="C800" s="189" t="s">
        <v>657</v>
      </c>
      <c r="D800" s="189" t="s">
        <v>531</v>
      </c>
      <c r="E800" s="189" t="s">
        <v>1297</v>
      </c>
      <c r="F800" s="189" t="s">
        <v>552</v>
      </c>
      <c r="G800" s="247">
        <v>0</v>
      </c>
      <c r="H800" s="247">
        <v>0</v>
      </c>
      <c r="I800" s="248">
        <f t="shared" si="93"/>
        <v>0</v>
      </c>
      <c r="J800" s="191">
        <v>27877.8</v>
      </c>
      <c r="K800" s="247">
        <v>27877.8</v>
      </c>
      <c r="L800" s="287">
        <f t="shared" si="94"/>
        <v>0</v>
      </c>
    </row>
    <row r="801" spans="1:12" ht="24" x14ac:dyDescent="0.2">
      <c r="A801" s="189" t="s">
        <v>832</v>
      </c>
      <c r="B801" s="189"/>
      <c r="C801" s="189" t="s">
        <v>657</v>
      </c>
      <c r="D801" s="189" t="s">
        <v>531</v>
      </c>
      <c r="E801" s="189" t="s">
        <v>1297</v>
      </c>
      <c r="F801" s="189" t="s">
        <v>830</v>
      </c>
      <c r="G801" s="247">
        <v>0</v>
      </c>
      <c r="H801" s="247">
        <v>0</v>
      </c>
      <c r="I801" s="248">
        <f t="shared" si="93"/>
        <v>0</v>
      </c>
      <c r="J801" s="191">
        <v>27877.8</v>
      </c>
      <c r="K801" s="247">
        <v>27877.8</v>
      </c>
      <c r="L801" s="287">
        <f t="shared" si="94"/>
        <v>0</v>
      </c>
    </row>
    <row r="802" spans="1:12" x14ac:dyDescent="0.2">
      <c r="A802" s="189" t="s">
        <v>839</v>
      </c>
      <c r="B802" s="189"/>
      <c r="C802" s="189" t="s">
        <v>657</v>
      </c>
      <c r="D802" s="189" t="s">
        <v>531</v>
      </c>
      <c r="E802" s="189" t="s">
        <v>838</v>
      </c>
      <c r="F802" s="189"/>
      <c r="G802" s="247">
        <v>294</v>
      </c>
      <c r="H802" s="247">
        <v>294</v>
      </c>
      <c r="I802" s="248">
        <f t="shared" si="93"/>
        <v>0</v>
      </c>
      <c r="J802" s="191">
        <v>22201.1</v>
      </c>
      <c r="K802" s="247">
        <v>22201.1</v>
      </c>
      <c r="L802" s="287">
        <f t="shared" si="94"/>
        <v>0</v>
      </c>
    </row>
    <row r="803" spans="1:12" x14ac:dyDescent="0.2">
      <c r="A803" s="189" t="s">
        <v>849</v>
      </c>
      <c r="B803" s="189"/>
      <c r="C803" s="189" t="s">
        <v>657</v>
      </c>
      <c r="D803" s="189" t="s">
        <v>531</v>
      </c>
      <c r="E803" s="189" t="s">
        <v>848</v>
      </c>
      <c r="F803" s="189"/>
      <c r="G803" s="247">
        <v>294</v>
      </c>
      <c r="H803" s="247">
        <v>294</v>
      </c>
      <c r="I803" s="248">
        <f t="shared" si="93"/>
        <v>0</v>
      </c>
      <c r="J803" s="191">
        <v>294</v>
      </c>
      <c r="K803" s="247">
        <v>294</v>
      </c>
      <c r="L803" s="287">
        <f t="shared" si="94"/>
        <v>0</v>
      </c>
    </row>
    <row r="804" spans="1:12" ht="24" x14ac:dyDescent="0.2">
      <c r="A804" s="189" t="s">
        <v>847</v>
      </c>
      <c r="B804" s="189"/>
      <c r="C804" s="189" t="s">
        <v>657</v>
      </c>
      <c r="D804" s="189" t="s">
        <v>531</v>
      </c>
      <c r="E804" s="189" t="s">
        <v>846</v>
      </c>
      <c r="F804" s="189"/>
      <c r="G804" s="247">
        <v>294</v>
      </c>
      <c r="H804" s="247">
        <v>294</v>
      </c>
      <c r="I804" s="248">
        <f t="shared" si="93"/>
        <v>0</v>
      </c>
      <c r="J804" s="191">
        <v>294</v>
      </c>
      <c r="K804" s="247">
        <v>294</v>
      </c>
      <c r="L804" s="287">
        <f t="shared" si="94"/>
        <v>0</v>
      </c>
    </row>
    <row r="805" spans="1:12" x14ac:dyDescent="0.2">
      <c r="A805" s="189" t="s">
        <v>845</v>
      </c>
      <c r="B805" s="189"/>
      <c r="C805" s="189" t="s">
        <v>657</v>
      </c>
      <c r="D805" s="189" t="s">
        <v>531</v>
      </c>
      <c r="E805" s="189" t="s">
        <v>844</v>
      </c>
      <c r="F805" s="189"/>
      <c r="G805" s="247">
        <v>294</v>
      </c>
      <c r="H805" s="247">
        <v>294</v>
      </c>
      <c r="I805" s="248">
        <f t="shared" si="93"/>
        <v>0</v>
      </c>
      <c r="J805" s="191">
        <v>294</v>
      </c>
      <c r="K805" s="247">
        <v>294</v>
      </c>
      <c r="L805" s="287">
        <f t="shared" si="94"/>
        <v>0</v>
      </c>
    </row>
    <row r="806" spans="1:12" x14ac:dyDescent="0.2">
      <c r="A806" s="189" t="s">
        <v>553</v>
      </c>
      <c r="B806" s="189"/>
      <c r="C806" s="189" t="s">
        <v>657</v>
      </c>
      <c r="D806" s="189" t="s">
        <v>531</v>
      </c>
      <c r="E806" s="189" t="s">
        <v>844</v>
      </c>
      <c r="F806" s="189" t="s">
        <v>552</v>
      </c>
      <c r="G806" s="247">
        <v>294</v>
      </c>
      <c r="H806" s="247">
        <v>294</v>
      </c>
      <c r="I806" s="248">
        <f t="shared" si="93"/>
        <v>0</v>
      </c>
      <c r="J806" s="191">
        <v>294</v>
      </c>
      <c r="K806" s="247">
        <v>294</v>
      </c>
      <c r="L806" s="287">
        <f t="shared" si="94"/>
        <v>0</v>
      </c>
    </row>
    <row r="807" spans="1:12" ht="24" x14ac:dyDescent="0.2">
      <c r="A807" s="189" t="s">
        <v>832</v>
      </c>
      <c r="B807" s="189"/>
      <c r="C807" s="189" t="s">
        <v>657</v>
      </c>
      <c r="D807" s="189" t="s">
        <v>531</v>
      </c>
      <c r="E807" s="189" t="s">
        <v>844</v>
      </c>
      <c r="F807" s="189" t="s">
        <v>830</v>
      </c>
      <c r="G807" s="247">
        <v>294</v>
      </c>
      <c r="H807" s="247">
        <v>294</v>
      </c>
      <c r="I807" s="248">
        <f t="shared" si="93"/>
        <v>0</v>
      </c>
      <c r="J807" s="191">
        <v>294</v>
      </c>
      <c r="K807" s="247">
        <v>294</v>
      </c>
      <c r="L807" s="287">
        <f t="shared" si="94"/>
        <v>0</v>
      </c>
    </row>
    <row r="808" spans="1:12" ht="24" x14ac:dyDescent="0.2">
      <c r="A808" s="189" t="s">
        <v>1298</v>
      </c>
      <c r="B808" s="189"/>
      <c r="C808" s="189" t="s">
        <v>657</v>
      </c>
      <c r="D808" s="189" t="s">
        <v>531</v>
      </c>
      <c r="E808" s="189" t="s">
        <v>1299</v>
      </c>
      <c r="F808" s="189"/>
      <c r="G808" s="247">
        <v>0</v>
      </c>
      <c r="H808" s="247">
        <v>0</v>
      </c>
      <c r="I808" s="248">
        <f t="shared" si="93"/>
        <v>0</v>
      </c>
      <c r="J808" s="191">
        <v>19703.099999999999</v>
      </c>
      <c r="K808" s="247">
        <v>19703.099999999999</v>
      </c>
      <c r="L808" s="287">
        <f t="shared" si="94"/>
        <v>0</v>
      </c>
    </row>
    <row r="809" spans="1:12" ht="36" x14ac:dyDescent="0.2">
      <c r="A809" s="189" t="s">
        <v>1300</v>
      </c>
      <c r="B809" s="189"/>
      <c r="C809" s="189" t="s">
        <v>657</v>
      </c>
      <c r="D809" s="189" t="s">
        <v>531</v>
      </c>
      <c r="E809" s="189" t="s">
        <v>1301</v>
      </c>
      <c r="F809" s="189"/>
      <c r="G809" s="247">
        <v>0</v>
      </c>
      <c r="H809" s="247">
        <v>0</v>
      </c>
      <c r="I809" s="248">
        <f t="shared" si="93"/>
        <v>0</v>
      </c>
      <c r="J809" s="191">
        <v>19703.099999999999</v>
      </c>
      <c r="K809" s="247">
        <v>19703.099999999999</v>
      </c>
      <c r="L809" s="287">
        <f t="shared" si="94"/>
        <v>0</v>
      </c>
    </row>
    <row r="810" spans="1:12" ht="24" x14ac:dyDescent="0.2">
      <c r="A810" s="189" t="s">
        <v>1302</v>
      </c>
      <c r="B810" s="189"/>
      <c r="C810" s="189" t="s">
        <v>657</v>
      </c>
      <c r="D810" s="189" t="s">
        <v>531</v>
      </c>
      <c r="E810" s="189" t="s">
        <v>1303</v>
      </c>
      <c r="F810" s="189"/>
      <c r="G810" s="247">
        <v>0</v>
      </c>
      <c r="H810" s="247">
        <v>0</v>
      </c>
      <c r="I810" s="248">
        <f t="shared" si="93"/>
        <v>0</v>
      </c>
      <c r="J810" s="191">
        <v>19703.099999999999</v>
      </c>
      <c r="K810" s="247">
        <v>19703.099999999999</v>
      </c>
      <c r="L810" s="287">
        <f t="shared" si="94"/>
        <v>0</v>
      </c>
    </row>
    <row r="811" spans="1:12" x14ac:dyDescent="0.2">
      <c r="A811" s="189" t="s">
        <v>553</v>
      </c>
      <c r="B811" s="189"/>
      <c r="C811" s="189" t="s">
        <v>657</v>
      </c>
      <c r="D811" s="189" t="s">
        <v>531</v>
      </c>
      <c r="E811" s="189" t="s">
        <v>1303</v>
      </c>
      <c r="F811" s="189" t="s">
        <v>552</v>
      </c>
      <c r="G811" s="247">
        <v>0</v>
      </c>
      <c r="H811" s="247">
        <v>0</v>
      </c>
      <c r="I811" s="248">
        <f t="shared" si="93"/>
        <v>0</v>
      </c>
      <c r="J811" s="191">
        <v>19703.099999999999</v>
      </c>
      <c r="K811" s="247">
        <v>19703.099999999999</v>
      </c>
      <c r="L811" s="287">
        <f t="shared" si="94"/>
        <v>0</v>
      </c>
    </row>
    <row r="812" spans="1:12" ht="24" x14ac:dyDescent="0.2">
      <c r="A812" s="189" t="s">
        <v>832</v>
      </c>
      <c r="B812" s="189"/>
      <c r="C812" s="189" t="s">
        <v>657</v>
      </c>
      <c r="D812" s="189" t="s">
        <v>531</v>
      </c>
      <c r="E812" s="189" t="s">
        <v>1303</v>
      </c>
      <c r="F812" s="189" t="s">
        <v>830</v>
      </c>
      <c r="G812" s="247">
        <v>0</v>
      </c>
      <c r="H812" s="247">
        <v>0</v>
      </c>
      <c r="I812" s="248">
        <f t="shared" si="93"/>
        <v>0</v>
      </c>
      <c r="J812" s="191">
        <v>19703.099999999999</v>
      </c>
      <c r="K812" s="247">
        <v>19703.099999999999</v>
      </c>
      <c r="L812" s="287">
        <f t="shared" si="94"/>
        <v>0</v>
      </c>
    </row>
    <row r="813" spans="1:12" ht="24" x14ac:dyDescent="0.2">
      <c r="A813" s="189" t="s">
        <v>1304</v>
      </c>
      <c r="B813" s="189"/>
      <c r="C813" s="189" t="s">
        <v>657</v>
      </c>
      <c r="D813" s="189" t="s">
        <v>531</v>
      </c>
      <c r="E813" s="189" t="s">
        <v>1305</v>
      </c>
      <c r="F813" s="189"/>
      <c r="G813" s="247">
        <v>0</v>
      </c>
      <c r="H813" s="247">
        <v>0</v>
      </c>
      <c r="I813" s="248">
        <f t="shared" si="93"/>
        <v>0</v>
      </c>
      <c r="J813" s="191">
        <v>2204</v>
      </c>
      <c r="K813" s="247">
        <v>2204</v>
      </c>
      <c r="L813" s="287">
        <f t="shared" si="94"/>
        <v>0</v>
      </c>
    </row>
    <row r="814" spans="1:12" ht="60" x14ac:dyDescent="0.2">
      <c r="A814" s="189" t="s">
        <v>1306</v>
      </c>
      <c r="B814" s="189"/>
      <c r="C814" s="189" t="s">
        <v>657</v>
      </c>
      <c r="D814" s="189" t="s">
        <v>531</v>
      </c>
      <c r="E814" s="189" t="s">
        <v>1307</v>
      </c>
      <c r="F814" s="189"/>
      <c r="G814" s="247">
        <v>0</v>
      </c>
      <c r="H814" s="247">
        <v>0</v>
      </c>
      <c r="I814" s="248">
        <f t="shared" si="93"/>
        <v>0</v>
      </c>
      <c r="J814" s="191">
        <v>2204</v>
      </c>
      <c r="K814" s="247">
        <v>2204</v>
      </c>
      <c r="L814" s="287">
        <f t="shared" si="94"/>
        <v>0</v>
      </c>
    </row>
    <row r="815" spans="1:12" ht="36" x14ac:dyDescent="0.2">
      <c r="A815" s="189" t="s">
        <v>1308</v>
      </c>
      <c r="B815" s="189"/>
      <c r="C815" s="189" t="s">
        <v>657</v>
      </c>
      <c r="D815" s="189" t="s">
        <v>531</v>
      </c>
      <c r="E815" s="189" t="s">
        <v>1309</v>
      </c>
      <c r="F815" s="189"/>
      <c r="G815" s="247">
        <v>0</v>
      </c>
      <c r="H815" s="247">
        <v>0</v>
      </c>
      <c r="I815" s="248">
        <f t="shared" si="93"/>
        <v>0</v>
      </c>
      <c r="J815" s="191">
        <v>1102</v>
      </c>
      <c r="K815" s="247">
        <v>1102</v>
      </c>
      <c r="L815" s="287">
        <f t="shared" si="94"/>
        <v>0</v>
      </c>
    </row>
    <row r="816" spans="1:12" x14ac:dyDescent="0.2">
      <c r="A816" s="189" t="s">
        <v>553</v>
      </c>
      <c r="B816" s="189"/>
      <c r="C816" s="189" t="s">
        <v>657</v>
      </c>
      <c r="D816" s="189" t="s">
        <v>531</v>
      </c>
      <c r="E816" s="189" t="s">
        <v>1309</v>
      </c>
      <c r="F816" s="189" t="s">
        <v>552</v>
      </c>
      <c r="G816" s="247">
        <v>0</v>
      </c>
      <c r="H816" s="247">
        <v>0</v>
      </c>
      <c r="I816" s="248">
        <f t="shared" si="93"/>
        <v>0</v>
      </c>
      <c r="J816" s="191">
        <v>1102</v>
      </c>
      <c r="K816" s="247">
        <v>1102</v>
      </c>
      <c r="L816" s="287">
        <f t="shared" si="94"/>
        <v>0</v>
      </c>
    </row>
    <row r="817" spans="1:12" ht="24" x14ac:dyDescent="0.2">
      <c r="A817" s="189" t="s">
        <v>832</v>
      </c>
      <c r="B817" s="189"/>
      <c r="C817" s="189" t="s">
        <v>657</v>
      </c>
      <c r="D817" s="189" t="s">
        <v>531</v>
      </c>
      <c r="E817" s="189" t="s">
        <v>1309</v>
      </c>
      <c r="F817" s="189" t="s">
        <v>830</v>
      </c>
      <c r="G817" s="247">
        <v>0</v>
      </c>
      <c r="H817" s="247">
        <v>0</v>
      </c>
      <c r="I817" s="248">
        <f t="shared" si="93"/>
        <v>0</v>
      </c>
      <c r="J817" s="191">
        <v>1102</v>
      </c>
      <c r="K817" s="247">
        <v>1102</v>
      </c>
      <c r="L817" s="287">
        <f t="shared" si="94"/>
        <v>0</v>
      </c>
    </row>
    <row r="818" spans="1:12" ht="36" x14ac:dyDescent="0.2">
      <c r="A818" s="189" t="s">
        <v>1310</v>
      </c>
      <c r="B818" s="189"/>
      <c r="C818" s="189" t="s">
        <v>657</v>
      </c>
      <c r="D818" s="189" t="s">
        <v>531</v>
      </c>
      <c r="E818" s="189" t="s">
        <v>1311</v>
      </c>
      <c r="F818" s="189"/>
      <c r="G818" s="247">
        <v>0</v>
      </c>
      <c r="H818" s="247">
        <v>0</v>
      </c>
      <c r="I818" s="248">
        <f t="shared" si="93"/>
        <v>0</v>
      </c>
      <c r="J818" s="191">
        <v>1102</v>
      </c>
      <c r="K818" s="247">
        <v>1102</v>
      </c>
      <c r="L818" s="287">
        <f t="shared" si="94"/>
        <v>0</v>
      </c>
    </row>
    <row r="819" spans="1:12" x14ac:dyDescent="0.2">
      <c r="A819" s="189" t="s">
        <v>553</v>
      </c>
      <c r="B819" s="189"/>
      <c r="C819" s="189" t="s">
        <v>657</v>
      </c>
      <c r="D819" s="189" t="s">
        <v>531</v>
      </c>
      <c r="E819" s="189" t="s">
        <v>1311</v>
      </c>
      <c r="F819" s="189" t="s">
        <v>552</v>
      </c>
      <c r="G819" s="247">
        <v>0</v>
      </c>
      <c r="H819" s="247">
        <v>0</v>
      </c>
      <c r="I819" s="248">
        <f t="shared" si="93"/>
        <v>0</v>
      </c>
      <c r="J819" s="191">
        <v>1102</v>
      </c>
      <c r="K819" s="247">
        <v>1102</v>
      </c>
      <c r="L819" s="287">
        <f t="shared" si="94"/>
        <v>0</v>
      </c>
    </row>
    <row r="820" spans="1:12" ht="24" x14ac:dyDescent="0.2">
      <c r="A820" s="189" t="s">
        <v>832</v>
      </c>
      <c r="B820" s="189"/>
      <c r="C820" s="189" t="s">
        <v>657</v>
      </c>
      <c r="D820" s="189" t="s">
        <v>531</v>
      </c>
      <c r="E820" s="189" t="s">
        <v>1311</v>
      </c>
      <c r="F820" s="189" t="s">
        <v>830</v>
      </c>
      <c r="G820" s="247">
        <v>0</v>
      </c>
      <c r="H820" s="247">
        <v>0</v>
      </c>
      <c r="I820" s="248">
        <f t="shared" si="93"/>
        <v>0</v>
      </c>
      <c r="J820" s="191">
        <v>1102</v>
      </c>
      <c r="K820" s="247">
        <v>1102</v>
      </c>
      <c r="L820" s="287">
        <f t="shared" si="94"/>
        <v>0</v>
      </c>
    </row>
    <row r="821" spans="1:12" x14ac:dyDescent="0.2">
      <c r="A821" s="189" t="s">
        <v>595</v>
      </c>
      <c r="B821" s="189"/>
      <c r="C821" s="189" t="s">
        <v>657</v>
      </c>
      <c r="D821" s="189" t="s">
        <v>531</v>
      </c>
      <c r="E821" s="189" t="s">
        <v>594</v>
      </c>
      <c r="F821" s="189"/>
      <c r="G821" s="247">
        <v>4500</v>
      </c>
      <c r="H821" s="247">
        <v>4500</v>
      </c>
      <c r="I821" s="248">
        <f t="shared" si="93"/>
        <v>0</v>
      </c>
      <c r="J821" s="191">
        <v>9000</v>
      </c>
      <c r="K821" s="247">
        <v>9000</v>
      </c>
      <c r="L821" s="287">
        <f t="shared" si="94"/>
        <v>0</v>
      </c>
    </row>
    <row r="822" spans="1:12" x14ac:dyDescent="0.2">
      <c r="A822" s="189" t="s">
        <v>843</v>
      </c>
      <c r="B822" s="189"/>
      <c r="C822" s="189" t="s">
        <v>657</v>
      </c>
      <c r="D822" s="189" t="s">
        <v>531</v>
      </c>
      <c r="E822" s="189" t="s">
        <v>842</v>
      </c>
      <c r="F822" s="189"/>
      <c r="G822" s="247">
        <v>4500</v>
      </c>
      <c r="H822" s="247">
        <v>4500</v>
      </c>
      <c r="I822" s="248">
        <f t="shared" si="93"/>
        <v>0</v>
      </c>
      <c r="J822" s="191">
        <v>7500</v>
      </c>
      <c r="K822" s="247">
        <v>7500</v>
      </c>
      <c r="L822" s="287">
        <f t="shared" si="94"/>
        <v>0</v>
      </c>
    </row>
    <row r="823" spans="1:12" x14ac:dyDescent="0.2">
      <c r="A823" s="189" t="s">
        <v>553</v>
      </c>
      <c r="B823" s="189"/>
      <c r="C823" s="189" t="s">
        <v>657</v>
      </c>
      <c r="D823" s="189" t="s">
        <v>531</v>
      </c>
      <c r="E823" s="189" t="s">
        <v>842</v>
      </c>
      <c r="F823" s="189" t="s">
        <v>552</v>
      </c>
      <c r="G823" s="247">
        <v>4500</v>
      </c>
      <c r="H823" s="247">
        <v>4500</v>
      </c>
      <c r="I823" s="248">
        <f t="shared" si="93"/>
        <v>0</v>
      </c>
      <c r="J823" s="191">
        <v>7500</v>
      </c>
      <c r="K823" s="247">
        <v>7500</v>
      </c>
      <c r="L823" s="287">
        <f t="shared" si="94"/>
        <v>0</v>
      </c>
    </row>
    <row r="824" spans="1:12" x14ac:dyDescent="0.2">
      <c r="A824" s="189" t="s">
        <v>659</v>
      </c>
      <c r="B824" s="189"/>
      <c r="C824" s="189" t="s">
        <v>657</v>
      </c>
      <c r="D824" s="189" t="s">
        <v>531</v>
      </c>
      <c r="E824" s="189" t="s">
        <v>842</v>
      </c>
      <c r="F824" s="189" t="s">
        <v>655</v>
      </c>
      <c r="G824" s="247">
        <v>4500</v>
      </c>
      <c r="H824" s="247">
        <v>4500</v>
      </c>
      <c r="I824" s="248">
        <f t="shared" si="93"/>
        <v>0</v>
      </c>
      <c r="J824" s="191">
        <v>7500</v>
      </c>
      <c r="K824" s="247">
        <v>7500</v>
      </c>
      <c r="L824" s="287">
        <f t="shared" si="94"/>
        <v>0</v>
      </c>
    </row>
    <row r="825" spans="1:12" ht="24" x14ac:dyDescent="0.2">
      <c r="A825" s="189" t="s">
        <v>593</v>
      </c>
      <c r="B825" s="189"/>
      <c r="C825" s="189" t="s">
        <v>657</v>
      </c>
      <c r="D825" s="189" t="s">
        <v>531</v>
      </c>
      <c r="E825" s="189" t="s">
        <v>591</v>
      </c>
      <c r="F825" s="189"/>
      <c r="G825" s="247">
        <v>0</v>
      </c>
      <c r="H825" s="247">
        <v>0</v>
      </c>
      <c r="I825" s="248">
        <f t="shared" si="93"/>
        <v>0</v>
      </c>
      <c r="J825" s="191">
        <v>1500</v>
      </c>
      <c r="K825" s="247">
        <v>1500</v>
      </c>
      <c r="L825" s="287">
        <f t="shared" si="94"/>
        <v>0</v>
      </c>
    </row>
    <row r="826" spans="1:12" x14ac:dyDescent="0.2">
      <c r="A826" s="189" t="s">
        <v>553</v>
      </c>
      <c r="B826" s="189"/>
      <c r="C826" s="189" t="s">
        <v>657</v>
      </c>
      <c r="D826" s="189" t="s">
        <v>531</v>
      </c>
      <c r="E826" s="189" t="s">
        <v>591</v>
      </c>
      <c r="F826" s="189" t="s">
        <v>552</v>
      </c>
      <c r="G826" s="247">
        <v>0</v>
      </c>
      <c r="H826" s="247">
        <v>0</v>
      </c>
      <c r="I826" s="248">
        <f t="shared" si="93"/>
        <v>0</v>
      </c>
      <c r="J826" s="191">
        <v>1500</v>
      </c>
      <c r="K826" s="247">
        <v>1500</v>
      </c>
      <c r="L826" s="287">
        <f t="shared" si="94"/>
        <v>0</v>
      </c>
    </row>
    <row r="827" spans="1:12" x14ac:dyDescent="0.2">
      <c r="A827" s="189" t="s">
        <v>841</v>
      </c>
      <c r="B827" s="189"/>
      <c r="C827" s="189" t="s">
        <v>657</v>
      </c>
      <c r="D827" s="189" t="s">
        <v>531</v>
      </c>
      <c r="E827" s="189" t="s">
        <v>591</v>
      </c>
      <c r="F827" s="189" t="s">
        <v>840</v>
      </c>
      <c r="G827" s="247">
        <v>0</v>
      </c>
      <c r="H827" s="247">
        <v>0</v>
      </c>
      <c r="I827" s="248">
        <f t="shared" si="93"/>
        <v>0</v>
      </c>
      <c r="J827" s="191">
        <v>1500</v>
      </c>
      <c r="K827" s="247">
        <v>1500</v>
      </c>
      <c r="L827" s="287">
        <f t="shared" si="94"/>
        <v>0</v>
      </c>
    </row>
    <row r="828" spans="1:12" x14ac:dyDescent="0.2">
      <c r="A828" s="189" t="s">
        <v>667</v>
      </c>
      <c r="B828" s="189"/>
      <c r="C828" s="189" t="s">
        <v>657</v>
      </c>
      <c r="D828" s="189" t="s">
        <v>507</v>
      </c>
      <c r="E828" s="189"/>
      <c r="F828" s="189"/>
      <c r="G828" s="247">
        <v>44729</v>
      </c>
      <c r="H828" s="247">
        <f>H829</f>
        <v>49729</v>
      </c>
      <c r="I828" s="248">
        <f t="shared" si="93"/>
        <v>5000</v>
      </c>
      <c r="J828" s="191">
        <v>28838</v>
      </c>
      <c r="K828" s="247">
        <f>K829</f>
        <v>28838</v>
      </c>
      <c r="L828" s="287">
        <f t="shared" si="94"/>
        <v>0</v>
      </c>
    </row>
    <row r="829" spans="1:12" x14ac:dyDescent="0.2">
      <c r="A829" s="189" t="s">
        <v>839</v>
      </c>
      <c r="B829" s="189"/>
      <c r="C829" s="189" t="s">
        <v>657</v>
      </c>
      <c r="D829" s="189" t="s">
        <v>507</v>
      </c>
      <c r="E829" s="189" t="s">
        <v>838</v>
      </c>
      <c r="F829" s="189"/>
      <c r="G829" s="247">
        <v>44729</v>
      </c>
      <c r="H829" s="247">
        <f>H830+H835</f>
        <v>49729</v>
      </c>
      <c r="I829" s="248">
        <f t="shared" si="93"/>
        <v>5000</v>
      </c>
      <c r="J829" s="191">
        <v>28838</v>
      </c>
      <c r="K829" s="247">
        <f>K830+K835</f>
        <v>28838</v>
      </c>
      <c r="L829" s="287">
        <f t="shared" si="94"/>
        <v>0</v>
      </c>
    </row>
    <row r="830" spans="1:12" x14ac:dyDescent="0.2">
      <c r="A830" s="189" t="s">
        <v>837</v>
      </c>
      <c r="B830" s="189"/>
      <c r="C830" s="189" t="s">
        <v>657</v>
      </c>
      <c r="D830" s="189" t="s">
        <v>507</v>
      </c>
      <c r="E830" s="189" t="s">
        <v>836</v>
      </c>
      <c r="F830" s="189"/>
      <c r="G830" s="247">
        <v>5000</v>
      </c>
      <c r="H830" s="247">
        <f>H831</f>
        <v>10000</v>
      </c>
      <c r="I830" s="248">
        <f t="shared" si="93"/>
        <v>5000</v>
      </c>
      <c r="J830" s="191">
        <v>5000</v>
      </c>
      <c r="K830" s="247">
        <f>K831</f>
        <v>5000</v>
      </c>
      <c r="L830" s="287">
        <f t="shared" si="94"/>
        <v>0</v>
      </c>
    </row>
    <row r="831" spans="1:12" ht="36" x14ac:dyDescent="0.2">
      <c r="A831" s="189" t="s">
        <v>835</v>
      </c>
      <c r="B831" s="189"/>
      <c r="C831" s="189" t="s">
        <v>657</v>
      </c>
      <c r="D831" s="189" t="s">
        <v>507</v>
      </c>
      <c r="E831" s="189" t="s">
        <v>834</v>
      </c>
      <c r="F831" s="189"/>
      <c r="G831" s="247">
        <v>5000</v>
      </c>
      <c r="H831" s="247">
        <f>H832</f>
        <v>10000</v>
      </c>
      <c r="I831" s="248">
        <f t="shared" si="93"/>
        <v>5000</v>
      </c>
      <c r="J831" s="191">
        <v>5000</v>
      </c>
      <c r="K831" s="247">
        <f>K832</f>
        <v>5000</v>
      </c>
      <c r="L831" s="287">
        <f t="shared" si="94"/>
        <v>0</v>
      </c>
    </row>
    <row r="832" spans="1:12" x14ac:dyDescent="0.2">
      <c r="A832" s="189" t="s">
        <v>833</v>
      </c>
      <c r="B832" s="189"/>
      <c r="C832" s="189" t="s">
        <v>657</v>
      </c>
      <c r="D832" s="189" t="s">
        <v>507</v>
      </c>
      <c r="E832" s="189" t="s">
        <v>831</v>
      </c>
      <c r="F832" s="189"/>
      <c r="G832" s="247">
        <v>5000</v>
      </c>
      <c r="H832" s="247">
        <f>H833</f>
        <v>10000</v>
      </c>
      <c r="I832" s="248">
        <f t="shared" si="93"/>
        <v>5000</v>
      </c>
      <c r="J832" s="191">
        <v>5000</v>
      </c>
      <c r="K832" s="247">
        <f>K833</f>
        <v>5000</v>
      </c>
      <c r="L832" s="287">
        <f t="shared" si="94"/>
        <v>0</v>
      </c>
    </row>
    <row r="833" spans="1:12" x14ac:dyDescent="0.2">
      <c r="A833" s="189" t="s">
        <v>553</v>
      </c>
      <c r="B833" s="189"/>
      <c r="C833" s="189" t="s">
        <v>657</v>
      </c>
      <c r="D833" s="189" t="s">
        <v>507</v>
      </c>
      <c r="E833" s="189" t="s">
        <v>831</v>
      </c>
      <c r="F833" s="189" t="s">
        <v>552</v>
      </c>
      <c r="G833" s="247">
        <v>5000</v>
      </c>
      <c r="H833" s="247">
        <f>H834</f>
        <v>10000</v>
      </c>
      <c r="I833" s="248">
        <f t="shared" si="93"/>
        <v>5000</v>
      </c>
      <c r="J833" s="191">
        <v>5000</v>
      </c>
      <c r="K833" s="247">
        <v>5000</v>
      </c>
      <c r="L833" s="287">
        <f t="shared" si="94"/>
        <v>0</v>
      </c>
    </row>
    <row r="834" spans="1:12" ht="24" x14ac:dyDescent="0.2">
      <c r="A834" s="189" t="s">
        <v>832</v>
      </c>
      <c r="B834" s="189"/>
      <c r="C834" s="189" t="s">
        <v>657</v>
      </c>
      <c r="D834" s="189" t="s">
        <v>507</v>
      </c>
      <c r="E834" s="189" t="s">
        <v>831</v>
      </c>
      <c r="F834" s="189" t="s">
        <v>830</v>
      </c>
      <c r="G834" s="247">
        <v>5000</v>
      </c>
      <c r="H834" s="247">
        <f>5000+5000</f>
        <v>10000</v>
      </c>
      <c r="I834" s="248">
        <f t="shared" si="93"/>
        <v>5000</v>
      </c>
      <c r="J834" s="191">
        <v>5000</v>
      </c>
      <c r="K834" s="247">
        <v>5000</v>
      </c>
      <c r="L834" s="287">
        <f t="shared" si="94"/>
        <v>0</v>
      </c>
    </row>
    <row r="835" spans="1:12" ht="36" x14ac:dyDescent="0.2">
      <c r="A835" s="189" t="s">
        <v>829</v>
      </c>
      <c r="B835" s="189"/>
      <c r="C835" s="189" t="s">
        <v>657</v>
      </c>
      <c r="D835" s="189" t="s">
        <v>507</v>
      </c>
      <c r="E835" s="189" t="s">
        <v>828</v>
      </c>
      <c r="F835" s="189"/>
      <c r="G835" s="247">
        <v>39729</v>
      </c>
      <c r="H835" s="247">
        <v>39729</v>
      </c>
      <c r="I835" s="248">
        <f t="shared" si="93"/>
        <v>0</v>
      </c>
      <c r="J835" s="191">
        <v>23838</v>
      </c>
      <c r="K835" s="247">
        <v>23838</v>
      </c>
      <c r="L835" s="287">
        <f t="shared" si="94"/>
        <v>0</v>
      </c>
    </row>
    <row r="836" spans="1:12" ht="48" x14ac:dyDescent="0.2">
      <c r="A836" s="189" t="s">
        <v>827</v>
      </c>
      <c r="B836" s="189"/>
      <c r="C836" s="189" t="s">
        <v>657</v>
      </c>
      <c r="D836" s="189" t="s">
        <v>507</v>
      </c>
      <c r="E836" s="189" t="s">
        <v>826</v>
      </c>
      <c r="F836" s="189"/>
      <c r="G836" s="247">
        <v>39729</v>
      </c>
      <c r="H836" s="247">
        <v>39729</v>
      </c>
      <c r="I836" s="248">
        <f t="shared" si="93"/>
        <v>0</v>
      </c>
      <c r="J836" s="191">
        <v>23838</v>
      </c>
      <c r="K836" s="247">
        <v>23838</v>
      </c>
      <c r="L836" s="287">
        <f t="shared" si="94"/>
        <v>0</v>
      </c>
    </row>
    <row r="837" spans="1:12" ht="48" x14ac:dyDescent="0.2">
      <c r="A837" s="189" t="s">
        <v>825</v>
      </c>
      <c r="B837" s="189"/>
      <c r="C837" s="189" t="s">
        <v>657</v>
      </c>
      <c r="D837" s="189" t="s">
        <v>507</v>
      </c>
      <c r="E837" s="189" t="s">
        <v>822</v>
      </c>
      <c r="F837" s="189"/>
      <c r="G837" s="247">
        <v>39729</v>
      </c>
      <c r="H837" s="247">
        <v>39729</v>
      </c>
      <c r="I837" s="248">
        <f t="shared" si="93"/>
        <v>0</v>
      </c>
      <c r="J837" s="191">
        <v>23838</v>
      </c>
      <c r="K837" s="247">
        <v>23838</v>
      </c>
      <c r="L837" s="287">
        <f t="shared" si="94"/>
        <v>0</v>
      </c>
    </row>
    <row r="838" spans="1:12" ht="24" x14ac:dyDescent="0.2">
      <c r="A838" s="189" t="s">
        <v>1355</v>
      </c>
      <c r="B838" s="189"/>
      <c r="C838" s="189" t="s">
        <v>657</v>
      </c>
      <c r="D838" s="189" t="s">
        <v>507</v>
      </c>
      <c r="E838" s="189" t="s">
        <v>822</v>
      </c>
      <c r="F838" s="189" t="s">
        <v>824</v>
      </c>
      <c r="G838" s="247">
        <v>39729</v>
      </c>
      <c r="H838" s="247">
        <v>39729</v>
      </c>
      <c r="I838" s="248">
        <f t="shared" ref="I838:I901" si="95">H838-G838</f>
        <v>0</v>
      </c>
      <c r="J838" s="191">
        <v>23838</v>
      </c>
      <c r="K838" s="247">
        <v>23838</v>
      </c>
      <c r="L838" s="287">
        <f t="shared" ref="L838:L901" si="96">K838-J838</f>
        <v>0</v>
      </c>
    </row>
    <row r="839" spans="1:12" x14ac:dyDescent="0.2">
      <c r="A839" s="189" t="s">
        <v>823</v>
      </c>
      <c r="B839" s="189"/>
      <c r="C839" s="189" t="s">
        <v>657</v>
      </c>
      <c r="D839" s="189" t="s">
        <v>507</v>
      </c>
      <c r="E839" s="189" t="s">
        <v>822</v>
      </c>
      <c r="F839" s="189" t="s">
        <v>821</v>
      </c>
      <c r="G839" s="247">
        <v>39729</v>
      </c>
      <c r="H839" s="247">
        <v>39729</v>
      </c>
      <c r="I839" s="248">
        <f t="shared" si="95"/>
        <v>0</v>
      </c>
      <c r="J839" s="191">
        <v>23838</v>
      </c>
      <c r="K839" s="247">
        <v>23838</v>
      </c>
      <c r="L839" s="287">
        <f t="shared" si="96"/>
        <v>0</v>
      </c>
    </row>
    <row r="840" spans="1:12" x14ac:dyDescent="0.2">
      <c r="A840" s="189" t="s">
        <v>820</v>
      </c>
      <c r="B840" s="189"/>
      <c r="C840" s="189" t="s">
        <v>657</v>
      </c>
      <c r="D840" s="189" t="s">
        <v>747</v>
      </c>
      <c r="E840" s="189"/>
      <c r="F840" s="189"/>
      <c r="G840" s="247">
        <v>200</v>
      </c>
      <c r="H840" s="247">
        <v>200</v>
      </c>
      <c r="I840" s="248">
        <f t="shared" si="95"/>
        <v>0</v>
      </c>
      <c r="J840" s="191">
        <v>7480.3</v>
      </c>
      <c r="K840" s="247">
        <v>7480.3</v>
      </c>
      <c r="L840" s="287">
        <f t="shared" si="96"/>
        <v>0</v>
      </c>
    </row>
    <row r="841" spans="1:12" x14ac:dyDescent="0.2">
      <c r="A841" s="189" t="s">
        <v>568</v>
      </c>
      <c r="B841" s="189"/>
      <c r="C841" s="189" t="s">
        <v>657</v>
      </c>
      <c r="D841" s="189" t="s">
        <v>747</v>
      </c>
      <c r="E841" s="189" t="s">
        <v>567</v>
      </c>
      <c r="F841" s="189"/>
      <c r="G841" s="247">
        <v>200</v>
      </c>
      <c r="H841" s="247">
        <v>200</v>
      </c>
      <c r="I841" s="248">
        <f t="shared" si="95"/>
        <v>0</v>
      </c>
      <c r="J841" s="191">
        <v>7480.3</v>
      </c>
      <c r="K841" s="247">
        <v>7480.3</v>
      </c>
      <c r="L841" s="287">
        <f t="shared" si="96"/>
        <v>0</v>
      </c>
    </row>
    <row r="842" spans="1:12" x14ac:dyDescent="0.2">
      <c r="A842" s="189" t="s">
        <v>855</v>
      </c>
      <c r="B842" s="189"/>
      <c r="C842" s="189" t="s">
        <v>657</v>
      </c>
      <c r="D842" s="189" t="s">
        <v>747</v>
      </c>
      <c r="E842" s="189" t="s">
        <v>854</v>
      </c>
      <c r="F842" s="189"/>
      <c r="G842" s="247">
        <v>0</v>
      </c>
      <c r="H842" s="247">
        <v>0</v>
      </c>
      <c r="I842" s="248">
        <f t="shared" si="95"/>
        <v>0</v>
      </c>
      <c r="J842" s="191">
        <v>7280.3</v>
      </c>
      <c r="K842" s="247">
        <v>7280.3</v>
      </c>
      <c r="L842" s="287">
        <f t="shared" si="96"/>
        <v>0</v>
      </c>
    </row>
    <row r="843" spans="1:12" x14ac:dyDescent="0.2">
      <c r="A843" s="189" t="s">
        <v>1312</v>
      </c>
      <c r="B843" s="189"/>
      <c r="C843" s="189" t="s">
        <v>657</v>
      </c>
      <c r="D843" s="189" t="s">
        <v>747</v>
      </c>
      <c r="E843" s="189" t="s">
        <v>1313</v>
      </c>
      <c r="F843" s="189"/>
      <c r="G843" s="247">
        <v>0</v>
      </c>
      <c r="H843" s="247">
        <v>0</v>
      </c>
      <c r="I843" s="248">
        <f t="shared" si="95"/>
        <v>0</v>
      </c>
      <c r="J843" s="191">
        <v>7280.3</v>
      </c>
      <c r="K843" s="247">
        <v>7280.3</v>
      </c>
      <c r="L843" s="287">
        <f t="shared" si="96"/>
        <v>0</v>
      </c>
    </row>
    <row r="844" spans="1:12" x14ac:dyDescent="0.2">
      <c r="A844" s="189" t="s">
        <v>1314</v>
      </c>
      <c r="B844" s="189"/>
      <c r="C844" s="189" t="s">
        <v>657</v>
      </c>
      <c r="D844" s="189" t="s">
        <v>747</v>
      </c>
      <c r="E844" s="189" t="s">
        <v>1315</v>
      </c>
      <c r="F844" s="189"/>
      <c r="G844" s="247">
        <v>0</v>
      </c>
      <c r="H844" s="247">
        <v>0</v>
      </c>
      <c r="I844" s="248">
        <f t="shared" si="95"/>
        <v>0</v>
      </c>
      <c r="J844" s="191">
        <v>7280.3</v>
      </c>
      <c r="K844" s="247">
        <v>7280.3</v>
      </c>
      <c r="L844" s="287">
        <f t="shared" si="96"/>
        <v>0</v>
      </c>
    </row>
    <row r="845" spans="1:12" ht="24" x14ac:dyDescent="0.2">
      <c r="A845" s="189" t="s">
        <v>1347</v>
      </c>
      <c r="B845" s="189"/>
      <c r="C845" s="189" t="s">
        <v>657</v>
      </c>
      <c r="D845" s="189" t="s">
        <v>747</v>
      </c>
      <c r="E845" s="189" t="s">
        <v>1315</v>
      </c>
      <c r="F845" s="189" t="s">
        <v>535</v>
      </c>
      <c r="G845" s="247">
        <v>0</v>
      </c>
      <c r="H845" s="247">
        <v>0</v>
      </c>
      <c r="I845" s="248">
        <f t="shared" si="95"/>
        <v>0</v>
      </c>
      <c r="J845" s="191">
        <v>7280.3</v>
      </c>
      <c r="K845" s="247">
        <v>7280.3</v>
      </c>
      <c r="L845" s="287">
        <f t="shared" si="96"/>
        <v>0</v>
      </c>
    </row>
    <row r="846" spans="1:12" ht="24" x14ac:dyDescent="0.2">
      <c r="A846" s="189" t="s">
        <v>534</v>
      </c>
      <c r="B846" s="189"/>
      <c r="C846" s="189" t="s">
        <v>657</v>
      </c>
      <c r="D846" s="189" t="s">
        <v>747</v>
      </c>
      <c r="E846" s="189" t="s">
        <v>1315</v>
      </c>
      <c r="F846" s="189" t="s">
        <v>529</v>
      </c>
      <c r="G846" s="247">
        <v>0</v>
      </c>
      <c r="H846" s="247">
        <v>0</v>
      </c>
      <c r="I846" s="248">
        <f t="shared" si="95"/>
        <v>0</v>
      </c>
      <c r="J846" s="191">
        <v>7280.3</v>
      </c>
      <c r="K846" s="247">
        <v>7280.3</v>
      </c>
      <c r="L846" s="287">
        <f t="shared" si="96"/>
        <v>0</v>
      </c>
    </row>
    <row r="847" spans="1:12" ht="24" x14ac:dyDescent="0.2">
      <c r="A847" s="189" t="s">
        <v>819</v>
      </c>
      <c r="B847" s="189"/>
      <c r="C847" s="189" t="s">
        <v>657</v>
      </c>
      <c r="D847" s="189" t="s">
        <v>747</v>
      </c>
      <c r="E847" s="189" t="s">
        <v>818</v>
      </c>
      <c r="F847" s="189"/>
      <c r="G847" s="247">
        <v>200</v>
      </c>
      <c r="H847" s="247">
        <v>200</v>
      </c>
      <c r="I847" s="248">
        <f t="shared" si="95"/>
        <v>0</v>
      </c>
      <c r="J847" s="191">
        <v>200</v>
      </c>
      <c r="K847" s="247">
        <v>200</v>
      </c>
      <c r="L847" s="287">
        <f t="shared" si="96"/>
        <v>0</v>
      </c>
    </row>
    <row r="848" spans="1:12" x14ac:dyDescent="0.2">
      <c r="A848" s="189" t="s">
        <v>817</v>
      </c>
      <c r="B848" s="189"/>
      <c r="C848" s="189" t="s">
        <v>657</v>
      </c>
      <c r="D848" s="189" t="s">
        <v>747</v>
      </c>
      <c r="E848" s="189" t="s">
        <v>816</v>
      </c>
      <c r="F848" s="189"/>
      <c r="G848" s="247">
        <v>200</v>
      </c>
      <c r="H848" s="247">
        <v>200</v>
      </c>
      <c r="I848" s="248">
        <f t="shared" si="95"/>
        <v>0</v>
      </c>
      <c r="J848" s="191">
        <v>200</v>
      </c>
      <c r="K848" s="247">
        <v>200</v>
      </c>
      <c r="L848" s="287">
        <f t="shared" si="96"/>
        <v>0</v>
      </c>
    </row>
    <row r="849" spans="1:12" ht="36" x14ac:dyDescent="0.2">
      <c r="A849" s="189" t="s">
        <v>815</v>
      </c>
      <c r="B849" s="189"/>
      <c r="C849" s="189" t="s">
        <v>657</v>
      </c>
      <c r="D849" s="189" t="s">
        <v>747</v>
      </c>
      <c r="E849" s="189" t="s">
        <v>814</v>
      </c>
      <c r="F849" s="189"/>
      <c r="G849" s="247">
        <v>200</v>
      </c>
      <c r="H849" s="247">
        <v>200</v>
      </c>
      <c r="I849" s="248">
        <f t="shared" si="95"/>
        <v>0</v>
      </c>
      <c r="J849" s="191">
        <v>200</v>
      </c>
      <c r="K849" s="247">
        <v>200</v>
      </c>
      <c r="L849" s="287">
        <f t="shared" si="96"/>
        <v>0</v>
      </c>
    </row>
    <row r="850" spans="1:12" x14ac:dyDescent="0.2">
      <c r="A850" s="189" t="s">
        <v>615</v>
      </c>
      <c r="B850" s="189"/>
      <c r="C850" s="189" t="s">
        <v>657</v>
      </c>
      <c r="D850" s="189" t="s">
        <v>747</v>
      </c>
      <c r="E850" s="189" t="s">
        <v>814</v>
      </c>
      <c r="F850" s="189" t="s">
        <v>509</v>
      </c>
      <c r="G850" s="247">
        <v>200</v>
      </c>
      <c r="H850" s="247">
        <v>200</v>
      </c>
      <c r="I850" s="248">
        <f t="shared" si="95"/>
        <v>0</v>
      </c>
      <c r="J850" s="191">
        <v>200</v>
      </c>
      <c r="K850" s="247">
        <v>200</v>
      </c>
      <c r="L850" s="287">
        <f t="shared" si="96"/>
        <v>0</v>
      </c>
    </row>
    <row r="851" spans="1:12" ht="36" x14ac:dyDescent="0.2">
      <c r="A851" s="189" t="s">
        <v>1346</v>
      </c>
      <c r="B851" s="189"/>
      <c r="C851" s="189" t="s">
        <v>657</v>
      </c>
      <c r="D851" s="189" t="s">
        <v>747</v>
      </c>
      <c r="E851" s="189" t="s">
        <v>814</v>
      </c>
      <c r="F851" s="189" t="s">
        <v>511</v>
      </c>
      <c r="G851" s="247">
        <v>200</v>
      </c>
      <c r="H851" s="247">
        <v>200</v>
      </c>
      <c r="I851" s="248">
        <f t="shared" si="95"/>
        <v>0</v>
      </c>
      <c r="J851" s="191">
        <v>200</v>
      </c>
      <c r="K851" s="247">
        <v>200</v>
      </c>
      <c r="L851" s="287">
        <f t="shared" si="96"/>
        <v>0</v>
      </c>
    </row>
    <row r="852" spans="1:12" s="78" customFormat="1" x14ac:dyDescent="0.2">
      <c r="A852" s="185" t="s">
        <v>580</v>
      </c>
      <c r="B852" s="185"/>
      <c r="C852" s="185" t="s">
        <v>532</v>
      </c>
      <c r="D852" s="185"/>
      <c r="E852" s="185"/>
      <c r="F852" s="185"/>
      <c r="G852" s="245">
        <f t="shared" ref="G852:H858" si="97">G853</f>
        <v>70000</v>
      </c>
      <c r="H852" s="245">
        <f t="shared" si="97"/>
        <v>70000</v>
      </c>
      <c r="I852" s="246">
        <f t="shared" si="95"/>
        <v>0</v>
      </c>
      <c r="J852" s="187">
        <f t="shared" ref="J852:K858" si="98">J853</f>
        <v>140000</v>
      </c>
      <c r="K852" s="245">
        <f t="shared" si="98"/>
        <v>140000</v>
      </c>
      <c r="L852" s="286">
        <f t="shared" si="96"/>
        <v>0</v>
      </c>
    </row>
    <row r="853" spans="1:12" x14ac:dyDescent="0.2">
      <c r="A853" s="189" t="s">
        <v>579</v>
      </c>
      <c r="B853" s="189"/>
      <c r="C853" s="189" t="s">
        <v>532</v>
      </c>
      <c r="D853" s="189" t="s">
        <v>498</v>
      </c>
      <c r="E853" s="189"/>
      <c r="F853" s="189"/>
      <c r="G853" s="247">
        <f t="shared" si="97"/>
        <v>70000</v>
      </c>
      <c r="H853" s="247">
        <f t="shared" si="97"/>
        <v>70000</v>
      </c>
      <c r="I853" s="248">
        <f t="shared" si="95"/>
        <v>0</v>
      </c>
      <c r="J853" s="191">
        <f t="shared" si="98"/>
        <v>140000</v>
      </c>
      <c r="K853" s="247">
        <f t="shared" si="98"/>
        <v>140000</v>
      </c>
      <c r="L853" s="287">
        <f t="shared" si="96"/>
        <v>0</v>
      </c>
    </row>
    <row r="854" spans="1:12" ht="24" x14ac:dyDescent="0.2">
      <c r="A854" s="189" t="s">
        <v>908</v>
      </c>
      <c r="B854" s="189"/>
      <c r="C854" s="189" t="s">
        <v>532</v>
      </c>
      <c r="D854" s="189" t="s">
        <v>498</v>
      </c>
      <c r="E854" s="189" t="s">
        <v>907</v>
      </c>
      <c r="F854" s="189"/>
      <c r="G854" s="247">
        <f t="shared" si="97"/>
        <v>70000</v>
      </c>
      <c r="H854" s="247">
        <f t="shared" si="97"/>
        <v>70000</v>
      </c>
      <c r="I854" s="248">
        <f t="shared" si="95"/>
        <v>0</v>
      </c>
      <c r="J854" s="191">
        <f t="shared" si="98"/>
        <v>140000</v>
      </c>
      <c r="K854" s="247">
        <f t="shared" si="98"/>
        <v>140000</v>
      </c>
      <c r="L854" s="287">
        <f t="shared" si="96"/>
        <v>0</v>
      </c>
    </row>
    <row r="855" spans="1:12" ht="24" x14ac:dyDescent="0.2">
      <c r="A855" s="189" t="s">
        <v>1316</v>
      </c>
      <c r="B855" s="189"/>
      <c r="C855" s="189" t="s">
        <v>532</v>
      </c>
      <c r="D855" s="189" t="s">
        <v>498</v>
      </c>
      <c r="E855" s="189" t="s">
        <v>1317</v>
      </c>
      <c r="F855" s="189"/>
      <c r="G855" s="247">
        <f t="shared" si="97"/>
        <v>70000</v>
      </c>
      <c r="H855" s="247">
        <f t="shared" si="97"/>
        <v>70000</v>
      </c>
      <c r="I855" s="248">
        <f t="shared" si="95"/>
        <v>0</v>
      </c>
      <c r="J855" s="191">
        <f t="shared" si="98"/>
        <v>140000</v>
      </c>
      <c r="K855" s="247">
        <f t="shared" si="98"/>
        <v>140000</v>
      </c>
      <c r="L855" s="287">
        <f t="shared" si="96"/>
        <v>0</v>
      </c>
    </row>
    <row r="856" spans="1:12" ht="24" x14ac:dyDescent="0.2">
      <c r="A856" s="189" t="s">
        <v>1318</v>
      </c>
      <c r="B856" s="189"/>
      <c r="C856" s="189" t="s">
        <v>532</v>
      </c>
      <c r="D856" s="189" t="s">
        <v>498</v>
      </c>
      <c r="E856" s="189" t="s">
        <v>1319</v>
      </c>
      <c r="F856" s="189"/>
      <c r="G856" s="247">
        <f t="shared" si="97"/>
        <v>70000</v>
      </c>
      <c r="H856" s="247">
        <f t="shared" si="97"/>
        <v>70000</v>
      </c>
      <c r="I856" s="248">
        <f t="shared" si="95"/>
        <v>0</v>
      </c>
      <c r="J856" s="191">
        <f t="shared" si="98"/>
        <v>140000</v>
      </c>
      <c r="K856" s="247">
        <f t="shared" si="98"/>
        <v>140000</v>
      </c>
      <c r="L856" s="287">
        <f t="shared" si="96"/>
        <v>0</v>
      </c>
    </row>
    <row r="857" spans="1:12" ht="24" x14ac:dyDescent="0.2">
      <c r="A857" s="189" t="s">
        <v>1320</v>
      </c>
      <c r="B857" s="189"/>
      <c r="C857" s="189" t="s">
        <v>532</v>
      </c>
      <c r="D857" s="189" t="s">
        <v>498</v>
      </c>
      <c r="E857" s="189" t="s">
        <v>1321</v>
      </c>
      <c r="F857" s="189"/>
      <c r="G857" s="247">
        <f t="shared" si="97"/>
        <v>70000</v>
      </c>
      <c r="H857" s="247">
        <f t="shared" si="97"/>
        <v>70000</v>
      </c>
      <c r="I857" s="248">
        <f t="shared" si="95"/>
        <v>0</v>
      </c>
      <c r="J857" s="191">
        <f t="shared" si="98"/>
        <v>140000</v>
      </c>
      <c r="K857" s="247">
        <f t="shared" si="98"/>
        <v>140000</v>
      </c>
      <c r="L857" s="287">
        <f t="shared" si="96"/>
        <v>0</v>
      </c>
    </row>
    <row r="858" spans="1:12" ht="24" x14ac:dyDescent="0.2">
      <c r="A858" s="189" t="s">
        <v>1355</v>
      </c>
      <c r="B858" s="189"/>
      <c r="C858" s="189" t="s">
        <v>532</v>
      </c>
      <c r="D858" s="189" t="s">
        <v>498</v>
      </c>
      <c r="E858" s="189" t="s">
        <v>1321</v>
      </c>
      <c r="F858" s="189" t="s">
        <v>824</v>
      </c>
      <c r="G858" s="247">
        <f t="shared" si="97"/>
        <v>70000</v>
      </c>
      <c r="H858" s="247">
        <f t="shared" si="97"/>
        <v>70000</v>
      </c>
      <c r="I858" s="248">
        <f t="shared" si="95"/>
        <v>0</v>
      </c>
      <c r="J858" s="191">
        <f t="shared" si="98"/>
        <v>140000</v>
      </c>
      <c r="K858" s="247">
        <f t="shared" si="98"/>
        <v>140000</v>
      </c>
      <c r="L858" s="287">
        <f t="shared" si="96"/>
        <v>0</v>
      </c>
    </row>
    <row r="859" spans="1:12" x14ac:dyDescent="0.2">
      <c r="A859" s="189" t="s">
        <v>823</v>
      </c>
      <c r="B859" s="189"/>
      <c r="C859" s="189" t="s">
        <v>532</v>
      </c>
      <c r="D859" s="189" t="s">
        <v>498</v>
      </c>
      <c r="E859" s="189" t="s">
        <v>1321</v>
      </c>
      <c r="F859" s="189" t="s">
        <v>821</v>
      </c>
      <c r="G859" s="247">
        <f>15000+55000</f>
        <v>70000</v>
      </c>
      <c r="H859" s="247">
        <f>15000+55000</f>
        <v>70000</v>
      </c>
      <c r="I859" s="248">
        <f t="shared" si="95"/>
        <v>0</v>
      </c>
      <c r="J859" s="191">
        <f>70000+70000</f>
        <v>140000</v>
      </c>
      <c r="K859" s="247">
        <f>70000+70000</f>
        <v>140000</v>
      </c>
      <c r="L859" s="287">
        <f t="shared" si="96"/>
        <v>0</v>
      </c>
    </row>
    <row r="860" spans="1:12" s="78" customFormat="1" x14ac:dyDescent="0.2">
      <c r="A860" s="185" t="s">
        <v>813</v>
      </c>
      <c r="B860" s="185"/>
      <c r="C860" s="185" t="s">
        <v>783</v>
      </c>
      <c r="D860" s="185"/>
      <c r="E860" s="185"/>
      <c r="F860" s="185"/>
      <c r="G860" s="245">
        <v>78702.7</v>
      </c>
      <c r="H860" s="245">
        <v>78702.7</v>
      </c>
      <c r="I860" s="246">
        <f t="shared" si="95"/>
        <v>0</v>
      </c>
      <c r="J860" s="187">
        <v>78702.7</v>
      </c>
      <c r="K860" s="245">
        <v>78702.7</v>
      </c>
      <c r="L860" s="286">
        <f t="shared" si="96"/>
        <v>0</v>
      </c>
    </row>
    <row r="861" spans="1:12" x14ac:dyDescent="0.2">
      <c r="A861" s="189" t="s">
        <v>812</v>
      </c>
      <c r="B861" s="189"/>
      <c r="C861" s="189" t="s">
        <v>783</v>
      </c>
      <c r="D861" s="189" t="s">
        <v>498</v>
      </c>
      <c r="E861" s="189"/>
      <c r="F861" s="189"/>
      <c r="G861" s="247">
        <v>42070.400000000001</v>
      </c>
      <c r="H861" s="247">
        <v>42070.400000000001</v>
      </c>
      <c r="I861" s="248">
        <f t="shared" si="95"/>
        <v>0</v>
      </c>
      <c r="J861" s="191">
        <v>42070.400000000001</v>
      </c>
      <c r="K861" s="247">
        <v>42070.400000000001</v>
      </c>
      <c r="L861" s="287">
        <f t="shared" si="96"/>
        <v>0</v>
      </c>
    </row>
    <row r="862" spans="1:12" ht="36" x14ac:dyDescent="0.2">
      <c r="A862" s="189" t="s">
        <v>588</v>
      </c>
      <c r="B862" s="189"/>
      <c r="C862" s="189" t="s">
        <v>783</v>
      </c>
      <c r="D862" s="189" t="s">
        <v>498</v>
      </c>
      <c r="E862" s="189" t="s">
        <v>587</v>
      </c>
      <c r="F862" s="189"/>
      <c r="G862" s="247">
        <v>42070.400000000001</v>
      </c>
      <c r="H862" s="247">
        <v>42070.400000000001</v>
      </c>
      <c r="I862" s="248">
        <f t="shared" si="95"/>
        <v>0</v>
      </c>
      <c r="J862" s="191">
        <v>42070.400000000001</v>
      </c>
      <c r="K862" s="247">
        <v>42070.400000000001</v>
      </c>
      <c r="L862" s="287">
        <f t="shared" si="96"/>
        <v>0</v>
      </c>
    </row>
    <row r="863" spans="1:12" ht="36" x14ac:dyDescent="0.2">
      <c r="A863" s="189" t="s">
        <v>807</v>
      </c>
      <c r="B863" s="189"/>
      <c r="C863" s="189" t="s">
        <v>783</v>
      </c>
      <c r="D863" s="189" t="s">
        <v>498</v>
      </c>
      <c r="E863" s="189" t="s">
        <v>806</v>
      </c>
      <c r="F863" s="189"/>
      <c r="G863" s="247">
        <v>42070.400000000001</v>
      </c>
      <c r="H863" s="247">
        <v>42070.400000000001</v>
      </c>
      <c r="I863" s="248">
        <f t="shared" si="95"/>
        <v>0</v>
      </c>
      <c r="J863" s="191">
        <v>42070.400000000001</v>
      </c>
      <c r="K863" s="247">
        <v>42070.400000000001</v>
      </c>
      <c r="L863" s="287">
        <f t="shared" si="96"/>
        <v>0</v>
      </c>
    </row>
    <row r="864" spans="1:12" ht="24" x14ac:dyDescent="0.2">
      <c r="A864" s="189" t="s">
        <v>805</v>
      </c>
      <c r="B864" s="189"/>
      <c r="C864" s="189" t="s">
        <v>783</v>
      </c>
      <c r="D864" s="189" t="s">
        <v>498</v>
      </c>
      <c r="E864" s="189" t="s">
        <v>804</v>
      </c>
      <c r="F864" s="189"/>
      <c r="G864" s="247">
        <v>42070.400000000001</v>
      </c>
      <c r="H864" s="247">
        <v>42070.400000000001</v>
      </c>
      <c r="I864" s="248">
        <f t="shared" si="95"/>
        <v>0</v>
      </c>
      <c r="J864" s="191">
        <v>42070.400000000001</v>
      </c>
      <c r="K864" s="247">
        <v>42070.400000000001</v>
      </c>
      <c r="L864" s="287">
        <f t="shared" si="96"/>
        <v>0</v>
      </c>
    </row>
    <row r="865" spans="1:12" ht="96" x14ac:dyDescent="0.2">
      <c r="A865" s="189" t="s">
        <v>803</v>
      </c>
      <c r="B865" s="189"/>
      <c r="C865" s="189" t="s">
        <v>783</v>
      </c>
      <c r="D865" s="189" t="s">
        <v>498</v>
      </c>
      <c r="E865" s="189" t="s">
        <v>802</v>
      </c>
      <c r="F865" s="189"/>
      <c r="G865" s="247">
        <v>484.1</v>
      </c>
      <c r="H865" s="247">
        <v>484.1</v>
      </c>
      <c r="I865" s="248">
        <f t="shared" si="95"/>
        <v>0</v>
      </c>
      <c r="J865" s="191">
        <v>484.1</v>
      </c>
      <c r="K865" s="247">
        <v>484.1</v>
      </c>
      <c r="L865" s="287">
        <f t="shared" si="96"/>
        <v>0</v>
      </c>
    </row>
    <row r="866" spans="1:12" ht="24" x14ac:dyDescent="0.2">
      <c r="A866" s="189" t="s">
        <v>1347</v>
      </c>
      <c r="B866" s="189"/>
      <c r="C866" s="189" t="s">
        <v>783</v>
      </c>
      <c r="D866" s="189" t="s">
        <v>498</v>
      </c>
      <c r="E866" s="189" t="s">
        <v>802</v>
      </c>
      <c r="F866" s="189" t="s">
        <v>535</v>
      </c>
      <c r="G866" s="247">
        <v>484.1</v>
      </c>
      <c r="H866" s="247">
        <v>484.1</v>
      </c>
      <c r="I866" s="248">
        <f t="shared" si="95"/>
        <v>0</v>
      </c>
      <c r="J866" s="191">
        <v>484.1</v>
      </c>
      <c r="K866" s="247">
        <v>484.1</v>
      </c>
      <c r="L866" s="287">
        <f t="shared" si="96"/>
        <v>0</v>
      </c>
    </row>
    <row r="867" spans="1:12" ht="24" x14ac:dyDescent="0.2">
      <c r="A867" s="189" t="s">
        <v>534</v>
      </c>
      <c r="B867" s="189"/>
      <c r="C867" s="189" t="s">
        <v>783</v>
      </c>
      <c r="D867" s="189" t="s">
        <v>498</v>
      </c>
      <c r="E867" s="189" t="s">
        <v>802</v>
      </c>
      <c r="F867" s="189" t="s">
        <v>529</v>
      </c>
      <c r="G867" s="247">
        <v>484.1</v>
      </c>
      <c r="H867" s="247">
        <v>484.1</v>
      </c>
      <c r="I867" s="248">
        <f t="shared" si="95"/>
        <v>0</v>
      </c>
      <c r="J867" s="191">
        <v>484.1</v>
      </c>
      <c r="K867" s="247">
        <v>484.1</v>
      </c>
      <c r="L867" s="287">
        <f t="shared" si="96"/>
        <v>0</v>
      </c>
    </row>
    <row r="868" spans="1:12" ht="96" x14ac:dyDescent="0.2">
      <c r="A868" s="189" t="s">
        <v>801</v>
      </c>
      <c r="B868" s="189"/>
      <c r="C868" s="189" t="s">
        <v>783</v>
      </c>
      <c r="D868" s="189" t="s">
        <v>498</v>
      </c>
      <c r="E868" s="189" t="s">
        <v>800</v>
      </c>
      <c r="F868" s="189"/>
      <c r="G868" s="247">
        <v>41586.300000000003</v>
      </c>
      <c r="H868" s="247">
        <v>41586.300000000003</v>
      </c>
      <c r="I868" s="248">
        <f t="shared" si="95"/>
        <v>0</v>
      </c>
      <c r="J868" s="191">
        <v>41586.300000000003</v>
      </c>
      <c r="K868" s="247">
        <v>41586.300000000003</v>
      </c>
      <c r="L868" s="287">
        <f t="shared" si="96"/>
        <v>0</v>
      </c>
    </row>
    <row r="869" spans="1:12" ht="24" x14ac:dyDescent="0.2">
      <c r="A869" s="189" t="s">
        <v>547</v>
      </c>
      <c r="B869" s="189"/>
      <c r="C869" s="189" t="s">
        <v>783</v>
      </c>
      <c r="D869" s="189" t="s">
        <v>498</v>
      </c>
      <c r="E869" s="189" t="s">
        <v>800</v>
      </c>
      <c r="F869" s="189" t="s">
        <v>519</v>
      </c>
      <c r="G869" s="247">
        <v>41586.300000000003</v>
      </c>
      <c r="H869" s="247">
        <v>41586.300000000003</v>
      </c>
      <c r="I869" s="248">
        <f t="shared" si="95"/>
        <v>0</v>
      </c>
      <c r="J869" s="191">
        <v>41586.300000000003</v>
      </c>
      <c r="K869" s="247">
        <v>41586.300000000003</v>
      </c>
      <c r="L869" s="287">
        <f t="shared" si="96"/>
        <v>0</v>
      </c>
    </row>
    <row r="870" spans="1:12" x14ac:dyDescent="0.2">
      <c r="A870" s="189" t="s">
        <v>546</v>
      </c>
      <c r="B870" s="189"/>
      <c r="C870" s="189" t="s">
        <v>783</v>
      </c>
      <c r="D870" s="189" t="s">
        <v>498</v>
      </c>
      <c r="E870" s="189" t="s">
        <v>800</v>
      </c>
      <c r="F870" s="189" t="s">
        <v>544</v>
      </c>
      <c r="G870" s="247">
        <v>41586.300000000003</v>
      </c>
      <c r="H870" s="247">
        <v>41586.300000000003</v>
      </c>
      <c r="I870" s="248">
        <f t="shared" si="95"/>
        <v>0</v>
      </c>
      <c r="J870" s="191">
        <v>41586.300000000003</v>
      </c>
      <c r="K870" s="247">
        <v>41586.300000000003</v>
      </c>
      <c r="L870" s="287">
        <f t="shared" si="96"/>
        <v>0</v>
      </c>
    </row>
    <row r="871" spans="1:12" x14ac:dyDescent="0.2">
      <c r="A871" s="189" t="s">
        <v>811</v>
      </c>
      <c r="B871" s="189"/>
      <c r="C871" s="189" t="s">
        <v>783</v>
      </c>
      <c r="D871" s="189" t="s">
        <v>502</v>
      </c>
      <c r="E871" s="189"/>
      <c r="F871" s="189"/>
      <c r="G871" s="247">
        <v>28745.3</v>
      </c>
      <c r="H871" s="247">
        <v>28745.3</v>
      </c>
      <c r="I871" s="248">
        <f t="shared" si="95"/>
        <v>0</v>
      </c>
      <c r="J871" s="191">
        <v>28745.3</v>
      </c>
      <c r="K871" s="247">
        <v>28745.3</v>
      </c>
      <c r="L871" s="287">
        <f t="shared" si="96"/>
        <v>0</v>
      </c>
    </row>
    <row r="872" spans="1:12" ht="36" x14ac:dyDescent="0.2">
      <c r="A872" s="189" t="s">
        <v>588</v>
      </c>
      <c r="B872" s="189"/>
      <c r="C872" s="189" t="s">
        <v>783</v>
      </c>
      <c r="D872" s="189" t="s">
        <v>502</v>
      </c>
      <c r="E872" s="189" t="s">
        <v>587</v>
      </c>
      <c r="F872" s="189"/>
      <c r="G872" s="247">
        <v>28745.3</v>
      </c>
      <c r="H872" s="247">
        <v>28745.3</v>
      </c>
      <c r="I872" s="248">
        <f t="shared" si="95"/>
        <v>0</v>
      </c>
      <c r="J872" s="191">
        <v>28745.3</v>
      </c>
      <c r="K872" s="247">
        <v>28745.3</v>
      </c>
      <c r="L872" s="287">
        <f t="shared" si="96"/>
        <v>0</v>
      </c>
    </row>
    <row r="873" spans="1:12" ht="36" x14ac:dyDescent="0.2">
      <c r="A873" s="189" t="s">
        <v>807</v>
      </c>
      <c r="B873" s="189"/>
      <c r="C873" s="189" t="s">
        <v>783</v>
      </c>
      <c r="D873" s="189" t="s">
        <v>502</v>
      </c>
      <c r="E873" s="189" t="s">
        <v>806</v>
      </c>
      <c r="F873" s="189"/>
      <c r="G873" s="247">
        <v>28745.3</v>
      </c>
      <c r="H873" s="247">
        <v>28745.3</v>
      </c>
      <c r="I873" s="248">
        <f t="shared" si="95"/>
        <v>0</v>
      </c>
      <c r="J873" s="191">
        <v>28745.3</v>
      </c>
      <c r="K873" s="247">
        <v>28745.3</v>
      </c>
      <c r="L873" s="287">
        <f t="shared" si="96"/>
        <v>0</v>
      </c>
    </row>
    <row r="874" spans="1:12" ht="24" x14ac:dyDescent="0.2">
      <c r="A874" s="189" t="s">
        <v>805</v>
      </c>
      <c r="B874" s="189"/>
      <c r="C874" s="189" t="s">
        <v>783</v>
      </c>
      <c r="D874" s="189" t="s">
        <v>502</v>
      </c>
      <c r="E874" s="189" t="s">
        <v>804</v>
      </c>
      <c r="F874" s="189"/>
      <c r="G874" s="247">
        <v>28745.3</v>
      </c>
      <c r="H874" s="247">
        <v>28745.3</v>
      </c>
      <c r="I874" s="248">
        <f t="shared" si="95"/>
        <v>0</v>
      </c>
      <c r="J874" s="191">
        <v>28745.3</v>
      </c>
      <c r="K874" s="247">
        <v>28745.3</v>
      </c>
      <c r="L874" s="287">
        <f t="shared" si="96"/>
        <v>0</v>
      </c>
    </row>
    <row r="875" spans="1:12" ht="96" x14ac:dyDescent="0.2">
      <c r="A875" s="189" t="s">
        <v>803</v>
      </c>
      <c r="B875" s="189"/>
      <c r="C875" s="189" t="s">
        <v>783</v>
      </c>
      <c r="D875" s="189" t="s">
        <v>502</v>
      </c>
      <c r="E875" s="189" t="s">
        <v>802</v>
      </c>
      <c r="F875" s="189"/>
      <c r="G875" s="247">
        <v>8597.7000000000007</v>
      </c>
      <c r="H875" s="247">
        <v>8597.7000000000007</v>
      </c>
      <c r="I875" s="248">
        <f t="shared" si="95"/>
        <v>0</v>
      </c>
      <c r="J875" s="191">
        <v>8597.7000000000007</v>
      </c>
      <c r="K875" s="247">
        <v>8597.7000000000007</v>
      </c>
      <c r="L875" s="287">
        <f t="shared" si="96"/>
        <v>0</v>
      </c>
    </row>
    <row r="876" spans="1:12" ht="24" x14ac:dyDescent="0.2">
      <c r="A876" s="189" t="s">
        <v>1347</v>
      </c>
      <c r="B876" s="189"/>
      <c r="C876" s="189" t="s">
        <v>783</v>
      </c>
      <c r="D876" s="189" t="s">
        <v>502</v>
      </c>
      <c r="E876" s="189" t="s">
        <v>802</v>
      </c>
      <c r="F876" s="189" t="s">
        <v>535</v>
      </c>
      <c r="G876" s="247">
        <v>8597.7000000000007</v>
      </c>
      <c r="H876" s="247">
        <v>8597.7000000000007</v>
      </c>
      <c r="I876" s="248">
        <f t="shared" si="95"/>
        <v>0</v>
      </c>
      <c r="J876" s="191">
        <v>8597.7000000000007</v>
      </c>
      <c r="K876" s="247">
        <v>8597.7000000000007</v>
      </c>
      <c r="L876" s="287">
        <f t="shared" si="96"/>
        <v>0</v>
      </c>
    </row>
    <row r="877" spans="1:12" ht="24" x14ac:dyDescent="0.2">
      <c r="A877" s="189" t="s">
        <v>534</v>
      </c>
      <c r="B877" s="189"/>
      <c r="C877" s="189" t="s">
        <v>783</v>
      </c>
      <c r="D877" s="189" t="s">
        <v>502</v>
      </c>
      <c r="E877" s="189" t="s">
        <v>802</v>
      </c>
      <c r="F877" s="189" t="s">
        <v>529</v>
      </c>
      <c r="G877" s="247">
        <v>8597.7000000000007</v>
      </c>
      <c r="H877" s="247">
        <v>8597.7000000000007</v>
      </c>
      <c r="I877" s="248">
        <f t="shared" si="95"/>
        <v>0</v>
      </c>
      <c r="J877" s="191">
        <v>8597.7000000000007</v>
      </c>
      <c r="K877" s="247">
        <v>8597.7000000000007</v>
      </c>
      <c r="L877" s="287">
        <f t="shared" si="96"/>
        <v>0</v>
      </c>
    </row>
    <row r="878" spans="1:12" ht="96" x14ac:dyDescent="0.2">
      <c r="A878" s="189" t="s">
        <v>810</v>
      </c>
      <c r="B878" s="189"/>
      <c r="C878" s="189" t="s">
        <v>783</v>
      </c>
      <c r="D878" s="189" t="s">
        <v>502</v>
      </c>
      <c r="E878" s="189" t="s">
        <v>809</v>
      </c>
      <c r="F878" s="189"/>
      <c r="G878" s="247">
        <v>20147.7</v>
      </c>
      <c r="H878" s="247">
        <v>20147.7</v>
      </c>
      <c r="I878" s="248">
        <f t="shared" si="95"/>
        <v>0</v>
      </c>
      <c r="J878" s="191">
        <v>20147.7</v>
      </c>
      <c r="K878" s="247">
        <v>20147.7</v>
      </c>
      <c r="L878" s="287">
        <f t="shared" si="96"/>
        <v>0</v>
      </c>
    </row>
    <row r="879" spans="1:12" ht="24" x14ac:dyDescent="0.2">
      <c r="A879" s="189" t="s">
        <v>547</v>
      </c>
      <c r="B879" s="189"/>
      <c r="C879" s="189" t="s">
        <v>783</v>
      </c>
      <c r="D879" s="189" t="s">
        <v>502</v>
      </c>
      <c r="E879" s="189" t="s">
        <v>809</v>
      </c>
      <c r="F879" s="189" t="s">
        <v>519</v>
      </c>
      <c r="G879" s="247">
        <v>20147.7</v>
      </c>
      <c r="H879" s="247">
        <v>20147.7</v>
      </c>
      <c r="I879" s="248">
        <f t="shared" si="95"/>
        <v>0</v>
      </c>
      <c r="J879" s="191">
        <v>20147.7</v>
      </c>
      <c r="K879" s="247">
        <v>20147.7</v>
      </c>
      <c r="L879" s="287">
        <f t="shared" si="96"/>
        <v>0</v>
      </c>
    </row>
    <row r="880" spans="1:12" x14ac:dyDescent="0.2">
      <c r="A880" s="189" t="s">
        <v>546</v>
      </c>
      <c r="B880" s="189"/>
      <c r="C880" s="189" t="s">
        <v>783</v>
      </c>
      <c r="D880" s="189" t="s">
        <v>502</v>
      </c>
      <c r="E880" s="189" t="s">
        <v>809</v>
      </c>
      <c r="F880" s="189" t="s">
        <v>544</v>
      </c>
      <c r="G880" s="247">
        <v>20147.7</v>
      </c>
      <c r="H880" s="247">
        <v>20147.7</v>
      </c>
      <c r="I880" s="248">
        <f t="shared" si="95"/>
        <v>0</v>
      </c>
      <c r="J880" s="191">
        <v>20147.7</v>
      </c>
      <c r="K880" s="247">
        <v>20147.7</v>
      </c>
      <c r="L880" s="287">
        <f t="shared" si="96"/>
        <v>0</v>
      </c>
    </row>
    <row r="881" spans="1:12" x14ac:dyDescent="0.2">
      <c r="A881" s="189" t="s">
        <v>808</v>
      </c>
      <c r="B881" s="189"/>
      <c r="C881" s="189" t="s">
        <v>783</v>
      </c>
      <c r="D881" s="189" t="s">
        <v>507</v>
      </c>
      <c r="E881" s="189"/>
      <c r="F881" s="189"/>
      <c r="G881" s="247">
        <v>7887</v>
      </c>
      <c r="H881" s="247">
        <v>7887</v>
      </c>
      <c r="I881" s="248">
        <f t="shared" si="95"/>
        <v>0</v>
      </c>
      <c r="J881" s="191">
        <v>7887</v>
      </c>
      <c r="K881" s="247">
        <v>7887</v>
      </c>
      <c r="L881" s="287">
        <f t="shared" si="96"/>
        <v>0</v>
      </c>
    </row>
    <row r="882" spans="1:12" ht="36" x14ac:dyDescent="0.2">
      <c r="A882" s="189" t="s">
        <v>588</v>
      </c>
      <c r="B882" s="189"/>
      <c r="C882" s="189" t="s">
        <v>783</v>
      </c>
      <c r="D882" s="189" t="s">
        <v>507</v>
      </c>
      <c r="E882" s="189" t="s">
        <v>587</v>
      </c>
      <c r="F882" s="189"/>
      <c r="G882" s="247">
        <v>7887</v>
      </c>
      <c r="H882" s="247">
        <v>7887</v>
      </c>
      <c r="I882" s="248">
        <f t="shared" si="95"/>
        <v>0</v>
      </c>
      <c r="J882" s="191">
        <v>7887</v>
      </c>
      <c r="K882" s="247">
        <v>7887</v>
      </c>
      <c r="L882" s="287">
        <f t="shared" si="96"/>
        <v>0</v>
      </c>
    </row>
    <row r="883" spans="1:12" ht="36" x14ac:dyDescent="0.2">
      <c r="A883" s="189" t="s">
        <v>807</v>
      </c>
      <c r="B883" s="189"/>
      <c r="C883" s="189" t="s">
        <v>783</v>
      </c>
      <c r="D883" s="189" t="s">
        <v>507</v>
      </c>
      <c r="E883" s="189" t="s">
        <v>806</v>
      </c>
      <c r="F883" s="189"/>
      <c r="G883" s="247">
        <v>7887</v>
      </c>
      <c r="H883" s="247">
        <v>7887</v>
      </c>
      <c r="I883" s="248">
        <f t="shared" si="95"/>
        <v>0</v>
      </c>
      <c r="J883" s="191">
        <v>7887</v>
      </c>
      <c r="K883" s="247">
        <v>7887</v>
      </c>
      <c r="L883" s="287">
        <f t="shared" si="96"/>
        <v>0</v>
      </c>
    </row>
    <row r="884" spans="1:12" ht="24" x14ac:dyDescent="0.2">
      <c r="A884" s="189" t="s">
        <v>805</v>
      </c>
      <c r="B884" s="189"/>
      <c r="C884" s="189" t="s">
        <v>783</v>
      </c>
      <c r="D884" s="189" t="s">
        <v>507</v>
      </c>
      <c r="E884" s="189" t="s">
        <v>804</v>
      </c>
      <c r="F884" s="189"/>
      <c r="G884" s="247">
        <v>4000</v>
      </c>
      <c r="H884" s="247">
        <v>4000</v>
      </c>
      <c r="I884" s="248">
        <f t="shared" si="95"/>
        <v>0</v>
      </c>
      <c r="J884" s="191">
        <v>4000</v>
      </c>
      <c r="K884" s="247">
        <v>4000</v>
      </c>
      <c r="L884" s="287">
        <f t="shared" si="96"/>
        <v>0</v>
      </c>
    </row>
    <row r="885" spans="1:12" ht="96" x14ac:dyDescent="0.2">
      <c r="A885" s="189" t="s">
        <v>803</v>
      </c>
      <c r="B885" s="189"/>
      <c r="C885" s="189" t="s">
        <v>783</v>
      </c>
      <c r="D885" s="189" t="s">
        <v>507</v>
      </c>
      <c r="E885" s="189" t="s">
        <v>802</v>
      </c>
      <c r="F885" s="189"/>
      <c r="G885" s="247">
        <v>2500</v>
      </c>
      <c r="H885" s="247">
        <v>2500</v>
      </c>
      <c r="I885" s="248">
        <f t="shared" si="95"/>
        <v>0</v>
      </c>
      <c r="J885" s="191">
        <v>2500</v>
      </c>
      <c r="K885" s="247">
        <v>2500</v>
      </c>
      <c r="L885" s="287">
        <f t="shared" si="96"/>
        <v>0</v>
      </c>
    </row>
    <row r="886" spans="1:12" ht="24" x14ac:dyDescent="0.2">
      <c r="A886" s="189" t="s">
        <v>1347</v>
      </c>
      <c r="B886" s="189"/>
      <c r="C886" s="189" t="s">
        <v>783</v>
      </c>
      <c r="D886" s="189" t="s">
        <v>507</v>
      </c>
      <c r="E886" s="189" t="s">
        <v>802</v>
      </c>
      <c r="F886" s="189" t="s">
        <v>535</v>
      </c>
      <c r="G886" s="247">
        <v>2500</v>
      </c>
      <c r="H886" s="247">
        <v>2500</v>
      </c>
      <c r="I886" s="248">
        <f t="shared" si="95"/>
        <v>0</v>
      </c>
      <c r="J886" s="191">
        <v>2500</v>
      </c>
      <c r="K886" s="247">
        <v>2500</v>
      </c>
      <c r="L886" s="287">
        <f t="shared" si="96"/>
        <v>0</v>
      </c>
    </row>
    <row r="887" spans="1:12" ht="24" x14ac:dyDescent="0.2">
      <c r="A887" s="189" t="s">
        <v>534</v>
      </c>
      <c r="B887" s="189"/>
      <c r="C887" s="189" t="s">
        <v>783</v>
      </c>
      <c r="D887" s="189" t="s">
        <v>507</v>
      </c>
      <c r="E887" s="189" t="s">
        <v>802</v>
      </c>
      <c r="F887" s="189" t="s">
        <v>529</v>
      </c>
      <c r="G887" s="247">
        <v>2500</v>
      </c>
      <c r="H887" s="247">
        <v>2500</v>
      </c>
      <c r="I887" s="248">
        <f t="shared" si="95"/>
        <v>0</v>
      </c>
      <c r="J887" s="191">
        <v>2500</v>
      </c>
      <c r="K887" s="247">
        <v>2500</v>
      </c>
      <c r="L887" s="287">
        <f t="shared" si="96"/>
        <v>0</v>
      </c>
    </row>
    <row r="888" spans="1:12" ht="96" x14ac:dyDescent="0.2">
      <c r="A888" s="189" t="s">
        <v>801</v>
      </c>
      <c r="B888" s="189"/>
      <c r="C888" s="189" t="s">
        <v>783</v>
      </c>
      <c r="D888" s="189" t="s">
        <v>507</v>
      </c>
      <c r="E888" s="189" t="s">
        <v>800</v>
      </c>
      <c r="F888" s="189"/>
      <c r="G888" s="247">
        <v>1500</v>
      </c>
      <c r="H888" s="247">
        <v>1500</v>
      </c>
      <c r="I888" s="248">
        <f t="shared" si="95"/>
        <v>0</v>
      </c>
      <c r="J888" s="191">
        <v>1500</v>
      </c>
      <c r="K888" s="247">
        <v>1500</v>
      </c>
      <c r="L888" s="287">
        <f t="shared" si="96"/>
        <v>0</v>
      </c>
    </row>
    <row r="889" spans="1:12" ht="24" x14ac:dyDescent="0.2">
      <c r="A889" s="189" t="s">
        <v>547</v>
      </c>
      <c r="B889" s="189"/>
      <c r="C889" s="189" t="s">
        <v>783</v>
      </c>
      <c r="D889" s="189" t="s">
        <v>507</v>
      </c>
      <c r="E889" s="189" t="s">
        <v>800</v>
      </c>
      <c r="F889" s="189" t="s">
        <v>519</v>
      </c>
      <c r="G889" s="247">
        <v>1500</v>
      </c>
      <c r="H889" s="247">
        <v>1500</v>
      </c>
      <c r="I889" s="248">
        <f t="shared" si="95"/>
        <v>0</v>
      </c>
      <c r="J889" s="191">
        <v>1500</v>
      </c>
      <c r="K889" s="247">
        <v>1500</v>
      </c>
      <c r="L889" s="287">
        <f t="shared" si="96"/>
        <v>0</v>
      </c>
    </row>
    <row r="890" spans="1:12" x14ac:dyDescent="0.2">
      <c r="A890" s="189" t="s">
        <v>546</v>
      </c>
      <c r="B890" s="189"/>
      <c r="C890" s="189" t="s">
        <v>783</v>
      </c>
      <c r="D890" s="189" t="s">
        <v>507</v>
      </c>
      <c r="E890" s="189" t="s">
        <v>800</v>
      </c>
      <c r="F890" s="189" t="s">
        <v>544</v>
      </c>
      <c r="G890" s="247">
        <v>1500</v>
      </c>
      <c r="H890" s="247">
        <v>1500</v>
      </c>
      <c r="I890" s="248">
        <f t="shared" si="95"/>
        <v>0</v>
      </c>
      <c r="J890" s="191">
        <v>1500</v>
      </c>
      <c r="K890" s="247">
        <v>1500</v>
      </c>
      <c r="L890" s="287">
        <f t="shared" si="96"/>
        <v>0</v>
      </c>
    </row>
    <row r="891" spans="1:12" ht="24" x14ac:dyDescent="0.2">
      <c r="A891" s="189" t="s">
        <v>799</v>
      </c>
      <c r="B891" s="189"/>
      <c r="C891" s="189" t="s">
        <v>783</v>
      </c>
      <c r="D891" s="189" t="s">
        <v>507</v>
      </c>
      <c r="E891" s="189" t="s">
        <v>798</v>
      </c>
      <c r="F891" s="189"/>
      <c r="G891" s="247">
        <v>3887</v>
      </c>
      <c r="H891" s="247">
        <v>3887</v>
      </c>
      <c r="I891" s="248">
        <f t="shared" si="95"/>
        <v>0</v>
      </c>
      <c r="J891" s="191">
        <v>3887</v>
      </c>
      <c r="K891" s="247">
        <v>3887</v>
      </c>
      <c r="L891" s="287">
        <f t="shared" si="96"/>
        <v>0</v>
      </c>
    </row>
    <row r="892" spans="1:12" ht="48" x14ac:dyDescent="0.2">
      <c r="A892" s="189" t="s">
        <v>797</v>
      </c>
      <c r="B892" s="189"/>
      <c r="C892" s="189" t="s">
        <v>783</v>
      </c>
      <c r="D892" s="189" t="s">
        <v>507</v>
      </c>
      <c r="E892" s="189" t="s">
        <v>796</v>
      </c>
      <c r="F892" s="189"/>
      <c r="G892" s="247">
        <v>284</v>
      </c>
      <c r="H892" s="247">
        <v>284</v>
      </c>
      <c r="I892" s="248">
        <f t="shared" si="95"/>
        <v>0</v>
      </c>
      <c r="J892" s="191">
        <v>284</v>
      </c>
      <c r="K892" s="247">
        <v>284</v>
      </c>
      <c r="L892" s="287">
        <f t="shared" si="96"/>
        <v>0</v>
      </c>
    </row>
    <row r="893" spans="1:12" ht="24" x14ac:dyDescent="0.2">
      <c r="A893" s="189" t="s">
        <v>1347</v>
      </c>
      <c r="B893" s="189"/>
      <c r="C893" s="189" t="s">
        <v>783</v>
      </c>
      <c r="D893" s="189" t="s">
        <v>507</v>
      </c>
      <c r="E893" s="189" t="s">
        <v>796</v>
      </c>
      <c r="F893" s="189" t="s">
        <v>535</v>
      </c>
      <c r="G893" s="247">
        <v>284</v>
      </c>
      <c r="H893" s="247">
        <v>284</v>
      </c>
      <c r="I893" s="248">
        <f t="shared" si="95"/>
        <v>0</v>
      </c>
      <c r="J893" s="191">
        <v>284</v>
      </c>
      <c r="K893" s="247">
        <v>284</v>
      </c>
      <c r="L893" s="287">
        <f t="shared" si="96"/>
        <v>0</v>
      </c>
    </row>
    <row r="894" spans="1:12" ht="24" x14ac:dyDescent="0.2">
      <c r="A894" s="189" t="s">
        <v>534</v>
      </c>
      <c r="B894" s="189"/>
      <c r="C894" s="189" t="s">
        <v>783</v>
      </c>
      <c r="D894" s="189" t="s">
        <v>507</v>
      </c>
      <c r="E894" s="189" t="s">
        <v>796</v>
      </c>
      <c r="F894" s="189" t="s">
        <v>529</v>
      </c>
      <c r="G894" s="247">
        <v>284</v>
      </c>
      <c r="H894" s="247">
        <v>284</v>
      </c>
      <c r="I894" s="248">
        <f t="shared" si="95"/>
        <v>0</v>
      </c>
      <c r="J894" s="191">
        <v>284</v>
      </c>
      <c r="K894" s="247">
        <v>284</v>
      </c>
      <c r="L894" s="287">
        <f t="shared" si="96"/>
        <v>0</v>
      </c>
    </row>
    <row r="895" spans="1:12" ht="48" x14ac:dyDescent="0.2">
      <c r="A895" s="189" t="s">
        <v>1533</v>
      </c>
      <c r="B895" s="189"/>
      <c r="C895" s="189" t="s">
        <v>783</v>
      </c>
      <c r="D895" s="189" t="s">
        <v>507</v>
      </c>
      <c r="E895" s="189" t="s">
        <v>795</v>
      </c>
      <c r="F895" s="189"/>
      <c r="G895" s="247">
        <f>G896</f>
        <v>1750</v>
      </c>
      <c r="H895" s="247">
        <f>H896</f>
        <v>1750</v>
      </c>
      <c r="I895" s="248">
        <f t="shared" si="95"/>
        <v>0</v>
      </c>
      <c r="J895" s="191">
        <f t="shared" ref="J895:K895" si="99">J896</f>
        <v>1750</v>
      </c>
      <c r="K895" s="247">
        <f t="shared" si="99"/>
        <v>1750</v>
      </c>
      <c r="L895" s="287">
        <f t="shared" si="96"/>
        <v>0</v>
      </c>
    </row>
    <row r="896" spans="1:12" s="390" customFormat="1" ht="24" x14ac:dyDescent="0.2">
      <c r="A896" s="189" t="s">
        <v>547</v>
      </c>
      <c r="B896" s="189"/>
      <c r="C896" s="189" t="s">
        <v>783</v>
      </c>
      <c r="D896" s="189" t="s">
        <v>507</v>
      </c>
      <c r="E896" s="189" t="s">
        <v>795</v>
      </c>
      <c r="F896" s="189">
        <v>600</v>
      </c>
      <c r="G896" s="247">
        <f>G897</f>
        <v>1750</v>
      </c>
      <c r="H896" s="247">
        <f>H897</f>
        <v>1750</v>
      </c>
      <c r="I896" s="248">
        <f t="shared" si="95"/>
        <v>0</v>
      </c>
      <c r="J896" s="191">
        <f>J897</f>
        <v>1750</v>
      </c>
      <c r="K896" s="247">
        <f>K897</f>
        <v>1750</v>
      </c>
      <c r="L896" s="287">
        <f t="shared" si="96"/>
        <v>0</v>
      </c>
    </row>
    <row r="897" spans="1:12" s="390" customFormat="1" x14ac:dyDescent="0.2">
      <c r="A897" s="189" t="s">
        <v>571</v>
      </c>
      <c r="B897" s="189"/>
      <c r="C897" s="189" t="s">
        <v>783</v>
      </c>
      <c r="D897" s="189" t="s">
        <v>507</v>
      </c>
      <c r="E897" s="189" t="s">
        <v>795</v>
      </c>
      <c r="F897" s="189">
        <v>610</v>
      </c>
      <c r="G897" s="247">
        <v>1750</v>
      </c>
      <c r="H897" s="247">
        <v>1750</v>
      </c>
      <c r="I897" s="248">
        <f t="shared" si="95"/>
        <v>0</v>
      </c>
      <c r="J897" s="191">
        <v>1750</v>
      </c>
      <c r="K897" s="247">
        <v>1750</v>
      </c>
      <c r="L897" s="287">
        <f t="shared" si="96"/>
        <v>0</v>
      </c>
    </row>
    <row r="898" spans="1:12" ht="48" x14ac:dyDescent="0.2">
      <c r="A898" s="189" t="s">
        <v>794</v>
      </c>
      <c r="B898" s="189"/>
      <c r="C898" s="189" t="s">
        <v>783</v>
      </c>
      <c r="D898" s="189" t="s">
        <v>507</v>
      </c>
      <c r="E898" s="189" t="s">
        <v>793</v>
      </c>
      <c r="F898" s="189"/>
      <c r="G898" s="247">
        <v>500</v>
      </c>
      <c r="H898" s="247">
        <v>500</v>
      </c>
      <c r="I898" s="248">
        <f t="shared" si="95"/>
        <v>0</v>
      </c>
      <c r="J898" s="191">
        <v>500</v>
      </c>
      <c r="K898" s="247">
        <v>500</v>
      </c>
      <c r="L898" s="287">
        <f t="shared" si="96"/>
        <v>0</v>
      </c>
    </row>
    <row r="899" spans="1:12" ht="24" x14ac:dyDescent="0.2">
      <c r="A899" s="189" t="s">
        <v>1347</v>
      </c>
      <c r="B899" s="189"/>
      <c r="C899" s="189" t="s">
        <v>783</v>
      </c>
      <c r="D899" s="189" t="s">
        <v>507</v>
      </c>
      <c r="E899" s="189" t="s">
        <v>793</v>
      </c>
      <c r="F899" s="189" t="s">
        <v>535</v>
      </c>
      <c r="G899" s="247">
        <v>500</v>
      </c>
      <c r="H899" s="247">
        <v>500</v>
      </c>
      <c r="I899" s="248">
        <f t="shared" si="95"/>
        <v>0</v>
      </c>
      <c r="J899" s="191">
        <v>500</v>
      </c>
      <c r="K899" s="247">
        <v>500</v>
      </c>
      <c r="L899" s="287">
        <f t="shared" si="96"/>
        <v>0</v>
      </c>
    </row>
    <row r="900" spans="1:12" ht="24" x14ac:dyDescent="0.2">
      <c r="A900" s="189" t="s">
        <v>534</v>
      </c>
      <c r="B900" s="189"/>
      <c r="C900" s="189" t="s">
        <v>783</v>
      </c>
      <c r="D900" s="189" t="s">
        <v>507</v>
      </c>
      <c r="E900" s="189" t="s">
        <v>793</v>
      </c>
      <c r="F900" s="189" t="s">
        <v>529</v>
      </c>
      <c r="G900" s="247">
        <v>500</v>
      </c>
      <c r="H900" s="247">
        <v>500</v>
      </c>
      <c r="I900" s="248">
        <f t="shared" si="95"/>
        <v>0</v>
      </c>
      <c r="J900" s="191">
        <v>500</v>
      </c>
      <c r="K900" s="247">
        <v>500</v>
      </c>
      <c r="L900" s="287">
        <f t="shared" si="96"/>
        <v>0</v>
      </c>
    </row>
    <row r="901" spans="1:12" ht="48" x14ac:dyDescent="0.2">
      <c r="A901" s="189" t="s">
        <v>792</v>
      </c>
      <c r="B901" s="189"/>
      <c r="C901" s="189" t="s">
        <v>783</v>
      </c>
      <c r="D901" s="189" t="s">
        <v>507</v>
      </c>
      <c r="E901" s="189" t="s">
        <v>791</v>
      </c>
      <c r="F901" s="189"/>
      <c r="G901" s="247">
        <v>500</v>
      </c>
      <c r="H901" s="247">
        <v>500</v>
      </c>
      <c r="I901" s="248">
        <f t="shared" si="95"/>
        <v>0</v>
      </c>
      <c r="J901" s="191">
        <v>500</v>
      </c>
      <c r="K901" s="247">
        <v>500</v>
      </c>
      <c r="L901" s="287">
        <f t="shared" si="96"/>
        <v>0</v>
      </c>
    </row>
    <row r="902" spans="1:12" ht="24" x14ac:dyDescent="0.2">
      <c r="A902" s="189" t="s">
        <v>1347</v>
      </c>
      <c r="B902" s="189"/>
      <c r="C902" s="189" t="s">
        <v>783</v>
      </c>
      <c r="D902" s="189" t="s">
        <v>507</v>
      </c>
      <c r="E902" s="189" t="s">
        <v>791</v>
      </c>
      <c r="F902" s="189" t="s">
        <v>535</v>
      </c>
      <c r="G902" s="247">
        <v>500</v>
      </c>
      <c r="H902" s="247">
        <v>500</v>
      </c>
      <c r="I902" s="248">
        <f t="shared" ref="I902:I948" si="100">H902-G902</f>
        <v>0</v>
      </c>
      <c r="J902" s="191">
        <v>500</v>
      </c>
      <c r="K902" s="247">
        <v>500</v>
      </c>
      <c r="L902" s="287">
        <f t="shared" ref="L902:L948" si="101">K902-J902</f>
        <v>0</v>
      </c>
    </row>
    <row r="903" spans="1:12" ht="24" x14ac:dyDescent="0.2">
      <c r="A903" s="189" t="s">
        <v>534</v>
      </c>
      <c r="B903" s="189"/>
      <c r="C903" s="189" t="s">
        <v>783</v>
      </c>
      <c r="D903" s="189" t="s">
        <v>507</v>
      </c>
      <c r="E903" s="189" t="s">
        <v>791</v>
      </c>
      <c r="F903" s="189" t="s">
        <v>529</v>
      </c>
      <c r="G903" s="247">
        <v>500</v>
      </c>
      <c r="H903" s="247">
        <v>500</v>
      </c>
      <c r="I903" s="248">
        <f t="shared" si="100"/>
        <v>0</v>
      </c>
      <c r="J903" s="191">
        <v>500</v>
      </c>
      <c r="K903" s="247">
        <v>500</v>
      </c>
      <c r="L903" s="287">
        <f t="shared" si="101"/>
        <v>0</v>
      </c>
    </row>
    <row r="904" spans="1:12" ht="48" x14ac:dyDescent="0.2">
      <c r="A904" s="189" t="s">
        <v>790</v>
      </c>
      <c r="B904" s="189"/>
      <c r="C904" s="189" t="s">
        <v>783</v>
      </c>
      <c r="D904" s="189" t="s">
        <v>507</v>
      </c>
      <c r="E904" s="189" t="s">
        <v>789</v>
      </c>
      <c r="F904" s="189"/>
      <c r="G904" s="247">
        <v>603</v>
      </c>
      <c r="H904" s="247">
        <v>603</v>
      </c>
      <c r="I904" s="248">
        <f t="shared" si="100"/>
        <v>0</v>
      </c>
      <c r="J904" s="191">
        <v>603</v>
      </c>
      <c r="K904" s="247">
        <v>603</v>
      </c>
      <c r="L904" s="287">
        <f t="shared" si="101"/>
        <v>0</v>
      </c>
    </row>
    <row r="905" spans="1:12" ht="24" x14ac:dyDescent="0.2">
      <c r="A905" s="189" t="s">
        <v>547</v>
      </c>
      <c r="B905" s="189"/>
      <c r="C905" s="189" t="s">
        <v>783</v>
      </c>
      <c r="D905" s="189" t="s">
        <v>507</v>
      </c>
      <c r="E905" s="189" t="s">
        <v>789</v>
      </c>
      <c r="F905" s="189" t="s">
        <v>519</v>
      </c>
      <c r="G905" s="247">
        <v>603</v>
      </c>
      <c r="H905" s="247">
        <v>603</v>
      </c>
      <c r="I905" s="248">
        <f t="shared" si="100"/>
        <v>0</v>
      </c>
      <c r="J905" s="191">
        <v>603</v>
      </c>
      <c r="K905" s="247">
        <v>603</v>
      </c>
      <c r="L905" s="287">
        <f t="shared" si="101"/>
        <v>0</v>
      </c>
    </row>
    <row r="906" spans="1:12" x14ac:dyDescent="0.2">
      <c r="A906" s="189" t="s">
        <v>546</v>
      </c>
      <c r="B906" s="189"/>
      <c r="C906" s="189" t="s">
        <v>783</v>
      </c>
      <c r="D906" s="189" t="s">
        <v>507</v>
      </c>
      <c r="E906" s="189" t="s">
        <v>789</v>
      </c>
      <c r="F906" s="189" t="s">
        <v>544</v>
      </c>
      <c r="G906" s="247">
        <v>603</v>
      </c>
      <c r="H906" s="247">
        <v>603</v>
      </c>
      <c r="I906" s="248">
        <f t="shared" si="100"/>
        <v>0</v>
      </c>
      <c r="J906" s="191">
        <v>603</v>
      </c>
      <c r="K906" s="247">
        <v>603</v>
      </c>
      <c r="L906" s="287">
        <f t="shared" si="101"/>
        <v>0</v>
      </c>
    </row>
    <row r="907" spans="1:12" ht="48" x14ac:dyDescent="0.2">
      <c r="A907" s="189" t="s">
        <v>788</v>
      </c>
      <c r="B907" s="189"/>
      <c r="C907" s="189" t="s">
        <v>783</v>
      </c>
      <c r="D907" s="189" t="s">
        <v>507</v>
      </c>
      <c r="E907" s="189" t="s">
        <v>787</v>
      </c>
      <c r="F907" s="189"/>
      <c r="G907" s="247">
        <v>250</v>
      </c>
      <c r="H907" s="247">
        <v>250</v>
      </c>
      <c r="I907" s="248">
        <f t="shared" si="100"/>
        <v>0</v>
      </c>
      <c r="J907" s="191">
        <v>250</v>
      </c>
      <c r="K907" s="247">
        <v>250</v>
      </c>
      <c r="L907" s="287">
        <f t="shared" si="101"/>
        <v>0</v>
      </c>
    </row>
    <row r="908" spans="1:12" ht="24" x14ac:dyDescent="0.2">
      <c r="A908" s="189" t="s">
        <v>1347</v>
      </c>
      <c r="B908" s="189"/>
      <c r="C908" s="189" t="s">
        <v>783</v>
      </c>
      <c r="D908" s="189" t="s">
        <v>507</v>
      </c>
      <c r="E908" s="189" t="s">
        <v>787</v>
      </c>
      <c r="F908" s="189" t="s">
        <v>535</v>
      </c>
      <c r="G908" s="247">
        <v>250</v>
      </c>
      <c r="H908" s="247">
        <v>250</v>
      </c>
      <c r="I908" s="248">
        <f t="shared" si="100"/>
        <v>0</v>
      </c>
      <c r="J908" s="191">
        <v>250</v>
      </c>
      <c r="K908" s="247">
        <v>250</v>
      </c>
      <c r="L908" s="287">
        <f t="shared" si="101"/>
        <v>0</v>
      </c>
    </row>
    <row r="909" spans="1:12" ht="24" x14ac:dyDescent="0.2">
      <c r="A909" s="189" t="s">
        <v>534</v>
      </c>
      <c r="B909" s="189"/>
      <c r="C909" s="189" t="s">
        <v>783</v>
      </c>
      <c r="D909" s="189" t="s">
        <v>507</v>
      </c>
      <c r="E909" s="189" t="s">
        <v>787</v>
      </c>
      <c r="F909" s="189" t="s">
        <v>529</v>
      </c>
      <c r="G909" s="247">
        <v>250</v>
      </c>
      <c r="H909" s="247">
        <v>250</v>
      </c>
      <c r="I909" s="248">
        <f t="shared" si="100"/>
        <v>0</v>
      </c>
      <c r="J909" s="191">
        <v>250</v>
      </c>
      <c r="K909" s="247">
        <v>250</v>
      </c>
      <c r="L909" s="287">
        <f t="shared" si="101"/>
        <v>0</v>
      </c>
    </row>
    <row r="910" spans="1:12" s="78" customFormat="1" x14ac:dyDescent="0.2">
      <c r="A910" s="185" t="s">
        <v>781</v>
      </c>
      <c r="B910" s="185"/>
      <c r="C910" s="185" t="s">
        <v>592</v>
      </c>
      <c r="D910" s="185"/>
      <c r="E910" s="185"/>
      <c r="F910" s="185"/>
      <c r="G910" s="245">
        <v>138920</v>
      </c>
      <c r="H910" s="245">
        <v>138920</v>
      </c>
      <c r="I910" s="246">
        <f t="shared" si="100"/>
        <v>0</v>
      </c>
      <c r="J910" s="187">
        <v>122400</v>
      </c>
      <c r="K910" s="245">
        <v>122400</v>
      </c>
      <c r="L910" s="286">
        <f t="shared" si="101"/>
        <v>0</v>
      </c>
    </row>
    <row r="911" spans="1:12" x14ac:dyDescent="0.2">
      <c r="A911" s="189" t="s">
        <v>780</v>
      </c>
      <c r="B911" s="189"/>
      <c r="C911" s="189" t="s">
        <v>592</v>
      </c>
      <c r="D911" s="189" t="s">
        <v>498</v>
      </c>
      <c r="E911" s="189"/>
      <c r="F911" s="189"/>
      <c r="G911" s="247">
        <v>138920</v>
      </c>
      <c r="H911" s="247">
        <v>138920</v>
      </c>
      <c r="I911" s="248">
        <f t="shared" si="100"/>
        <v>0</v>
      </c>
      <c r="J911" s="191">
        <v>122400</v>
      </c>
      <c r="K911" s="247">
        <v>122400</v>
      </c>
      <c r="L911" s="287">
        <f t="shared" si="101"/>
        <v>0</v>
      </c>
    </row>
    <row r="912" spans="1:12" ht="24" x14ac:dyDescent="0.2">
      <c r="A912" s="189" t="s">
        <v>604</v>
      </c>
      <c r="B912" s="189"/>
      <c r="C912" s="189" t="s">
        <v>592</v>
      </c>
      <c r="D912" s="189" t="s">
        <v>498</v>
      </c>
      <c r="E912" s="189" t="s">
        <v>603</v>
      </c>
      <c r="F912" s="189"/>
      <c r="G912" s="247">
        <v>138920</v>
      </c>
      <c r="H912" s="247">
        <v>138920</v>
      </c>
      <c r="I912" s="248">
        <f t="shared" si="100"/>
        <v>0</v>
      </c>
      <c r="J912" s="191">
        <v>122400</v>
      </c>
      <c r="K912" s="247">
        <v>122400</v>
      </c>
      <c r="L912" s="287">
        <f t="shared" si="101"/>
        <v>0</v>
      </c>
    </row>
    <row r="913" spans="1:12" x14ac:dyDescent="0.2">
      <c r="A913" s="189" t="s">
        <v>779</v>
      </c>
      <c r="B913" s="189"/>
      <c r="C913" s="189" t="s">
        <v>592</v>
      </c>
      <c r="D913" s="189" t="s">
        <v>498</v>
      </c>
      <c r="E913" s="189" t="s">
        <v>778</v>
      </c>
      <c r="F913" s="189"/>
      <c r="G913" s="247">
        <v>138920</v>
      </c>
      <c r="H913" s="247">
        <v>138920</v>
      </c>
      <c r="I913" s="248">
        <f t="shared" si="100"/>
        <v>0</v>
      </c>
      <c r="J913" s="191">
        <v>122400</v>
      </c>
      <c r="K913" s="247">
        <v>122400</v>
      </c>
      <c r="L913" s="287">
        <f t="shared" si="101"/>
        <v>0</v>
      </c>
    </row>
    <row r="914" spans="1:12" x14ac:dyDescent="0.2">
      <c r="A914" s="189" t="s">
        <v>777</v>
      </c>
      <c r="B914" s="189"/>
      <c r="C914" s="189" t="s">
        <v>592</v>
      </c>
      <c r="D914" s="189" t="s">
        <v>498</v>
      </c>
      <c r="E914" s="189" t="s">
        <v>776</v>
      </c>
      <c r="F914" s="189"/>
      <c r="G914" s="247">
        <v>138920</v>
      </c>
      <c r="H914" s="247">
        <v>138920</v>
      </c>
      <c r="I914" s="248">
        <f t="shared" si="100"/>
        <v>0</v>
      </c>
      <c r="J914" s="191">
        <v>122400</v>
      </c>
      <c r="K914" s="247">
        <v>122400</v>
      </c>
      <c r="L914" s="287">
        <f t="shared" si="101"/>
        <v>0</v>
      </c>
    </row>
    <row r="915" spans="1:12" x14ac:dyDescent="0.2">
      <c r="A915" s="189" t="s">
        <v>774</v>
      </c>
      <c r="B915" s="189"/>
      <c r="C915" s="189" t="s">
        <v>592</v>
      </c>
      <c r="D915" s="189" t="s">
        <v>498</v>
      </c>
      <c r="E915" s="189" t="s">
        <v>773</v>
      </c>
      <c r="F915" s="189"/>
      <c r="G915" s="247">
        <v>138920</v>
      </c>
      <c r="H915" s="247">
        <v>138920</v>
      </c>
      <c r="I915" s="248">
        <f t="shared" si="100"/>
        <v>0</v>
      </c>
      <c r="J915" s="191">
        <v>122400</v>
      </c>
      <c r="K915" s="247">
        <v>122400</v>
      </c>
      <c r="L915" s="287">
        <f t="shared" si="101"/>
        <v>0</v>
      </c>
    </row>
    <row r="916" spans="1:12" x14ac:dyDescent="0.2">
      <c r="A916" s="189" t="s">
        <v>775</v>
      </c>
      <c r="B916" s="189"/>
      <c r="C916" s="189" t="s">
        <v>592</v>
      </c>
      <c r="D916" s="189" t="s">
        <v>498</v>
      </c>
      <c r="E916" s="189" t="s">
        <v>773</v>
      </c>
      <c r="F916" s="189" t="s">
        <v>504</v>
      </c>
      <c r="G916" s="247">
        <v>138920</v>
      </c>
      <c r="H916" s="247">
        <v>138920</v>
      </c>
      <c r="I916" s="248">
        <f t="shared" si="100"/>
        <v>0</v>
      </c>
      <c r="J916" s="191">
        <v>122400</v>
      </c>
      <c r="K916" s="247">
        <v>122400</v>
      </c>
      <c r="L916" s="287">
        <f t="shared" si="101"/>
        <v>0</v>
      </c>
    </row>
    <row r="917" spans="1:12" x14ac:dyDescent="0.2">
      <c r="A917" s="189" t="s">
        <v>774</v>
      </c>
      <c r="B917" s="189"/>
      <c r="C917" s="189" t="s">
        <v>592</v>
      </c>
      <c r="D917" s="189" t="s">
        <v>498</v>
      </c>
      <c r="E917" s="189" t="s">
        <v>773</v>
      </c>
      <c r="F917" s="189" t="s">
        <v>772</v>
      </c>
      <c r="G917" s="247">
        <v>138920</v>
      </c>
      <c r="H917" s="247">
        <v>138920</v>
      </c>
      <c r="I917" s="248">
        <f t="shared" si="100"/>
        <v>0</v>
      </c>
      <c r="J917" s="191">
        <v>122400</v>
      </c>
      <c r="K917" s="247">
        <v>122400</v>
      </c>
      <c r="L917" s="287">
        <f t="shared" si="101"/>
        <v>0</v>
      </c>
    </row>
    <row r="918" spans="1:12" x14ac:dyDescent="0.2">
      <c r="A918" s="181" t="s">
        <v>1362</v>
      </c>
      <c r="B918" s="181" t="s">
        <v>766</v>
      </c>
      <c r="C918" s="181"/>
      <c r="D918" s="181"/>
      <c r="E918" s="181"/>
      <c r="F918" s="181"/>
      <c r="G918" s="243">
        <f>G919</f>
        <v>25494.799999999999</v>
      </c>
      <c r="H918" s="243">
        <f>H919</f>
        <v>25494.799999999999</v>
      </c>
      <c r="I918" s="244">
        <f t="shared" si="100"/>
        <v>0</v>
      </c>
      <c r="J918" s="183">
        <f t="shared" ref="J918:K920" si="102">J919</f>
        <v>22909.8</v>
      </c>
      <c r="K918" s="243">
        <f t="shared" si="102"/>
        <v>22909.8</v>
      </c>
      <c r="L918" s="288">
        <f t="shared" si="101"/>
        <v>0</v>
      </c>
    </row>
    <row r="919" spans="1:12" s="78" customFormat="1" x14ac:dyDescent="0.2">
      <c r="A919" s="185" t="s">
        <v>606</v>
      </c>
      <c r="B919" s="185"/>
      <c r="C919" s="185" t="s">
        <v>498</v>
      </c>
      <c r="D919" s="185"/>
      <c r="E919" s="185"/>
      <c r="F919" s="185"/>
      <c r="G919" s="245">
        <v>25494.799999999999</v>
      </c>
      <c r="H919" s="245">
        <v>25494.799999999999</v>
      </c>
      <c r="I919" s="246">
        <f t="shared" si="100"/>
        <v>0</v>
      </c>
      <c r="J919" s="187">
        <f t="shared" si="102"/>
        <v>22909.8</v>
      </c>
      <c r="K919" s="245">
        <f t="shared" si="102"/>
        <v>22909.8</v>
      </c>
      <c r="L919" s="286">
        <f t="shared" si="101"/>
        <v>0</v>
      </c>
    </row>
    <row r="920" spans="1:12" ht="36" x14ac:dyDescent="0.2">
      <c r="A920" s="189" t="s">
        <v>771</v>
      </c>
      <c r="B920" s="189"/>
      <c r="C920" s="189" t="s">
        <v>498</v>
      </c>
      <c r="D920" s="189" t="s">
        <v>531</v>
      </c>
      <c r="E920" s="189"/>
      <c r="F920" s="189"/>
      <c r="G920" s="247">
        <v>25494.799999999999</v>
      </c>
      <c r="H920" s="247">
        <v>25494.799999999999</v>
      </c>
      <c r="I920" s="248">
        <f t="shared" si="100"/>
        <v>0</v>
      </c>
      <c r="J920" s="191">
        <f t="shared" si="102"/>
        <v>22909.8</v>
      </c>
      <c r="K920" s="247">
        <f t="shared" si="102"/>
        <v>22909.8</v>
      </c>
      <c r="L920" s="287">
        <f t="shared" si="101"/>
        <v>0</v>
      </c>
    </row>
    <row r="921" spans="1:12" ht="24" x14ac:dyDescent="0.2">
      <c r="A921" s="189" t="s">
        <v>757</v>
      </c>
      <c r="B921" s="189"/>
      <c r="C921" s="189" t="s">
        <v>498</v>
      </c>
      <c r="D921" s="189" t="s">
        <v>531</v>
      </c>
      <c r="E921" s="189" t="s">
        <v>756</v>
      </c>
      <c r="F921" s="189"/>
      <c r="G921" s="247">
        <v>25494.799999999999</v>
      </c>
      <c r="H921" s="247">
        <v>25494.799999999999</v>
      </c>
      <c r="I921" s="248">
        <f t="shared" si="100"/>
        <v>0</v>
      </c>
      <c r="J921" s="191">
        <f>J922+J925+J928</f>
        <v>22909.8</v>
      </c>
      <c r="K921" s="247">
        <f>K922+K925+K928</f>
        <v>22909.8</v>
      </c>
      <c r="L921" s="287">
        <f t="shared" si="101"/>
        <v>0</v>
      </c>
    </row>
    <row r="922" spans="1:12" x14ac:dyDescent="0.2">
      <c r="A922" s="189" t="s">
        <v>770</v>
      </c>
      <c r="B922" s="189"/>
      <c r="C922" s="189" t="s">
        <v>498</v>
      </c>
      <c r="D922" s="189" t="s">
        <v>531</v>
      </c>
      <c r="E922" s="189" t="s">
        <v>769</v>
      </c>
      <c r="F922" s="189"/>
      <c r="G922" s="247">
        <v>3513.8</v>
      </c>
      <c r="H922" s="247">
        <v>3513.8</v>
      </c>
      <c r="I922" s="248">
        <f t="shared" si="100"/>
        <v>0</v>
      </c>
      <c r="J922" s="191">
        <f>J923</f>
        <v>3158.8</v>
      </c>
      <c r="K922" s="247">
        <f>K923</f>
        <v>3158.8</v>
      </c>
      <c r="L922" s="287">
        <f t="shared" si="101"/>
        <v>0</v>
      </c>
    </row>
    <row r="923" spans="1:12" ht="36" x14ac:dyDescent="0.2">
      <c r="A923" s="189" t="s">
        <v>1348</v>
      </c>
      <c r="B923" s="189"/>
      <c r="C923" s="189" t="s">
        <v>498</v>
      </c>
      <c r="D923" s="189" t="s">
        <v>531</v>
      </c>
      <c r="E923" s="189" t="s">
        <v>769</v>
      </c>
      <c r="F923" s="189" t="s">
        <v>556</v>
      </c>
      <c r="G923" s="247">
        <v>3513.8</v>
      </c>
      <c r="H923" s="247">
        <v>3513.8</v>
      </c>
      <c r="I923" s="248">
        <f t="shared" si="100"/>
        <v>0</v>
      </c>
      <c r="J923" s="191">
        <f>J924</f>
        <v>3158.8</v>
      </c>
      <c r="K923" s="247">
        <f>K924</f>
        <v>3158.8</v>
      </c>
      <c r="L923" s="287">
        <f t="shared" si="101"/>
        <v>0</v>
      </c>
    </row>
    <row r="924" spans="1:12" x14ac:dyDescent="0.2">
      <c r="A924" s="189" t="s">
        <v>749</v>
      </c>
      <c r="B924" s="189"/>
      <c r="C924" s="189" t="s">
        <v>498</v>
      </c>
      <c r="D924" s="189" t="s">
        <v>531</v>
      </c>
      <c r="E924" s="189" t="s">
        <v>769</v>
      </c>
      <c r="F924" s="189" t="s">
        <v>745</v>
      </c>
      <c r="G924" s="247">
        <v>3513.8</v>
      </c>
      <c r="H924" s="247">
        <v>3513.8</v>
      </c>
      <c r="I924" s="248">
        <f t="shared" si="100"/>
        <v>0</v>
      </c>
      <c r="J924" s="191">
        <f>3513.8-355</f>
        <v>3158.8</v>
      </c>
      <c r="K924" s="247">
        <f>3513.8-355</f>
        <v>3158.8</v>
      </c>
      <c r="L924" s="287">
        <f t="shared" si="101"/>
        <v>0</v>
      </c>
    </row>
    <row r="925" spans="1:12" ht="36" x14ac:dyDescent="0.2">
      <c r="A925" s="189" t="s">
        <v>1343</v>
      </c>
      <c r="B925" s="189"/>
      <c r="C925" s="189" t="s">
        <v>498</v>
      </c>
      <c r="D925" s="189" t="s">
        <v>531</v>
      </c>
      <c r="E925" s="189" t="s">
        <v>768</v>
      </c>
      <c r="F925" s="189"/>
      <c r="G925" s="247">
        <v>2993</v>
      </c>
      <c r="H925" s="247">
        <v>2993</v>
      </c>
      <c r="I925" s="248">
        <f t="shared" si="100"/>
        <v>0</v>
      </c>
      <c r="J925" s="191">
        <f>J926</f>
        <v>2638</v>
      </c>
      <c r="K925" s="247">
        <f>K926</f>
        <v>2638</v>
      </c>
      <c r="L925" s="287">
        <f t="shared" si="101"/>
        <v>0</v>
      </c>
    </row>
    <row r="926" spans="1:12" ht="36" x14ac:dyDescent="0.2">
      <c r="A926" s="189" t="s">
        <v>1348</v>
      </c>
      <c r="B926" s="189"/>
      <c r="C926" s="189" t="s">
        <v>498</v>
      </c>
      <c r="D926" s="189" t="s">
        <v>531</v>
      </c>
      <c r="E926" s="189" t="s">
        <v>768</v>
      </c>
      <c r="F926" s="189" t="s">
        <v>556</v>
      </c>
      <c r="G926" s="247">
        <v>2993</v>
      </c>
      <c r="H926" s="247">
        <v>2993</v>
      </c>
      <c r="I926" s="248">
        <f t="shared" si="100"/>
        <v>0</v>
      </c>
      <c r="J926" s="191">
        <f>J927</f>
        <v>2638</v>
      </c>
      <c r="K926" s="247">
        <f>K927</f>
        <v>2638</v>
      </c>
      <c r="L926" s="287">
        <f t="shared" si="101"/>
        <v>0</v>
      </c>
    </row>
    <row r="927" spans="1:12" x14ac:dyDescent="0.2">
      <c r="A927" s="189" t="s">
        <v>749</v>
      </c>
      <c r="B927" s="189"/>
      <c r="C927" s="189" t="s">
        <v>498</v>
      </c>
      <c r="D927" s="189" t="s">
        <v>531</v>
      </c>
      <c r="E927" s="189" t="s">
        <v>768</v>
      </c>
      <c r="F927" s="189" t="s">
        <v>745</v>
      </c>
      <c r="G927" s="247">
        <v>2993</v>
      </c>
      <c r="H927" s="247">
        <v>2993</v>
      </c>
      <c r="I927" s="248">
        <f t="shared" si="100"/>
        <v>0</v>
      </c>
      <c r="J927" s="191">
        <f>2993-355</f>
        <v>2638</v>
      </c>
      <c r="K927" s="247">
        <f>2993-355</f>
        <v>2638</v>
      </c>
      <c r="L927" s="287">
        <f t="shared" si="101"/>
        <v>0</v>
      </c>
    </row>
    <row r="928" spans="1:12" ht="24" x14ac:dyDescent="0.2">
      <c r="A928" s="189" t="s">
        <v>767</v>
      </c>
      <c r="B928" s="189"/>
      <c r="C928" s="189" t="s">
        <v>498</v>
      </c>
      <c r="D928" s="189" t="s">
        <v>531</v>
      </c>
      <c r="E928" s="189" t="s">
        <v>765</v>
      </c>
      <c r="F928" s="189"/>
      <c r="G928" s="247">
        <v>18988</v>
      </c>
      <c r="H928" s="247">
        <v>18988</v>
      </c>
      <c r="I928" s="248">
        <f t="shared" si="100"/>
        <v>0</v>
      </c>
      <c r="J928" s="191">
        <f>J929+J931+J933</f>
        <v>17113</v>
      </c>
      <c r="K928" s="247">
        <f>K929+K931+K933</f>
        <v>17113</v>
      </c>
      <c r="L928" s="287">
        <f t="shared" si="101"/>
        <v>0</v>
      </c>
    </row>
    <row r="929" spans="1:12" ht="36" x14ac:dyDescent="0.2">
      <c r="A929" s="189" t="s">
        <v>1348</v>
      </c>
      <c r="B929" s="189"/>
      <c r="C929" s="189" t="s">
        <v>498</v>
      </c>
      <c r="D929" s="189" t="s">
        <v>531</v>
      </c>
      <c r="E929" s="189" t="s">
        <v>765</v>
      </c>
      <c r="F929" s="189" t="s">
        <v>556</v>
      </c>
      <c r="G929" s="247">
        <v>10856.1</v>
      </c>
      <c r="H929" s="247">
        <v>10856.1</v>
      </c>
      <c r="I929" s="248">
        <f t="shared" si="100"/>
        <v>0</v>
      </c>
      <c r="J929" s="191">
        <f>J930</f>
        <v>8981.1</v>
      </c>
      <c r="K929" s="247">
        <f>K930</f>
        <v>8981.1</v>
      </c>
      <c r="L929" s="287">
        <f t="shared" si="101"/>
        <v>0</v>
      </c>
    </row>
    <row r="930" spans="1:12" x14ac:dyDescent="0.2">
      <c r="A930" s="189" t="s">
        <v>749</v>
      </c>
      <c r="B930" s="189"/>
      <c r="C930" s="189" t="s">
        <v>498</v>
      </c>
      <c r="D930" s="189" t="s">
        <v>531</v>
      </c>
      <c r="E930" s="189" t="s">
        <v>765</v>
      </c>
      <c r="F930" s="189" t="s">
        <v>745</v>
      </c>
      <c r="G930" s="247">
        <v>10856.1</v>
      </c>
      <c r="H930" s="247">
        <v>10856.1</v>
      </c>
      <c r="I930" s="248">
        <f t="shared" si="100"/>
        <v>0</v>
      </c>
      <c r="J930" s="191">
        <f>10856.1-1875</f>
        <v>8981.1</v>
      </c>
      <c r="K930" s="247">
        <f>10856.1-1875</f>
        <v>8981.1</v>
      </c>
      <c r="L930" s="287">
        <f t="shared" si="101"/>
        <v>0</v>
      </c>
    </row>
    <row r="931" spans="1:12" ht="24" x14ac:dyDescent="0.2">
      <c r="A931" s="189" t="s">
        <v>1347</v>
      </c>
      <c r="B931" s="189"/>
      <c r="C931" s="189" t="s">
        <v>498</v>
      </c>
      <c r="D931" s="189" t="s">
        <v>531</v>
      </c>
      <c r="E931" s="189" t="s">
        <v>765</v>
      </c>
      <c r="F931" s="189" t="s">
        <v>535</v>
      </c>
      <c r="G931" s="247">
        <v>8081.9</v>
      </c>
      <c r="H931" s="247">
        <v>8081.9</v>
      </c>
      <c r="I931" s="248">
        <f t="shared" si="100"/>
        <v>0</v>
      </c>
      <c r="J931" s="191">
        <v>8081.9</v>
      </c>
      <c r="K931" s="247">
        <v>8081.9</v>
      </c>
      <c r="L931" s="287">
        <f t="shared" si="101"/>
        <v>0</v>
      </c>
    </row>
    <row r="932" spans="1:12" ht="24" x14ac:dyDescent="0.2">
      <c r="A932" s="189" t="s">
        <v>534</v>
      </c>
      <c r="B932" s="189"/>
      <c r="C932" s="189" t="s">
        <v>498</v>
      </c>
      <c r="D932" s="189" t="s">
        <v>531</v>
      </c>
      <c r="E932" s="189" t="s">
        <v>765</v>
      </c>
      <c r="F932" s="189" t="s">
        <v>529</v>
      </c>
      <c r="G932" s="247">
        <v>8081.9</v>
      </c>
      <c r="H932" s="247">
        <v>8081.9</v>
      </c>
      <c r="I932" s="248">
        <f t="shared" si="100"/>
        <v>0</v>
      </c>
      <c r="J932" s="191">
        <v>8081.9</v>
      </c>
      <c r="K932" s="247">
        <v>8081.9</v>
      </c>
      <c r="L932" s="287">
        <f t="shared" si="101"/>
        <v>0</v>
      </c>
    </row>
    <row r="933" spans="1:12" x14ac:dyDescent="0.2">
      <c r="A933" s="189" t="s">
        <v>615</v>
      </c>
      <c r="B933" s="189"/>
      <c r="C933" s="189" t="s">
        <v>498</v>
      </c>
      <c r="D933" s="189" t="s">
        <v>531</v>
      </c>
      <c r="E933" s="189" t="s">
        <v>765</v>
      </c>
      <c r="F933" s="189" t="s">
        <v>509</v>
      </c>
      <c r="G933" s="247">
        <v>50</v>
      </c>
      <c r="H933" s="247">
        <v>50</v>
      </c>
      <c r="I933" s="248">
        <f t="shared" si="100"/>
        <v>0</v>
      </c>
      <c r="J933" s="191">
        <v>50</v>
      </c>
      <c r="K933" s="247">
        <v>50</v>
      </c>
      <c r="L933" s="287">
        <f t="shared" si="101"/>
        <v>0</v>
      </c>
    </row>
    <row r="934" spans="1:12" x14ac:dyDescent="0.2">
      <c r="A934" s="189" t="s">
        <v>614</v>
      </c>
      <c r="B934" s="189"/>
      <c r="C934" s="189" t="s">
        <v>498</v>
      </c>
      <c r="D934" s="189" t="s">
        <v>531</v>
      </c>
      <c r="E934" s="189" t="s">
        <v>765</v>
      </c>
      <c r="F934" s="189" t="s">
        <v>613</v>
      </c>
      <c r="G934" s="247">
        <v>50</v>
      </c>
      <c r="H934" s="247">
        <v>50</v>
      </c>
      <c r="I934" s="248">
        <f t="shared" si="100"/>
        <v>0</v>
      </c>
      <c r="J934" s="191">
        <v>50</v>
      </c>
      <c r="K934" s="247">
        <v>50</v>
      </c>
      <c r="L934" s="287">
        <f t="shared" si="101"/>
        <v>0</v>
      </c>
    </row>
    <row r="935" spans="1:12" x14ac:dyDescent="0.2">
      <c r="A935" s="181" t="s">
        <v>764</v>
      </c>
      <c r="B935" s="181" t="s">
        <v>760</v>
      </c>
      <c r="C935" s="181"/>
      <c r="D935" s="181"/>
      <c r="E935" s="181"/>
      <c r="F935" s="181"/>
      <c r="G935" s="243">
        <f>G936</f>
        <v>41320</v>
      </c>
      <c r="H935" s="243">
        <f>H936</f>
        <v>41320</v>
      </c>
      <c r="I935" s="244">
        <f t="shared" si="100"/>
        <v>0</v>
      </c>
      <c r="J935" s="183">
        <f>J936</f>
        <v>35270</v>
      </c>
      <c r="K935" s="243">
        <f>K936</f>
        <v>35270</v>
      </c>
      <c r="L935" s="288">
        <f t="shared" si="101"/>
        <v>0</v>
      </c>
    </row>
    <row r="936" spans="1:12" s="78" customFormat="1" x14ac:dyDescent="0.2">
      <c r="A936" s="185" t="s">
        <v>606</v>
      </c>
      <c r="B936" s="185"/>
      <c r="C936" s="185" t="s">
        <v>498</v>
      </c>
      <c r="D936" s="185"/>
      <c r="E936" s="185"/>
      <c r="F936" s="185"/>
      <c r="G936" s="245">
        <f>G937</f>
        <v>41320</v>
      </c>
      <c r="H936" s="245">
        <f>H937</f>
        <v>41320</v>
      </c>
      <c r="I936" s="246">
        <f t="shared" si="100"/>
        <v>0</v>
      </c>
      <c r="J936" s="187">
        <f t="shared" ref="J936:K936" si="103">J937</f>
        <v>35270</v>
      </c>
      <c r="K936" s="245">
        <f t="shared" si="103"/>
        <v>35270</v>
      </c>
      <c r="L936" s="286">
        <f t="shared" si="101"/>
        <v>0</v>
      </c>
    </row>
    <row r="937" spans="1:12" ht="24" x14ac:dyDescent="0.2">
      <c r="A937" s="189" t="s">
        <v>758</v>
      </c>
      <c r="B937" s="189"/>
      <c r="C937" s="189" t="s">
        <v>498</v>
      </c>
      <c r="D937" s="189" t="s">
        <v>747</v>
      </c>
      <c r="E937" s="189"/>
      <c r="F937" s="189"/>
      <c r="G937" s="247">
        <v>41320</v>
      </c>
      <c r="H937" s="247">
        <v>41320</v>
      </c>
      <c r="I937" s="248">
        <f t="shared" si="100"/>
        <v>0</v>
      </c>
      <c r="J937" s="191">
        <f t="shared" ref="J937:K940" si="104">J938</f>
        <v>35270</v>
      </c>
      <c r="K937" s="247">
        <f t="shared" si="104"/>
        <v>35270</v>
      </c>
      <c r="L937" s="287">
        <f t="shared" si="101"/>
        <v>0</v>
      </c>
    </row>
    <row r="938" spans="1:12" ht="24" x14ac:dyDescent="0.2">
      <c r="A938" s="189" t="s">
        <v>604</v>
      </c>
      <c r="B938" s="189"/>
      <c r="C938" s="189" t="s">
        <v>498</v>
      </c>
      <c r="D938" s="189" t="s">
        <v>747</v>
      </c>
      <c r="E938" s="189" t="s">
        <v>603</v>
      </c>
      <c r="F938" s="189"/>
      <c r="G938" s="247">
        <v>41320</v>
      </c>
      <c r="H938" s="247">
        <v>41320</v>
      </c>
      <c r="I938" s="248">
        <f t="shared" si="100"/>
        <v>0</v>
      </c>
      <c r="J938" s="191">
        <f t="shared" si="104"/>
        <v>35270</v>
      </c>
      <c r="K938" s="247">
        <f t="shared" si="104"/>
        <v>35270</v>
      </c>
      <c r="L938" s="287">
        <f t="shared" si="101"/>
        <v>0</v>
      </c>
    </row>
    <row r="939" spans="1:12" x14ac:dyDescent="0.2">
      <c r="A939" s="189" t="s">
        <v>602</v>
      </c>
      <c r="B939" s="189"/>
      <c r="C939" s="189" t="s">
        <v>498</v>
      </c>
      <c r="D939" s="189" t="s">
        <v>747</v>
      </c>
      <c r="E939" s="189" t="s">
        <v>601</v>
      </c>
      <c r="F939" s="189"/>
      <c r="G939" s="247">
        <v>41320</v>
      </c>
      <c r="H939" s="247">
        <v>41320</v>
      </c>
      <c r="I939" s="248">
        <f t="shared" si="100"/>
        <v>0</v>
      </c>
      <c r="J939" s="191">
        <f t="shared" si="104"/>
        <v>35270</v>
      </c>
      <c r="K939" s="247">
        <f t="shared" si="104"/>
        <v>35270</v>
      </c>
      <c r="L939" s="287">
        <f t="shared" si="101"/>
        <v>0</v>
      </c>
    </row>
    <row r="940" spans="1:12" ht="24" x14ac:dyDescent="0.2">
      <c r="A940" s="189" t="s">
        <v>600</v>
      </c>
      <c r="B940" s="189"/>
      <c r="C940" s="189" t="s">
        <v>498</v>
      </c>
      <c r="D940" s="189" t="s">
        <v>747</v>
      </c>
      <c r="E940" s="189" t="s">
        <v>599</v>
      </c>
      <c r="F940" s="189"/>
      <c r="G940" s="247">
        <v>41320</v>
      </c>
      <c r="H940" s="247">
        <v>41320</v>
      </c>
      <c r="I940" s="248">
        <f t="shared" si="100"/>
        <v>0</v>
      </c>
      <c r="J940" s="191">
        <f t="shared" si="104"/>
        <v>35270</v>
      </c>
      <c r="K940" s="247">
        <f t="shared" si="104"/>
        <v>35270</v>
      </c>
      <c r="L940" s="287">
        <f t="shared" si="101"/>
        <v>0</v>
      </c>
    </row>
    <row r="941" spans="1:12" x14ac:dyDescent="0.2">
      <c r="A941" s="189" t="s">
        <v>763</v>
      </c>
      <c r="B941" s="189"/>
      <c r="C941" s="189" t="s">
        <v>498</v>
      </c>
      <c r="D941" s="189" t="s">
        <v>747</v>
      </c>
      <c r="E941" s="189" t="s">
        <v>762</v>
      </c>
      <c r="F941" s="189"/>
      <c r="G941" s="247">
        <v>41320</v>
      </c>
      <c r="H941" s="247">
        <v>41320</v>
      </c>
      <c r="I941" s="248">
        <f t="shared" si="100"/>
        <v>0</v>
      </c>
      <c r="J941" s="191">
        <f>J942+J944+J946</f>
        <v>35270</v>
      </c>
      <c r="K941" s="247">
        <f>K942+K944+K946</f>
        <v>35270</v>
      </c>
      <c r="L941" s="287">
        <f t="shared" si="101"/>
        <v>0</v>
      </c>
    </row>
    <row r="942" spans="1:12" ht="36" x14ac:dyDescent="0.2">
      <c r="A942" s="189" t="s">
        <v>1348</v>
      </c>
      <c r="B942" s="189"/>
      <c r="C942" s="189" t="s">
        <v>498</v>
      </c>
      <c r="D942" s="189" t="s">
        <v>747</v>
      </c>
      <c r="E942" s="189" t="s">
        <v>762</v>
      </c>
      <c r="F942" s="189" t="s">
        <v>556</v>
      </c>
      <c r="G942" s="247">
        <v>34919.599999999999</v>
      </c>
      <c r="H942" s="247">
        <v>34919.599999999999</v>
      </c>
      <c r="I942" s="248">
        <f t="shared" si="100"/>
        <v>0</v>
      </c>
      <c r="J942" s="191">
        <f>J943</f>
        <v>28869.599999999999</v>
      </c>
      <c r="K942" s="247">
        <f>K943</f>
        <v>28869.599999999999</v>
      </c>
      <c r="L942" s="287">
        <f t="shared" si="101"/>
        <v>0</v>
      </c>
    </row>
    <row r="943" spans="1:12" x14ac:dyDescent="0.2">
      <c r="A943" s="189" t="s">
        <v>749</v>
      </c>
      <c r="B943" s="189"/>
      <c r="C943" s="189" t="s">
        <v>498</v>
      </c>
      <c r="D943" s="189" t="s">
        <v>747</v>
      </c>
      <c r="E943" s="189" t="s">
        <v>762</v>
      </c>
      <c r="F943" s="189" t="s">
        <v>745</v>
      </c>
      <c r="G943" s="247">
        <v>34919.599999999999</v>
      </c>
      <c r="H943" s="247">
        <v>34919.599999999999</v>
      </c>
      <c r="I943" s="248">
        <f t="shared" si="100"/>
        <v>0</v>
      </c>
      <c r="J943" s="191">
        <f>34919.6-6050</f>
        <v>28869.599999999999</v>
      </c>
      <c r="K943" s="247">
        <f>34919.6-6050</f>
        <v>28869.599999999999</v>
      </c>
      <c r="L943" s="287">
        <f t="shared" si="101"/>
        <v>0</v>
      </c>
    </row>
    <row r="944" spans="1:12" ht="24" x14ac:dyDescent="0.2">
      <c r="A944" s="189" t="s">
        <v>1347</v>
      </c>
      <c r="B944" s="189"/>
      <c r="C944" s="189" t="s">
        <v>498</v>
      </c>
      <c r="D944" s="189" t="s">
        <v>747</v>
      </c>
      <c r="E944" s="189" t="s">
        <v>762</v>
      </c>
      <c r="F944" s="189" t="s">
        <v>535</v>
      </c>
      <c r="G944" s="247">
        <v>6370.4</v>
      </c>
      <c r="H944" s="247">
        <v>6370.4</v>
      </c>
      <c r="I944" s="248">
        <f t="shared" si="100"/>
        <v>0</v>
      </c>
      <c r="J944" s="191">
        <v>6370.4</v>
      </c>
      <c r="K944" s="247">
        <v>6370.4</v>
      </c>
      <c r="L944" s="287">
        <f t="shared" si="101"/>
        <v>0</v>
      </c>
    </row>
    <row r="945" spans="1:12" ht="24" x14ac:dyDescent="0.2">
      <c r="A945" s="189" t="s">
        <v>534</v>
      </c>
      <c r="B945" s="189"/>
      <c r="C945" s="189" t="s">
        <v>498</v>
      </c>
      <c r="D945" s="189" t="s">
        <v>747</v>
      </c>
      <c r="E945" s="189" t="s">
        <v>762</v>
      </c>
      <c r="F945" s="189" t="s">
        <v>529</v>
      </c>
      <c r="G945" s="247">
        <v>6370.4</v>
      </c>
      <c r="H945" s="247">
        <v>6370.4</v>
      </c>
      <c r="I945" s="248">
        <f t="shared" si="100"/>
        <v>0</v>
      </c>
      <c r="J945" s="191">
        <v>6370.4</v>
      </c>
      <c r="K945" s="247">
        <v>6370.4</v>
      </c>
      <c r="L945" s="287">
        <f t="shared" si="101"/>
        <v>0</v>
      </c>
    </row>
    <row r="946" spans="1:12" x14ac:dyDescent="0.2">
      <c r="A946" s="189" t="s">
        <v>615</v>
      </c>
      <c r="B946" s="189"/>
      <c r="C946" s="189" t="s">
        <v>498</v>
      </c>
      <c r="D946" s="189" t="s">
        <v>747</v>
      </c>
      <c r="E946" s="189" t="s">
        <v>762</v>
      </c>
      <c r="F946" s="189" t="s">
        <v>509</v>
      </c>
      <c r="G946" s="247">
        <v>30</v>
      </c>
      <c r="H946" s="247">
        <v>30</v>
      </c>
      <c r="I946" s="248">
        <f t="shared" si="100"/>
        <v>0</v>
      </c>
      <c r="J946" s="191">
        <v>30</v>
      </c>
      <c r="K946" s="247">
        <v>30</v>
      </c>
      <c r="L946" s="287">
        <f t="shared" si="101"/>
        <v>0</v>
      </c>
    </row>
    <row r="947" spans="1:12" x14ac:dyDescent="0.2">
      <c r="A947" s="189" t="s">
        <v>614</v>
      </c>
      <c r="B947" s="189"/>
      <c r="C947" s="189" t="s">
        <v>498</v>
      </c>
      <c r="D947" s="189" t="s">
        <v>747</v>
      </c>
      <c r="E947" s="189" t="s">
        <v>762</v>
      </c>
      <c r="F947" s="189" t="s">
        <v>613</v>
      </c>
      <c r="G947" s="247">
        <v>30</v>
      </c>
      <c r="H947" s="247">
        <v>30</v>
      </c>
      <c r="I947" s="248">
        <f t="shared" si="100"/>
        <v>0</v>
      </c>
      <c r="J947" s="191">
        <v>30</v>
      </c>
      <c r="K947" s="247">
        <v>30</v>
      </c>
      <c r="L947" s="287">
        <f t="shared" si="101"/>
        <v>0</v>
      </c>
    </row>
    <row r="948" spans="1:12" x14ac:dyDescent="0.2">
      <c r="A948" s="181" t="s">
        <v>1363</v>
      </c>
      <c r="B948" s="181" t="s">
        <v>748</v>
      </c>
      <c r="C948" s="181"/>
      <c r="D948" s="181"/>
      <c r="E948" s="181"/>
      <c r="F948" s="181"/>
      <c r="G948" s="243">
        <f>G949</f>
        <v>24480.5</v>
      </c>
      <c r="H948" s="243">
        <f>H949</f>
        <v>24480.5</v>
      </c>
      <c r="I948" s="244">
        <f t="shared" si="100"/>
        <v>0</v>
      </c>
      <c r="J948" s="183">
        <f t="shared" ref="J948:K950" si="105">J949</f>
        <v>20590</v>
      </c>
      <c r="K948" s="243">
        <f t="shared" si="105"/>
        <v>20590</v>
      </c>
      <c r="L948" s="288">
        <f t="shared" si="101"/>
        <v>0</v>
      </c>
    </row>
    <row r="949" spans="1:12" s="78" customFormat="1" x14ac:dyDescent="0.2">
      <c r="A949" s="185" t="s">
        <v>606</v>
      </c>
      <c r="B949" s="185"/>
      <c r="C949" s="185" t="s">
        <v>498</v>
      </c>
      <c r="D949" s="185"/>
      <c r="E949" s="185"/>
      <c r="F949" s="185"/>
      <c r="G949" s="245">
        <v>24480.5</v>
      </c>
      <c r="H949" s="245">
        <v>24480.5</v>
      </c>
      <c r="I949" s="246">
        <f t="shared" ref="I949:I1012" si="106">H949-G949</f>
        <v>0</v>
      </c>
      <c r="J949" s="187">
        <f t="shared" si="105"/>
        <v>20590</v>
      </c>
      <c r="K949" s="245">
        <f t="shared" si="105"/>
        <v>20590</v>
      </c>
      <c r="L949" s="286">
        <f t="shared" ref="L949:L1012" si="107">K949-J949</f>
        <v>0</v>
      </c>
    </row>
    <row r="950" spans="1:12" ht="24" x14ac:dyDescent="0.2">
      <c r="A950" s="189" t="s">
        <v>758</v>
      </c>
      <c r="B950" s="189"/>
      <c r="C950" s="189" t="s">
        <v>498</v>
      </c>
      <c r="D950" s="189" t="s">
        <v>747</v>
      </c>
      <c r="E950" s="189"/>
      <c r="F950" s="189"/>
      <c r="G950" s="247">
        <v>24480.5</v>
      </c>
      <c r="H950" s="247">
        <v>24480.5</v>
      </c>
      <c r="I950" s="248">
        <f t="shared" si="106"/>
        <v>0</v>
      </c>
      <c r="J950" s="191">
        <f t="shared" si="105"/>
        <v>20590</v>
      </c>
      <c r="K950" s="247">
        <f t="shared" si="105"/>
        <v>20590</v>
      </c>
      <c r="L950" s="287">
        <f t="shared" si="107"/>
        <v>0</v>
      </c>
    </row>
    <row r="951" spans="1:12" ht="24" x14ac:dyDescent="0.2">
      <c r="A951" s="189" t="s">
        <v>757</v>
      </c>
      <c r="B951" s="189"/>
      <c r="C951" s="189" t="s">
        <v>498</v>
      </c>
      <c r="D951" s="189" t="s">
        <v>747</v>
      </c>
      <c r="E951" s="189" t="s">
        <v>756</v>
      </c>
      <c r="F951" s="189"/>
      <c r="G951" s="247">
        <v>24480.5</v>
      </c>
      <c r="H951" s="247">
        <v>24480.5</v>
      </c>
      <c r="I951" s="248">
        <f t="shared" si="106"/>
        <v>0</v>
      </c>
      <c r="J951" s="191">
        <f>J952+J955+J962</f>
        <v>20590</v>
      </c>
      <c r="K951" s="247">
        <f>K952+K955+K962</f>
        <v>20590</v>
      </c>
      <c r="L951" s="287">
        <f t="shared" si="107"/>
        <v>0</v>
      </c>
    </row>
    <row r="952" spans="1:12" x14ac:dyDescent="0.2">
      <c r="A952" s="189" t="s">
        <v>755</v>
      </c>
      <c r="B952" s="189"/>
      <c r="C952" s="189" t="s">
        <v>498</v>
      </c>
      <c r="D952" s="189" t="s">
        <v>747</v>
      </c>
      <c r="E952" s="189" t="s">
        <v>754</v>
      </c>
      <c r="F952" s="189"/>
      <c r="G952" s="247">
        <v>3139.4</v>
      </c>
      <c r="H952" s="247">
        <v>3139.4</v>
      </c>
      <c r="I952" s="248">
        <f t="shared" si="106"/>
        <v>0</v>
      </c>
      <c r="J952" s="191">
        <v>3139.4</v>
      </c>
      <c r="K952" s="247">
        <v>3139.4</v>
      </c>
      <c r="L952" s="287">
        <f t="shared" si="107"/>
        <v>0</v>
      </c>
    </row>
    <row r="953" spans="1:12" ht="36" x14ac:dyDescent="0.2">
      <c r="A953" s="189" t="s">
        <v>1348</v>
      </c>
      <c r="B953" s="189"/>
      <c r="C953" s="189" t="s">
        <v>498</v>
      </c>
      <c r="D953" s="189" t="s">
        <v>747</v>
      </c>
      <c r="E953" s="189" t="s">
        <v>754</v>
      </c>
      <c r="F953" s="189" t="s">
        <v>556</v>
      </c>
      <c r="G953" s="247">
        <v>3139.4</v>
      </c>
      <c r="H953" s="247">
        <v>3139.4</v>
      </c>
      <c r="I953" s="248">
        <f t="shared" si="106"/>
        <v>0</v>
      </c>
      <c r="J953" s="191">
        <v>3139.4</v>
      </c>
      <c r="K953" s="247">
        <v>3139.4</v>
      </c>
      <c r="L953" s="287">
        <f t="shared" si="107"/>
        <v>0</v>
      </c>
    </row>
    <row r="954" spans="1:12" x14ac:dyDescent="0.2">
      <c r="A954" s="189" t="s">
        <v>749</v>
      </c>
      <c r="B954" s="189"/>
      <c r="C954" s="189" t="s">
        <v>498</v>
      </c>
      <c r="D954" s="189" t="s">
        <v>747</v>
      </c>
      <c r="E954" s="189" t="s">
        <v>754</v>
      </c>
      <c r="F954" s="189" t="s">
        <v>745</v>
      </c>
      <c r="G954" s="247">
        <v>3139.4</v>
      </c>
      <c r="H954" s="247">
        <v>3139.4</v>
      </c>
      <c r="I954" s="248">
        <f t="shared" si="106"/>
        <v>0</v>
      </c>
      <c r="J954" s="191">
        <v>3139.4</v>
      </c>
      <c r="K954" s="247">
        <v>3139.4</v>
      </c>
      <c r="L954" s="287">
        <f t="shared" si="107"/>
        <v>0</v>
      </c>
    </row>
    <row r="955" spans="1:12" x14ac:dyDescent="0.2">
      <c r="A955" s="189" t="s">
        <v>753</v>
      </c>
      <c r="B955" s="189"/>
      <c r="C955" s="189" t="s">
        <v>498</v>
      </c>
      <c r="D955" s="189" t="s">
        <v>747</v>
      </c>
      <c r="E955" s="189" t="s">
        <v>751</v>
      </c>
      <c r="F955" s="189"/>
      <c r="G955" s="247">
        <v>19533.900000000001</v>
      </c>
      <c r="H955" s="247">
        <v>19533.900000000001</v>
      </c>
      <c r="I955" s="248">
        <f t="shared" si="106"/>
        <v>0</v>
      </c>
      <c r="J955" s="191">
        <f>J956+J958+J960</f>
        <v>15982.8</v>
      </c>
      <c r="K955" s="247">
        <f>K956+K958+K960</f>
        <v>15982.8</v>
      </c>
      <c r="L955" s="287">
        <f t="shared" si="107"/>
        <v>0</v>
      </c>
    </row>
    <row r="956" spans="1:12" ht="36" x14ac:dyDescent="0.2">
      <c r="A956" s="189" t="s">
        <v>1348</v>
      </c>
      <c r="B956" s="189"/>
      <c r="C956" s="189" t="s">
        <v>498</v>
      </c>
      <c r="D956" s="189" t="s">
        <v>747</v>
      </c>
      <c r="E956" s="189" t="s">
        <v>751</v>
      </c>
      <c r="F956" s="189" t="s">
        <v>556</v>
      </c>
      <c r="G956" s="247">
        <v>16851.5</v>
      </c>
      <c r="H956" s="247">
        <v>16851.5</v>
      </c>
      <c r="I956" s="248">
        <f t="shared" si="106"/>
        <v>0</v>
      </c>
      <c r="J956" s="191">
        <f>J957</f>
        <v>13300.4</v>
      </c>
      <c r="K956" s="247">
        <f>K957</f>
        <v>13300.4</v>
      </c>
      <c r="L956" s="287">
        <f t="shared" si="107"/>
        <v>0</v>
      </c>
    </row>
    <row r="957" spans="1:12" x14ac:dyDescent="0.2">
      <c r="A957" s="189" t="s">
        <v>749</v>
      </c>
      <c r="B957" s="189"/>
      <c r="C957" s="189" t="s">
        <v>498</v>
      </c>
      <c r="D957" s="189" t="s">
        <v>747</v>
      </c>
      <c r="E957" s="189" t="s">
        <v>751</v>
      </c>
      <c r="F957" s="189" t="s">
        <v>745</v>
      </c>
      <c r="G957" s="247">
        <v>16851.5</v>
      </c>
      <c r="H957" s="247">
        <v>16851.5</v>
      </c>
      <c r="I957" s="248">
        <f t="shared" si="106"/>
        <v>0</v>
      </c>
      <c r="J957" s="191">
        <f>16851.5-3551.1</f>
        <v>13300.4</v>
      </c>
      <c r="K957" s="247">
        <f>16851.5-3551.1</f>
        <v>13300.4</v>
      </c>
      <c r="L957" s="287">
        <f t="shared" si="107"/>
        <v>0</v>
      </c>
    </row>
    <row r="958" spans="1:12" ht="24" x14ac:dyDescent="0.2">
      <c r="A958" s="189" t="s">
        <v>1347</v>
      </c>
      <c r="B958" s="189"/>
      <c r="C958" s="189" t="s">
        <v>498</v>
      </c>
      <c r="D958" s="189" t="s">
        <v>747</v>
      </c>
      <c r="E958" s="189" t="s">
        <v>751</v>
      </c>
      <c r="F958" s="189" t="s">
        <v>535</v>
      </c>
      <c r="G958" s="247">
        <v>2644.4</v>
      </c>
      <c r="H958" s="247">
        <v>2644.4</v>
      </c>
      <c r="I958" s="248">
        <f t="shared" si="106"/>
        <v>0</v>
      </c>
      <c r="J958" s="191">
        <v>2644.4</v>
      </c>
      <c r="K958" s="247">
        <v>2644.4</v>
      </c>
      <c r="L958" s="287">
        <f t="shared" si="107"/>
        <v>0</v>
      </c>
    </row>
    <row r="959" spans="1:12" ht="24" x14ac:dyDescent="0.2">
      <c r="A959" s="189" t="s">
        <v>534</v>
      </c>
      <c r="B959" s="189"/>
      <c r="C959" s="189" t="s">
        <v>498</v>
      </c>
      <c r="D959" s="189" t="s">
        <v>747</v>
      </c>
      <c r="E959" s="189" t="s">
        <v>751</v>
      </c>
      <c r="F959" s="189" t="s">
        <v>529</v>
      </c>
      <c r="G959" s="247">
        <v>2644.4</v>
      </c>
      <c r="H959" s="247">
        <v>2644.4</v>
      </c>
      <c r="I959" s="248">
        <f t="shared" si="106"/>
        <v>0</v>
      </c>
      <c r="J959" s="191">
        <v>2644.4</v>
      </c>
      <c r="K959" s="247">
        <v>2644.4</v>
      </c>
      <c r="L959" s="287">
        <f t="shared" si="107"/>
        <v>0</v>
      </c>
    </row>
    <row r="960" spans="1:12" x14ac:dyDescent="0.2">
      <c r="A960" s="189" t="s">
        <v>615</v>
      </c>
      <c r="B960" s="189"/>
      <c r="C960" s="189" t="s">
        <v>498</v>
      </c>
      <c r="D960" s="189" t="s">
        <v>747</v>
      </c>
      <c r="E960" s="189" t="s">
        <v>751</v>
      </c>
      <c r="F960" s="189" t="s">
        <v>509</v>
      </c>
      <c r="G960" s="247">
        <v>38</v>
      </c>
      <c r="H960" s="247">
        <v>38</v>
      </c>
      <c r="I960" s="248">
        <f t="shared" si="106"/>
        <v>0</v>
      </c>
      <c r="J960" s="191">
        <v>38</v>
      </c>
      <c r="K960" s="247">
        <v>38</v>
      </c>
      <c r="L960" s="287">
        <f t="shared" si="107"/>
        <v>0</v>
      </c>
    </row>
    <row r="961" spans="1:12" x14ac:dyDescent="0.2">
      <c r="A961" s="189" t="s">
        <v>752</v>
      </c>
      <c r="B961" s="189"/>
      <c r="C961" s="189" t="s">
        <v>498</v>
      </c>
      <c r="D961" s="189" t="s">
        <v>747</v>
      </c>
      <c r="E961" s="189" t="s">
        <v>751</v>
      </c>
      <c r="F961" s="189" t="s">
        <v>750</v>
      </c>
      <c r="G961" s="247">
        <v>38</v>
      </c>
      <c r="H961" s="247">
        <v>38</v>
      </c>
      <c r="I961" s="248">
        <f t="shared" si="106"/>
        <v>0</v>
      </c>
      <c r="J961" s="191">
        <v>38</v>
      </c>
      <c r="K961" s="247">
        <v>38</v>
      </c>
      <c r="L961" s="287">
        <f t="shared" si="107"/>
        <v>0</v>
      </c>
    </row>
    <row r="962" spans="1:12" ht="24" x14ac:dyDescent="0.2">
      <c r="A962" s="189" t="s">
        <v>1342</v>
      </c>
      <c r="B962" s="189"/>
      <c r="C962" s="189" t="s">
        <v>498</v>
      </c>
      <c r="D962" s="189" t="s">
        <v>747</v>
      </c>
      <c r="E962" s="189" t="s">
        <v>746</v>
      </c>
      <c r="F962" s="189"/>
      <c r="G962" s="247">
        <v>1807.2</v>
      </c>
      <c r="H962" s="247">
        <v>1807.2</v>
      </c>
      <c r="I962" s="248">
        <f t="shared" si="106"/>
        <v>0</v>
      </c>
      <c r="J962" s="191">
        <f>J963</f>
        <v>1467.8000000000002</v>
      </c>
      <c r="K962" s="247">
        <f>K963</f>
        <v>1467.8000000000002</v>
      </c>
      <c r="L962" s="287">
        <f t="shared" si="107"/>
        <v>0</v>
      </c>
    </row>
    <row r="963" spans="1:12" ht="36" x14ac:dyDescent="0.2">
      <c r="A963" s="189" t="s">
        <v>1348</v>
      </c>
      <c r="B963" s="189"/>
      <c r="C963" s="189" t="s">
        <v>498</v>
      </c>
      <c r="D963" s="189" t="s">
        <v>747</v>
      </c>
      <c r="E963" s="189" t="s">
        <v>746</v>
      </c>
      <c r="F963" s="189" t="s">
        <v>556</v>
      </c>
      <c r="G963" s="247">
        <v>1807.2</v>
      </c>
      <c r="H963" s="247">
        <v>1807.2</v>
      </c>
      <c r="I963" s="248">
        <f t="shared" si="106"/>
        <v>0</v>
      </c>
      <c r="J963" s="191">
        <f>J964</f>
        <v>1467.8000000000002</v>
      </c>
      <c r="K963" s="247">
        <f>K964</f>
        <v>1467.8000000000002</v>
      </c>
      <c r="L963" s="287">
        <f t="shared" si="107"/>
        <v>0</v>
      </c>
    </row>
    <row r="964" spans="1:12" x14ac:dyDescent="0.2">
      <c r="A964" s="189" t="s">
        <v>749</v>
      </c>
      <c r="B964" s="189"/>
      <c r="C964" s="189" t="s">
        <v>498</v>
      </c>
      <c r="D964" s="189" t="s">
        <v>747</v>
      </c>
      <c r="E964" s="189" t="s">
        <v>746</v>
      </c>
      <c r="F964" s="189" t="s">
        <v>745</v>
      </c>
      <c r="G964" s="247">
        <v>1807.2</v>
      </c>
      <c r="H964" s="247">
        <v>1807.2</v>
      </c>
      <c r="I964" s="248">
        <f t="shared" si="106"/>
        <v>0</v>
      </c>
      <c r="J964" s="191">
        <f>1807.2-339.4</f>
        <v>1467.8000000000002</v>
      </c>
      <c r="K964" s="247">
        <f>1807.2-339.4</f>
        <v>1467.8000000000002</v>
      </c>
      <c r="L964" s="287">
        <f t="shared" si="107"/>
        <v>0</v>
      </c>
    </row>
    <row r="965" spans="1:12" x14ac:dyDescent="0.2">
      <c r="A965" s="181" t="s">
        <v>744</v>
      </c>
      <c r="B965" s="181" t="s">
        <v>658</v>
      </c>
      <c r="C965" s="181"/>
      <c r="D965" s="181"/>
      <c r="E965" s="181"/>
      <c r="F965" s="181"/>
      <c r="G965" s="243">
        <f>G966+G981+G1007+G1135+0.1</f>
        <v>5621875.8999999994</v>
      </c>
      <c r="H965" s="243">
        <f>H966+H981+H1007+H1135+0.1</f>
        <v>5786871.8999999994</v>
      </c>
      <c r="I965" s="244">
        <f t="shared" si="106"/>
        <v>164996</v>
      </c>
      <c r="J965" s="183">
        <f>J966+J981+J1007+J1135</f>
        <v>5660859.0999999996</v>
      </c>
      <c r="K965" s="243">
        <f>K966+K981+K1007+K1135</f>
        <v>5825855.0999999996</v>
      </c>
      <c r="L965" s="288">
        <f t="shared" si="107"/>
        <v>164996</v>
      </c>
    </row>
    <row r="966" spans="1:12" s="78" customFormat="1" x14ac:dyDescent="0.2">
      <c r="A966" s="185" t="s">
        <v>606</v>
      </c>
      <c r="B966" s="185"/>
      <c r="C966" s="185" t="s">
        <v>498</v>
      </c>
      <c r="D966" s="185"/>
      <c r="E966" s="185"/>
      <c r="F966" s="185"/>
      <c r="G966" s="245">
        <v>2596.1</v>
      </c>
      <c r="H966" s="245">
        <v>2596.1</v>
      </c>
      <c r="I966" s="246">
        <f t="shared" si="106"/>
        <v>0</v>
      </c>
      <c r="J966" s="187">
        <v>8596.1</v>
      </c>
      <c r="K966" s="245">
        <v>8596.1</v>
      </c>
      <c r="L966" s="286">
        <f t="shared" si="107"/>
        <v>0</v>
      </c>
    </row>
    <row r="967" spans="1:12" ht="36" x14ac:dyDescent="0.2">
      <c r="A967" s="189" t="s">
        <v>605</v>
      </c>
      <c r="B967" s="189"/>
      <c r="C967" s="189" t="s">
        <v>498</v>
      </c>
      <c r="D967" s="189" t="s">
        <v>507</v>
      </c>
      <c r="E967" s="189"/>
      <c r="F967" s="189"/>
      <c r="G967" s="247">
        <v>2596.1</v>
      </c>
      <c r="H967" s="247">
        <v>2596.1</v>
      </c>
      <c r="I967" s="248">
        <f t="shared" si="106"/>
        <v>0</v>
      </c>
      <c r="J967" s="191">
        <v>2596.1</v>
      </c>
      <c r="K967" s="247">
        <v>2596.1</v>
      </c>
      <c r="L967" s="287">
        <f t="shared" si="107"/>
        <v>0</v>
      </c>
    </row>
    <row r="968" spans="1:12" ht="24" x14ac:dyDescent="0.2">
      <c r="A968" s="189" t="s">
        <v>604</v>
      </c>
      <c r="B968" s="189"/>
      <c r="C968" s="189" t="s">
        <v>498</v>
      </c>
      <c r="D968" s="189" t="s">
        <v>507</v>
      </c>
      <c r="E968" s="189" t="s">
        <v>603</v>
      </c>
      <c r="F968" s="189"/>
      <c r="G968" s="247">
        <v>2596.1</v>
      </c>
      <c r="H968" s="247">
        <v>2596.1</v>
      </c>
      <c r="I968" s="248">
        <f t="shared" si="106"/>
        <v>0</v>
      </c>
      <c r="J968" s="191">
        <v>2596.1</v>
      </c>
      <c r="K968" s="247">
        <v>2596.1</v>
      </c>
      <c r="L968" s="287">
        <f t="shared" si="107"/>
        <v>0</v>
      </c>
    </row>
    <row r="969" spans="1:12" x14ac:dyDescent="0.2">
      <c r="A969" s="189" t="s">
        <v>602</v>
      </c>
      <c r="B969" s="189"/>
      <c r="C969" s="189" t="s">
        <v>498</v>
      </c>
      <c r="D969" s="189" t="s">
        <v>507</v>
      </c>
      <c r="E969" s="189" t="s">
        <v>601</v>
      </c>
      <c r="F969" s="189"/>
      <c r="G969" s="247">
        <v>2596.1</v>
      </c>
      <c r="H969" s="247">
        <v>2596.1</v>
      </c>
      <c r="I969" s="248">
        <f t="shared" si="106"/>
        <v>0</v>
      </c>
      <c r="J969" s="191">
        <v>2596.1</v>
      </c>
      <c r="K969" s="247">
        <v>2596.1</v>
      </c>
      <c r="L969" s="287">
        <f t="shared" si="107"/>
        <v>0</v>
      </c>
    </row>
    <row r="970" spans="1:12" ht="24" x14ac:dyDescent="0.2">
      <c r="A970" s="189" t="s">
        <v>600</v>
      </c>
      <c r="B970" s="189"/>
      <c r="C970" s="189" t="s">
        <v>498</v>
      </c>
      <c r="D970" s="189" t="s">
        <v>507</v>
      </c>
      <c r="E970" s="189" t="s">
        <v>599</v>
      </c>
      <c r="F970" s="189"/>
      <c r="G970" s="247">
        <v>2596.1</v>
      </c>
      <c r="H970" s="247">
        <v>2596.1</v>
      </c>
      <c r="I970" s="248">
        <f t="shared" si="106"/>
        <v>0</v>
      </c>
      <c r="J970" s="191">
        <v>2596.1</v>
      </c>
      <c r="K970" s="247">
        <v>2596.1</v>
      </c>
      <c r="L970" s="287">
        <f t="shared" si="107"/>
        <v>0</v>
      </c>
    </row>
    <row r="971" spans="1:12" x14ac:dyDescent="0.2">
      <c r="A971" s="189" t="s">
        <v>598</v>
      </c>
      <c r="B971" s="189"/>
      <c r="C971" s="189" t="s">
        <v>498</v>
      </c>
      <c r="D971" s="189" t="s">
        <v>507</v>
      </c>
      <c r="E971" s="189" t="s">
        <v>597</v>
      </c>
      <c r="F971" s="189"/>
      <c r="G971" s="247">
        <v>2596.1</v>
      </c>
      <c r="H971" s="247">
        <v>2596.1</v>
      </c>
      <c r="I971" s="248">
        <f t="shared" si="106"/>
        <v>0</v>
      </c>
      <c r="J971" s="191">
        <v>2596.1</v>
      </c>
      <c r="K971" s="247">
        <v>2596.1</v>
      </c>
      <c r="L971" s="287">
        <f t="shared" si="107"/>
        <v>0</v>
      </c>
    </row>
    <row r="972" spans="1:12" ht="24" x14ac:dyDescent="0.2">
      <c r="A972" s="189" t="s">
        <v>1347</v>
      </c>
      <c r="B972" s="189"/>
      <c r="C972" s="189" t="s">
        <v>498</v>
      </c>
      <c r="D972" s="189" t="s">
        <v>507</v>
      </c>
      <c r="E972" s="189" t="s">
        <v>597</v>
      </c>
      <c r="F972" s="189" t="s">
        <v>535</v>
      </c>
      <c r="G972" s="247">
        <v>2578.6</v>
      </c>
      <c r="H972" s="247">
        <v>2578.6</v>
      </c>
      <c r="I972" s="248">
        <f t="shared" si="106"/>
        <v>0</v>
      </c>
      <c r="J972" s="191">
        <v>2578.6</v>
      </c>
      <c r="K972" s="247">
        <v>2578.6</v>
      </c>
      <c r="L972" s="287">
        <f t="shared" si="107"/>
        <v>0</v>
      </c>
    </row>
    <row r="973" spans="1:12" ht="24" x14ac:dyDescent="0.2">
      <c r="A973" s="189" t="s">
        <v>534</v>
      </c>
      <c r="B973" s="189"/>
      <c r="C973" s="189" t="s">
        <v>498</v>
      </c>
      <c r="D973" s="189" t="s">
        <v>507</v>
      </c>
      <c r="E973" s="189" t="s">
        <v>597</v>
      </c>
      <c r="F973" s="189" t="s">
        <v>529</v>
      </c>
      <c r="G973" s="247">
        <v>2578.6</v>
      </c>
      <c r="H973" s="247">
        <v>2578.6</v>
      </c>
      <c r="I973" s="248">
        <f t="shared" si="106"/>
        <v>0</v>
      </c>
      <c r="J973" s="191">
        <v>2578.6</v>
      </c>
      <c r="K973" s="247">
        <v>2578.6</v>
      </c>
      <c r="L973" s="287">
        <f t="shared" si="107"/>
        <v>0</v>
      </c>
    </row>
    <row r="974" spans="1:12" x14ac:dyDescent="0.2">
      <c r="A974" s="189" t="s">
        <v>615</v>
      </c>
      <c r="B974" s="189"/>
      <c r="C974" s="189" t="s">
        <v>498</v>
      </c>
      <c r="D974" s="189" t="s">
        <v>507</v>
      </c>
      <c r="E974" s="189" t="s">
        <v>597</v>
      </c>
      <c r="F974" s="189" t="s">
        <v>509</v>
      </c>
      <c r="G974" s="247">
        <v>17.5</v>
      </c>
      <c r="H974" s="247">
        <v>17.5</v>
      </c>
      <c r="I974" s="248">
        <f t="shared" si="106"/>
        <v>0</v>
      </c>
      <c r="J974" s="191">
        <v>17.5</v>
      </c>
      <c r="K974" s="247">
        <v>17.5</v>
      </c>
      <c r="L974" s="287">
        <f t="shared" si="107"/>
        <v>0</v>
      </c>
    </row>
    <row r="975" spans="1:12" x14ac:dyDescent="0.2">
      <c r="A975" s="189" t="s">
        <v>614</v>
      </c>
      <c r="B975" s="189"/>
      <c r="C975" s="189" t="s">
        <v>498</v>
      </c>
      <c r="D975" s="189" t="s">
        <v>507</v>
      </c>
      <c r="E975" s="189" t="s">
        <v>597</v>
      </c>
      <c r="F975" s="189" t="s">
        <v>613</v>
      </c>
      <c r="G975" s="247">
        <v>17.5</v>
      </c>
      <c r="H975" s="247">
        <v>17.5</v>
      </c>
      <c r="I975" s="248">
        <f t="shared" si="106"/>
        <v>0</v>
      </c>
      <c r="J975" s="191">
        <v>17.5</v>
      </c>
      <c r="K975" s="247">
        <v>17.5</v>
      </c>
      <c r="L975" s="287">
        <f t="shared" si="107"/>
        <v>0</v>
      </c>
    </row>
    <row r="976" spans="1:12" x14ac:dyDescent="0.2">
      <c r="A976" s="189" t="s">
        <v>596</v>
      </c>
      <c r="B976" s="189"/>
      <c r="C976" s="189" t="s">
        <v>498</v>
      </c>
      <c r="D976" s="189" t="s">
        <v>592</v>
      </c>
      <c r="E976" s="189"/>
      <c r="F976" s="189"/>
      <c r="G976" s="247">
        <v>0</v>
      </c>
      <c r="H976" s="247">
        <v>0</v>
      </c>
      <c r="I976" s="248">
        <f t="shared" si="106"/>
        <v>0</v>
      </c>
      <c r="J976" s="191">
        <v>6000</v>
      </c>
      <c r="K976" s="247">
        <v>6000</v>
      </c>
      <c r="L976" s="287">
        <f t="shared" si="107"/>
        <v>0</v>
      </c>
    </row>
    <row r="977" spans="1:12" x14ac:dyDescent="0.2">
      <c r="A977" s="189" t="s">
        <v>595</v>
      </c>
      <c r="B977" s="189"/>
      <c r="C977" s="189" t="s">
        <v>498</v>
      </c>
      <c r="D977" s="189" t="s">
        <v>592</v>
      </c>
      <c r="E977" s="189" t="s">
        <v>594</v>
      </c>
      <c r="F977" s="189"/>
      <c r="G977" s="247">
        <v>0</v>
      </c>
      <c r="H977" s="247">
        <v>0</v>
      </c>
      <c r="I977" s="248">
        <f t="shared" si="106"/>
        <v>0</v>
      </c>
      <c r="J977" s="191">
        <v>6000</v>
      </c>
      <c r="K977" s="247">
        <v>6000</v>
      </c>
      <c r="L977" s="287">
        <f t="shared" si="107"/>
        <v>0</v>
      </c>
    </row>
    <row r="978" spans="1:12" ht="24" x14ac:dyDescent="0.2">
      <c r="A978" s="189" t="s">
        <v>593</v>
      </c>
      <c r="B978" s="189"/>
      <c r="C978" s="189" t="s">
        <v>498</v>
      </c>
      <c r="D978" s="189" t="s">
        <v>592</v>
      </c>
      <c r="E978" s="189" t="s">
        <v>591</v>
      </c>
      <c r="F978" s="189"/>
      <c r="G978" s="247">
        <v>0</v>
      </c>
      <c r="H978" s="247">
        <v>0</v>
      </c>
      <c r="I978" s="248">
        <f t="shared" si="106"/>
        <v>0</v>
      </c>
      <c r="J978" s="191">
        <v>6000</v>
      </c>
      <c r="K978" s="247">
        <v>6000</v>
      </c>
      <c r="L978" s="287">
        <f t="shared" si="107"/>
        <v>0</v>
      </c>
    </row>
    <row r="979" spans="1:12" ht="24" x14ac:dyDescent="0.2">
      <c r="A979" s="189" t="s">
        <v>1347</v>
      </c>
      <c r="B979" s="189"/>
      <c r="C979" s="189" t="s">
        <v>498</v>
      </c>
      <c r="D979" s="189" t="s">
        <v>592</v>
      </c>
      <c r="E979" s="189" t="s">
        <v>591</v>
      </c>
      <c r="F979" s="189" t="s">
        <v>535</v>
      </c>
      <c r="G979" s="247">
        <v>0</v>
      </c>
      <c r="H979" s="247">
        <v>0</v>
      </c>
      <c r="I979" s="248">
        <f t="shared" si="106"/>
        <v>0</v>
      </c>
      <c r="J979" s="191">
        <v>6000</v>
      </c>
      <c r="K979" s="247">
        <v>6000</v>
      </c>
      <c r="L979" s="287">
        <f t="shared" si="107"/>
        <v>0</v>
      </c>
    </row>
    <row r="980" spans="1:12" ht="24" x14ac:dyDescent="0.2">
      <c r="A980" s="189" t="s">
        <v>534</v>
      </c>
      <c r="B980" s="189"/>
      <c r="C980" s="189" t="s">
        <v>498</v>
      </c>
      <c r="D980" s="189" t="s">
        <v>592</v>
      </c>
      <c r="E980" s="189" t="s">
        <v>591</v>
      </c>
      <c r="F980" s="189" t="s">
        <v>529</v>
      </c>
      <c r="G980" s="247">
        <v>0</v>
      </c>
      <c r="H980" s="247">
        <v>0</v>
      </c>
      <c r="I980" s="248">
        <f t="shared" si="106"/>
        <v>0</v>
      </c>
      <c r="J980" s="191">
        <v>6000</v>
      </c>
      <c r="K980" s="247">
        <v>6000</v>
      </c>
      <c r="L980" s="287">
        <f t="shared" si="107"/>
        <v>0</v>
      </c>
    </row>
    <row r="981" spans="1:12" s="78" customFormat="1" x14ac:dyDescent="0.2">
      <c r="A981" s="185" t="s">
        <v>590</v>
      </c>
      <c r="B981" s="185"/>
      <c r="C981" s="185" t="s">
        <v>507</v>
      </c>
      <c r="D981" s="185"/>
      <c r="E981" s="185"/>
      <c r="F981" s="185"/>
      <c r="G981" s="245">
        <f>G982+G990</f>
        <v>12618.7</v>
      </c>
      <c r="H981" s="245">
        <f>H982+H990</f>
        <v>12618.7</v>
      </c>
      <c r="I981" s="246">
        <f t="shared" si="106"/>
        <v>0</v>
      </c>
      <c r="J981" s="187">
        <f>J982+J990</f>
        <v>29901.8</v>
      </c>
      <c r="K981" s="245">
        <f>K982+K990</f>
        <v>29901.8</v>
      </c>
      <c r="L981" s="286">
        <f t="shared" si="107"/>
        <v>0</v>
      </c>
    </row>
    <row r="982" spans="1:12" x14ac:dyDescent="0.2">
      <c r="A982" s="189" t="s">
        <v>589</v>
      </c>
      <c r="B982" s="189"/>
      <c r="C982" s="189" t="s">
        <v>507</v>
      </c>
      <c r="D982" s="189" t="s">
        <v>498</v>
      </c>
      <c r="E982" s="189"/>
      <c r="F982" s="189"/>
      <c r="G982" s="247">
        <v>3133.8</v>
      </c>
      <c r="H982" s="247">
        <v>3133.8</v>
      </c>
      <c r="I982" s="248">
        <f t="shared" si="106"/>
        <v>0</v>
      </c>
      <c r="J982" s="191">
        <v>3133.8</v>
      </c>
      <c r="K982" s="247">
        <v>3133.8</v>
      </c>
      <c r="L982" s="287">
        <f t="shared" si="107"/>
        <v>0</v>
      </c>
    </row>
    <row r="983" spans="1:12" ht="36" x14ac:dyDescent="0.2">
      <c r="A983" s="189" t="s">
        <v>588</v>
      </c>
      <c r="B983" s="189"/>
      <c r="C983" s="189" t="s">
        <v>507</v>
      </c>
      <c r="D983" s="189" t="s">
        <v>498</v>
      </c>
      <c r="E983" s="189" t="s">
        <v>587</v>
      </c>
      <c r="F983" s="189"/>
      <c r="G983" s="247">
        <v>3133.8</v>
      </c>
      <c r="H983" s="247">
        <v>3133.8</v>
      </c>
      <c r="I983" s="248">
        <f t="shared" si="106"/>
        <v>0</v>
      </c>
      <c r="J983" s="191">
        <v>3133.8</v>
      </c>
      <c r="K983" s="247">
        <v>3133.8</v>
      </c>
      <c r="L983" s="287">
        <f t="shared" si="107"/>
        <v>0</v>
      </c>
    </row>
    <row r="984" spans="1:12" x14ac:dyDescent="0.2">
      <c r="A984" s="189" t="s">
        <v>586</v>
      </c>
      <c r="B984" s="189"/>
      <c r="C984" s="189" t="s">
        <v>507</v>
      </c>
      <c r="D984" s="189" t="s">
        <v>498</v>
      </c>
      <c r="E984" s="189" t="s">
        <v>585</v>
      </c>
      <c r="F984" s="189"/>
      <c r="G984" s="247">
        <v>3133.8</v>
      </c>
      <c r="H984" s="247">
        <v>3133.8</v>
      </c>
      <c r="I984" s="248">
        <f t="shared" si="106"/>
        <v>0</v>
      </c>
      <c r="J984" s="191">
        <v>3133.8</v>
      </c>
      <c r="K984" s="247">
        <v>3133.8</v>
      </c>
      <c r="L984" s="287">
        <f t="shared" si="107"/>
        <v>0</v>
      </c>
    </row>
    <row r="985" spans="1:12" ht="48" x14ac:dyDescent="0.2">
      <c r="A985" s="189" t="s">
        <v>584</v>
      </c>
      <c r="B985" s="189"/>
      <c r="C985" s="189" t="s">
        <v>507</v>
      </c>
      <c r="D985" s="189" t="s">
        <v>498</v>
      </c>
      <c r="E985" s="189" t="s">
        <v>583</v>
      </c>
      <c r="F985" s="189"/>
      <c r="G985" s="247">
        <v>3133.8</v>
      </c>
      <c r="H985" s="247">
        <v>3133.8</v>
      </c>
      <c r="I985" s="248">
        <f t="shared" si="106"/>
        <v>0</v>
      </c>
      <c r="J985" s="191">
        <v>3133.8</v>
      </c>
      <c r="K985" s="247">
        <v>3133.8</v>
      </c>
      <c r="L985" s="287">
        <f t="shared" si="107"/>
        <v>0</v>
      </c>
    </row>
    <row r="986" spans="1:12" ht="24" x14ac:dyDescent="0.2">
      <c r="A986" s="189" t="s">
        <v>582</v>
      </c>
      <c r="B986" s="189"/>
      <c r="C986" s="189" t="s">
        <v>507</v>
      </c>
      <c r="D986" s="189" t="s">
        <v>498</v>
      </c>
      <c r="E986" s="189" t="s">
        <v>581</v>
      </c>
      <c r="F986" s="189"/>
      <c r="G986" s="247">
        <v>3133.8</v>
      </c>
      <c r="H986" s="247">
        <v>3133.8</v>
      </c>
      <c r="I986" s="248">
        <f t="shared" si="106"/>
        <v>0</v>
      </c>
      <c r="J986" s="191">
        <v>3133.8</v>
      </c>
      <c r="K986" s="247">
        <v>3133.8</v>
      </c>
      <c r="L986" s="287">
        <f t="shared" si="107"/>
        <v>0</v>
      </c>
    </row>
    <row r="987" spans="1:12" ht="24" x14ac:dyDescent="0.2">
      <c r="A987" s="189" t="s">
        <v>547</v>
      </c>
      <c r="B987" s="189"/>
      <c r="C987" s="189" t="s">
        <v>507</v>
      </c>
      <c r="D987" s="189" t="s">
        <v>498</v>
      </c>
      <c r="E987" s="189" t="s">
        <v>581</v>
      </c>
      <c r="F987" s="189" t="s">
        <v>519</v>
      </c>
      <c r="G987" s="247">
        <v>3133.8</v>
      </c>
      <c r="H987" s="247">
        <v>3133.8</v>
      </c>
      <c r="I987" s="248">
        <f t="shared" si="106"/>
        <v>0</v>
      </c>
      <c r="J987" s="191">
        <v>3133.8</v>
      </c>
      <c r="K987" s="247">
        <v>3133.8</v>
      </c>
      <c r="L987" s="287">
        <f t="shared" si="107"/>
        <v>0</v>
      </c>
    </row>
    <row r="988" spans="1:12" x14ac:dyDescent="0.2">
      <c r="A988" s="189" t="s">
        <v>571</v>
      </c>
      <c r="B988" s="189"/>
      <c r="C988" s="189" t="s">
        <v>507</v>
      </c>
      <c r="D988" s="189" t="s">
        <v>498</v>
      </c>
      <c r="E988" s="189" t="s">
        <v>581</v>
      </c>
      <c r="F988" s="189" t="s">
        <v>522</v>
      </c>
      <c r="G988" s="247">
        <v>2625.4</v>
      </c>
      <c r="H988" s="247">
        <v>2625.4</v>
      </c>
      <c r="I988" s="248">
        <f t="shared" si="106"/>
        <v>0</v>
      </c>
      <c r="J988" s="191">
        <v>2625.4</v>
      </c>
      <c r="K988" s="247">
        <v>2625.4</v>
      </c>
      <c r="L988" s="287">
        <f t="shared" si="107"/>
        <v>0</v>
      </c>
    </row>
    <row r="989" spans="1:12" x14ac:dyDescent="0.2">
      <c r="A989" s="189" t="s">
        <v>546</v>
      </c>
      <c r="B989" s="189"/>
      <c r="C989" s="189" t="s">
        <v>507</v>
      </c>
      <c r="D989" s="189" t="s">
        <v>498</v>
      </c>
      <c r="E989" s="189" t="s">
        <v>581</v>
      </c>
      <c r="F989" s="189" t="s">
        <v>544</v>
      </c>
      <c r="G989" s="247">
        <v>508.4</v>
      </c>
      <c r="H989" s="247">
        <v>508.4</v>
      </c>
      <c r="I989" s="248">
        <f t="shared" si="106"/>
        <v>0</v>
      </c>
      <c r="J989" s="191">
        <v>508.4</v>
      </c>
      <c r="K989" s="247">
        <v>508.4</v>
      </c>
      <c r="L989" s="287">
        <f t="shared" si="107"/>
        <v>0</v>
      </c>
    </row>
    <row r="990" spans="1:12" x14ac:dyDescent="0.2">
      <c r="A990" s="189" t="s">
        <v>743</v>
      </c>
      <c r="B990" s="189"/>
      <c r="C990" s="189" t="s">
        <v>507</v>
      </c>
      <c r="D990" s="189" t="s">
        <v>657</v>
      </c>
      <c r="E990" s="189"/>
      <c r="F990" s="189"/>
      <c r="G990" s="247">
        <f>G991</f>
        <v>9484.9</v>
      </c>
      <c r="H990" s="247">
        <f>H991</f>
        <v>9484.9</v>
      </c>
      <c r="I990" s="248">
        <f t="shared" si="106"/>
        <v>0</v>
      </c>
      <c r="J990" s="191">
        <f>J991</f>
        <v>26768</v>
      </c>
      <c r="K990" s="247">
        <f>K991</f>
        <v>26768</v>
      </c>
      <c r="L990" s="287">
        <f t="shared" si="107"/>
        <v>0</v>
      </c>
    </row>
    <row r="991" spans="1:12" x14ac:dyDescent="0.2">
      <c r="A991" s="189" t="s">
        <v>742</v>
      </c>
      <c r="B991" s="189"/>
      <c r="C991" s="189" t="s">
        <v>507</v>
      </c>
      <c r="D991" s="189" t="s">
        <v>657</v>
      </c>
      <c r="E991" s="189" t="s">
        <v>741</v>
      </c>
      <c r="F991" s="189"/>
      <c r="G991" s="247">
        <f>G992</f>
        <v>9484.9</v>
      </c>
      <c r="H991" s="247">
        <f>H992</f>
        <v>9484.9</v>
      </c>
      <c r="I991" s="248">
        <f t="shared" si="106"/>
        <v>0</v>
      </c>
      <c r="J991" s="191">
        <f>J992</f>
        <v>26768</v>
      </c>
      <c r="K991" s="247">
        <f>K992</f>
        <v>26768</v>
      </c>
      <c r="L991" s="287">
        <f t="shared" si="107"/>
        <v>0</v>
      </c>
    </row>
    <row r="992" spans="1:12" ht="36" x14ac:dyDescent="0.2">
      <c r="A992" s="189" t="s">
        <v>740</v>
      </c>
      <c r="B992" s="189"/>
      <c r="C992" s="189" t="s">
        <v>507</v>
      </c>
      <c r="D992" s="189" t="s">
        <v>657</v>
      </c>
      <c r="E992" s="189" t="s">
        <v>739</v>
      </c>
      <c r="F992" s="189"/>
      <c r="G992" s="247">
        <f>G993+G997-0.1</f>
        <v>9484.9</v>
      </c>
      <c r="H992" s="247">
        <f>H993+H997-0.1</f>
        <v>9484.9</v>
      </c>
      <c r="I992" s="248">
        <f t="shared" si="106"/>
        <v>0</v>
      </c>
      <c r="J992" s="191">
        <f>J993+J997</f>
        <v>26768</v>
      </c>
      <c r="K992" s="247">
        <f>K993+K997</f>
        <v>26768</v>
      </c>
      <c r="L992" s="287">
        <f t="shared" si="107"/>
        <v>0</v>
      </c>
    </row>
    <row r="993" spans="1:12" x14ac:dyDescent="0.2">
      <c r="A993" s="189" t="s">
        <v>1322</v>
      </c>
      <c r="B993" s="189"/>
      <c r="C993" s="189" t="s">
        <v>507</v>
      </c>
      <c r="D993" s="189" t="s">
        <v>657</v>
      </c>
      <c r="E993" s="189" t="s">
        <v>1323</v>
      </c>
      <c r="F993" s="189"/>
      <c r="G993" s="247">
        <f t="shared" ref="G993:H995" si="108">G994</f>
        <v>5300</v>
      </c>
      <c r="H993" s="247">
        <f t="shared" si="108"/>
        <v>5300</v>
      </c>
      <c r="I993" s="248">
        <f t="shared" si="106"/>
        <v>0</v>
      </c>
      <c r="J993" s="191">
        <f t="shared" ref="J993:K995" si="109">J994</f>
        <v>0</v>
      </c>
      <c r="K993" s="247">
        <f t="shared" si="109"/>
        <v>0</v>
      </c>
      <c r="L993" s="287">
        <f t="shared" si="107"/>
        <v>0</v>
      </c>
    </row>
    <row r="994" spans="1:12" ht="48" x14ac:dyDescent="0.2">
      <c r="A994" s="189" t="s">
        <v>1324</v>
      </c>
      <c r="B994" s="189"/>
      <c r="C994" s="189" t="s">
        <v>507</v>
      </c>
      <c r="D994" s="189" t="s">
        <v>657</v>
      </c>
      <c r="E994" s="189" t="s">
        <v>1325</v>
      </c>
      <c r="F994" s="189"/>
      <c r="G994" s="247">
        <f t="shared" si="108"/>
        <v>5300</v>
      </c>
      <c r="H994" s="247">
        <f t="shared" si="108"/>
        <v>5300</v>
      </c>
      <c r="I994" s="248">
        <f t="shared" si="106"/>
        <v>0</v>
      </c>
      <c r="J994" s="191">
        <f t="shared" si="109"/>
        <v>0</v>
      </c>
      <c r="K994" s="247">
        <f t="shared" si="109"/>
        <v>0</v>
      </c>
      <c r="L994" s="287">
        <f t="shared" si="107"/>
        <v>0</v>
      </c>
    </row>
    <row r="995" spans="1:12" ht="24" x14ac:dyDescent="0.2">
      <c r="A995" s="189" t="s">
        <v>547</v>
      </c>
      <c r="B995" s="189"/>
      <c r="C995" s="189" t="s">
        <v>507</v>
      </c>
      <c r="D995" s="189" t="s">
        <v>657</v>
      </c>
      <c r="E995" s="189" t="s">
        <v>1325</v>
      </c>
      <c r="F995" s="189" t="s">
        <v>519</v>
      </c>
      <c r="G995" s="247">
        <f t="shared" si="108"/>
        <v>5300</v>
      </c>
      <c r="H995" s="247">
        <f t="shared" si="108"/>
        <v>5300</v>
      </c>
      <c r="I995" s="248">
        <f t="shared" si="106"/>
        <v>0</v>
      </c>
      <c r="J995" s="191">
        <f t="shared" si="109"/>
        <v>0</v>
      </c>
      <c r="K995" s="247">
        <f t="shared" si="109"/>
        <v>0</v>
      </c>
      <c r="L995" s="287">
        <f t="shared" si="107"/>
        <v>0</v>
      </c>
    </row>
    <row r="996" spans="1:12" x14ac:dyDescent="0.2">
      <c r="A996" s="189" t="s">
        <v>571</v>
      </c>
      <c r="B996" s="189"/>
      <c r="C996" s="189" t="s">
        <v>507</v>
      </c>
      <c r="D996" s="189" t="s">
        <v>657</v>
      </c>
      <c r="E996" s="189" t="s">
        <v>1325</v>
      </c>
      <c r="F996" s="189" t="s">
        <v>522</v>
      </c>
      <c r="G996" s="247">
        <f>6600.7-1300.7</f>
        <v>5300</v>
      </c>
      <c r="H996" s="247">
        <f>6600.7-1300.7</f>
        <v>5300</v>
      </c>
      <c r="I996" s="248">
        <f t="shared" si="106"/>
        <v>0</v>
      </c>
      <c r="J996" s="191">
        <f>4100-1283.3-2816.7</f>
        <v>0</v>
      </c>
      <c r="K996" s="247">
        <f>4100-1283.3-2816.7</f>
        <v>0</v>
      </c>
      <c r="L996" s="287">
        <f t="shared" si="107"/>
        <v>0</v>
      </c>
    </row>
    <row r="997" spans="1:12" x14ac:dyDescent="0.2">
      <c r="A997" s="189" t="s">
        <v>738</v>
      </c>
      <c r="B997" s="189"/>
      <c r="C997" s="189" t="s">
        <v>507</v>
      </c>
      <c r="D997" s="189" t="s">
        <v>657</v>
      </c>
      <c r="E997" s="189" t="s">
        <v>737</v>
      </c>
      <c r="F997" s="189"/>
      <c r="G997" s="247">
        <f>G998+G1001+G1004</f>
        <v>4185</v>
      </c>
      <c r="H997" s="247">
        <f>H998+H1001+H1004</f>
        <v>4185</v>
      </c>
      <c r="I997" s="248">
        <f t="shared" si="106"/>
        <v>0</v>
      </c>
      <c r="J997" s="191">
        <f>J998+J1001+J1004</f>
        <v>26768</v>
      </c>
      <c r="K997" s="247">
        <f>K998+K1001+K1004</f>
        <v>26768</v>
      </c>
      <c r="L997" s="287">
        <f t="shared" si="107"/>
        <v>0</v>
      </c>
    </row>
    <row r="998" spans="1:12" ht="36" x14ac:dyDescent="0.2">
      <c r="A998" s="189" t="s">
        <v>736</v>
      </c>
      <c r="B998" s="189"/>
      <c r="C998" s="189" t="s">
        <v>507</v>
      </c>
      <c r="D998" s="189" t="s">
        <v>657</v>
      </c>
      <c r="E998" s="189" t="s">
        <v>735</v>
      </c>
      <c r="F998" s="189"/>
      <c r="G998" s="247">
        <f>G999</f>
        <v>2311</v>
      </c>
      <c r="H998" s="247">
        <f>H999</f>
        <v>2311</v>
      </c>
      <c r="I998" s="248">
        <f t="shared" si="106"/>
        <v>0</v>
      </c>
      <c r="J998" s="191">
        <v>0</v>
      </c>
      <c r="K998" s="247">
        <v>0</v>
      </c>
      <c r="L998" s="287">
        <f t="shared" si="107"/>
        <v>0</v>
      </c>
    </row>
    <row r="999" spans="1:12" s="303" customFormat="1" ht="24" x14ac:dyDescent="0.2">
      <c r="A999" s="189" t="s">
        <v>1347</v>
      </c>
      <c r="B999" s="189"/>
      <c r="C999" s="189" t="s">
        <v>507</v>
      </c>
      <c r="D999" s="189" t="s">
        <v>657</v>
      </c>
      <c r="E999" s="189" t="s">
        <v>735</v>
      </c>
      <c r="F999" s="189">
        <v>200</v>
      </c>
      <c r="G999" s="247">
        <f>G1000</f>
        <v>2311</v>
      </c>
      <c r="H999" s="247">
        <f>H1000</f>
        <v>2311</v>
      </c>
      <c r="I999" s="248">
        <f t="shared" si="106"/>
        <v>0</v>
      </c>
      <c r="J999" s="191">
        <f t="shared" ref="J999:K999" si="110">J1000</f>
        <v>0</v>
      </c>
      <c r="K999" s="247">
        <f t="shared" si="110"/>
        <v>0</v>
      </c>
      <c r="L999" s="287">
        <f t="shared" si="107"/>
        <v>0</v>
      </c>
    </row>
    <row r="1000" spans="1:12" s="303" customFormat="1" ht="24" x14ac:dyDescent="0.2">
      <c r="A1000" s="189" t="s">
        <v>534</v>
      </c>
      <c r="B1000" s="189"/>
      <c r="C1000" s="189" t="s">
        <v>507</v>
      </c>
      <c r="D1000" s="189" t="s">
        <v>657</v>
      </c>
      <c r="E1000" s="189" t="s">
        <v>735</v>
      </c>
      <c r="F1000" s="189">
        <v>240</v>
      </c>
      <c r="G1000" s="247">
        <f>2254.6+56.4</f>
        <v>2311</v>
      </c>
      <c r="H1000" s="247">
        <f>2254.6+56.4</f>
        <v>2311</v>
      </c>
      <c r="I1000" s="248">
        <f t="shared" si="106"/>
        <v>0</v>
      </c>
      <c r="J1000" s="191">
        <v>0</v>
      </c>
      <c r="K1000" s="247">
        <v>0</v>
      </c>
      <c r="L1000" s="287">
        <f t="shared" si="107"/>
        <v>0</v>
      </c>
    </row>
    <row r="1001" spans="1:12" ht="60" x14ac:dyDescent="0.2">
      <c r="A1001" s="189" t="s">
        <v>734</v>
      </c>
      <c r="B1001" s="189"/>
      <c r="C1001" s="189" t="s">
        <v>507</v>
      </c>
      <c r="D1001" s="189" t="s">
        <v>657</v>
      </c>
      <c r="E1001" s="189" t="s">
        <v>733</v>
      </c>
      <c r="F1001" s="189"/>
      <c r="G1001" s="247">
        <f>G1002</f>
        <v>1874</v>
      </c>
      <c r="H1001" s="247">
        <f>H1002</f>
        <v>1874</v>
      </c>
      <c r="I1001" s="248">
        <f t="shared" si="106"/>
        <v>0</v>
      </c>
      <c r="J1001" s="191">
        <f t="shared" ref="J1001:K1001" si="111">J1002</f>
        <v>2268</v>
      </c>
      <c r="K1001" s="247">
        <f t="shared" si="111"/>
        <v>2268</v>
      </c>
      <c r="L1001" s="287">
        <f t="shared" si="107"/>
        <v>0</v>
      </c>
    </row>
    <row r="1002" spans="1:12" s="378" customFormat="1" ht="24" x14ac:dyDescent="0.2">
      <c r="A1002" s="189" t="s">
        <v>1347</v>
      </c>
      <c r="B1002" s="189"/>
      <c r="C1002" s="189" t="s">
        <v>507</v>
      </c>
      <c r="D1002" s="189" t="s">
        <v>657</v>
      </c>
      <c r="E1002" s="189" t="s">
        <v>733</v>
      </c>
      <c r="F1002" s="189">
        <v>200</v>
      </c>
      <c r="G1002" s="247">
        <f>G1003</f>
        <v>1874</v>
      </c>
      <c r="H1002" s="247">
        <f>H1003</f>
        <v>1874</v>
      </c>
      <c r="I1002" s="248">
        <f t="shared" si="106"/>
        <v>0</v>
      </c>
      <c r="J1002" s="191">
        <f>J1003</f>
        <v>2268</v>
      </c>
      <c r="K1002" s="247">
        <f>K1003</f>
        <v>2268</v>
      </c>
      <c r="L1002" s="287">
        <f t="shared" si="107"/>
        <v>0</v>
      </c>
    </row>
    <row r="1003" spans="1:12" s="378" customFormat="1" ht="24" x14ac:dyDescent="0.2">
      <c r="A1003" s="189" t="s">
        <v>534</v>
      </c>
      <c r="B1003" s="189"/>
      <c r="C1003" s="189" t="s">
        <v>507</v>
      </c>
      <c r="D1003" s="189" t="s">
        <v>657</v>
      </c>
      <c r="E1003" s="189" t="s">
        <v>733</v>
      </c>
      <c r="F1003" s="189">
        <v>240</v>
      </c>
      <c r="G1003" s="247">
        <f>1874</f>
        <v>1874</v>
      </c>
      <c r="H1003" s="247">
        <f>1874</f>
        <v>1874</v>
      </c>
      <c r="I1003" s="248">
        <f t="shared" si="106"/>
        <v>0</v>
      </c>
      <c r="J1003" s="191">
        <v>2268</v>
      </c>
      <c r="K1003" s="247">
        <v>2268</v>
      </c>
      <c r="L1003" s="287">
        <f t="shared" si="107"/>
        <v>0</v>
      </c>
    </row>
    <row r="1004" spans="1:12" ht="24" x14ac:dyDescent="0.2">
      <c r="A1004" s="189" t="s">
        <v>732</v>
      </c>
      <c r="B1004" s="189"/>
      <c r="C1004" s="189" t="s">
        <v>507</v>
      </c>
      <c r="D1004" s="189" t="s">
        <v>657</v>
      </c>
      <c r="E1004" s="189" t="s">
        <v>731</v>
      </c>
      <c r="F1004" s="189"/>
      <c r="G1004" s="247">
        <v>0</v>
      </c>
      <c r="H1004" s="247">
        <v>0</v>
      </c>
      <c r="I1004" s="248">
        <f t="shared" si="106"/>
        <v>0</v>
      </c>
      <c r="J1004" s="191">
        <f>J1005</f>
        <v>24500</v>
      </c>
      <c r="K1004" s="247">
        <f>K1005</f>
        <v>24500</v>
      </c>
      <c r="L1004" s="287">
        <f t="shared" si="107"/>
        <v>0</v>
      </c>
    </row>
    <row r="1005" spans="1:12" s="307" customFormat="1" ht="24" x14ac:dyDescent="0.2">
      <c r="A1005" s="189" t="s">
        <v>1347</v>
      </c>
      <c r="B1005" s="189"/>
      <c r="C1005" s="189" t="s">
        <v>507</v>
      </c>
      <c r="D1005" s="189" t="s">
        <v>657</v>
      </c>
      <c r="E1005" s="189" t="s">
        <v>731</v>
      </c>
      <c r="F1005" s="189">
        <v>200</v>
      </c>
      <c r="G1005" s="247">
        <f>G1006</f>
        <v>0</v>
      </c>
      <c r="H1005" s="247">
        <f>H1006</f>
        <v>0</v>
      </c>
      <c r="I1005" s="248">
        <f t="shared" si="106"/>
        <v>0</v>
      </c>
      <c r="J1005" s="191">
        <f>J1006</f>
        <v>24500</v>
      </c>
      <c r="K1005" s="247">
        <f>K1006</f>
        <v>24500</v>
      </c>
      <c r="L1005" s="287">
        <f t="shared" si="107"/>
        <v>0</v>
      </c>
    </row>
    <row r="1006" spans="1:12" s="307" customFormat="1" ht="24" x14ac:dyDescent="0.2">
      <c r="A1006" s="189" t="s">
        <v>534</v>
      </c>
      <c r="B1006" s="189"/>
      <c r="C1006" s="189" t="s">
        <v>507</v>
      </c>
      <c r="D1006" s="189" t="s">
        <v>657</v>
      </c>
      <c r="E1006" s="189" t="s">
        <v>731</v>
      </c>
      <c r="F1006" s="189">
        <v>240</v>
      </c>
      <c r="G1006" s="247">
        <v>0</v>
      </c>
      <c r="H1006" s="247">
        <v>0</v>
      </c>
      <c r="I1006" s="248">
        <v>0</v>
      </c>
      <c r="J1006" s="191">
        <f>15312+4500+4688</f>
        <v>24500</v>
      </c>
      <c r="K1006" s="247">
        <f>15312+4500+4688</f>
        <v>24500</v>
      </c>
      <c r="L1006" s="287">
        <f t="shared" si="107"/>
        <v>0</v>
      </c>
    </row>
    <row r="1007" spans="1:12" s="78" customFormat="1" x14ac:dyDescent="0.2">
      <c r="A1007" s="185" t="s">
        <v>612</v>
      </c>
      <c r="B1007" s="185"/>
      <c r="C1007" s="185" t="s">
        <v>609</v>
      </c>
      <c r="D1007" s="185"/>
      <c r="E1007" s="185"/>
      <c r="F1007" s="185"/>
      <c r="G1007" s="245">
        <f>G1008+G1033+G1084+G1112</f>
        <v>5500038</v>
      </c>
      <c r="H1007" s="245">
        <f>H1008+H1033+H1084+H1112</f>
        <v>5665034</v>
      </c>
      <c r="I1007" s="246">
        <f t="shared" si="106"/>
        <v>164996</v>
      </c>
      <c r="J1007" s="187">
        <f>J1008+J1033+J1084+J1112</f>
        <v>5515738.1999999993</v>
      </c>
      <c r="K1007" s="245">
        <f>K1008+K1033+K1084+K1112</f>
        <v>5680734.1999999993</v>
      </c>
      <c r="L1007" s="286">
        <f t="shared" si="107"/>
        <v>164996</v>
      </c>
    </row>
    <row r="1008" spans="1:12" x14ac:dyDescent="0.2">
      <c r="A1008" s="189" t="s">
        <v>728</v>
      </c>
      <c r="B1008" s="189"/>
      <c r="C1008" s="189" t="s">
        <v>609</v>
      </c>
      <c r="D1008" s="189" t="s">
        <v>498</v>
      </c>
      <c r="E1008" s="189"/>
      <c r="F1008" s="189"/>
      <c r="G1008" s="247">
        <f>G1009+G1027</f>
        <v>2005781.4000000001</v>
      </c>
      <c r="H1008" s="247">
        <f>H1009+H1027</f>
        <v>2005781.4000000001</v>
      </c>
      <c r="I1008" s="248">
        <f t="shared" si="106"/>
        <v>0</v>
      </c>
      <c r="J1008" s="191">
        <f>J1009+J1027</f>
        <v>2001310.1</v>
      </c>
      <c r="K1008" s="247">
        <f>K1009+K1027</f>
        <v>2001310.1</v>
      </c>
      <c r="L1008" s="287">
        <f t="shared" si="107"/>
        <v>0</v>
      </c>
    </row>
    <row r="1009" spans="1:12" x14ac:dyDescent="0.2">
      <c r="A1009" s="189" t="s">
        <v>666</v>
      </c>
      <c r="B1009" s="189"/>
      <c r="C1009" s="189" t="s">
        <v>609</v>
      </c>
      <c r="D1009" s="189" t="s">
        <v>498</v>
      </c>
      <c r="E1009" s="189" t="s">
        <v>665</v>
      </c>
      <c r="F1009" s="189"/>
      <c r="G1009" s="247">
        <f>G1010</f>
        <v>2003181.4000000001</v>
      </c>
      <c r="H1009" s="247">
        <f>H1010</f>
        <v>2003181.4000000001</v>
      </c>
      <c r="I1009" s="248">
        <f t="shared" si="106"/>
        <v>0</v>
      </c>
      <c r="J1009" s="191">
        <f>J1010</f>
        <v>2001310.1</v>
      </c>
      <c r="K1009" s="247">
        <f>K1010</f>
        <v>2001310.1</v>
      </c>
      <c r="L1009" s="287">
        <f t="shared" si="107"/>
        <v>0</v>
      </c>
    </row>
    <row r="1010" spans="1:12" x14ac:dyDescent="0.2">
      <c r="A1010" s="189" t="s">
        <v>664</v>
      </c>
      <c r="B1010" s="189"/>
      <c r="C1010" s="189" t="s">
        <v>609</v>
      </c>
      <c r="D1010" s="189" t="s">
        <v>498</v>
      </c>
      <c r="E1010" s="189" t="s">
        <v>663</v>
      </c>
      <c r="F1010" s="189"/>
      <c r="G1010" s="247">
        <f>G1011</f>
        <v>2003181.4000000001</v>
      </c>
      <c r="H1010" s="247">
        <f>H1011</f>
        <v>2003181.4000000001</v>
      </c>
      <c r="I1010" s="248">
        <f t="shared" si="106"/>
        <v>0</v>
      </c>
      <c r="J1010" s="191">
        <f>J1011</f>
        <v>2001310.1</v>
      </c>
      <c r="K1010" s="247">
        <f>K1011</f>
        <v>2001310.1</v>
      </c>
      <c r="L1010" s="287">
        <f t="shared" si="107"/>
        <v>0</v>
      </c>
    </row>
    <row r="1011" spans="1:12" ht="24" x14ac:dyDescent="0.2">
      <c r="A1011" s="189" t="s">
        <v>662</v>
      </c>
      <c r="B1011" s="189"/>
      <c r="C1011" s="189" t="s">
        <v>609</v>
      </c>
      <c r="D1011" s="189" t="s">
        <v>498</v>
      </c>
      <c r="E1011" s="189" t="s">
        <v>661</v>
      </c>
      <c r="F1011" s="189"/>
      <c r="G1011" s="247">
        <f>G1012+G1016+G1020+G1023</f>
        <v>2003181.4000000001</v>
      </c>
      <c r="H1011" s="247">
        <f>H1012+H1016+H1020+H1023</f>
        <v>2003181.4000000001</v>
      </c>
      <c r="I1011" s="248">
        <f t="shared" si="106"/>
        <v>0</v>
      </c>
      <c r="J1011" s="191">
        <f>J1012+J1016+J1020+J1023</f>
        <v>2001310.1</v>
      </c>
      <c r="K1011" s="247">
        <f>K1012+K1016+K1020+K1023</f>
        <v>2001310.1</v>
      </c>
      <c r="L1011" s="287">
        <f t="shared" si="107"/>
        <v>0</v>
      </c>
    </row>
    <row r="1012" spans="1:12" ht="24" x14ac:dyDescent="0.2">
      <c r="A1012" s="189" t="s">
        <v>727</v>
      </c>
      <c r="B1012" s="189"/>
      <c r="C1012" s="189" t="s">
        <v>609</v>
      </c>
      <c r="D1012" s="189" t="s">
        <v>498</v>
      </c>
      <c r="E1012" s="189" t="s">
        <v>726</v>
      </c>
      <c r="F1012" s="189"/>
      <c r="G1012" s="247">
        <v>425821.8</v>
      </c>
      <c r="H1012" s="247">
        <v>425821.8</v>
      </c>
      <c r="I1012" s="248">
        <f t="shared" si="106"/>
        <v>0</v>
      </c>
      <c r="J1012" s="191">
        <f>J1013</f>
        <v>423950.50000000006</v>
      </c>
      <c r="K1012" s="247">
        <f>K1013</f>
        <v>423950.50000000006</v>
      </c>
      <c r="L1012" s="287">
        <f t="shared" si="107"/>
        <v>0</v>
      </c>
    </row>
    <row r="1013" spans="1:12" ht="24" x14ac:dyDescent="0.2">
      <c r="A1013" s="189" t="s">
        <v>547</v>
      </c>
      <c r="B1013" s="189"/>
      <c r="C1013" s="189" t="s">
        <v>609</v>
      </c>
      <c r="D1013" s="189" t="s">
        <v>498</v>
      </c>
      <c r="E1013" s="189" t="s">
        <v>726</v>
      </c>
      <c r="F1013" s="189" t="s">
        <v>519</v>
      </c>
      <c r="G1013" s="247">
        <v>425821.8</v>
      </c>
      <c r="H1013" s="247">
        <v>425821.8</v>
      </c>
      <c r="I1013" s="248">
        <f t="shared" ref="I1013:I1092" si="112">H1013-G1013</f>
        <v>0</v>
      </c>
      <c r="J1013" s="191">
        <f>J1014+J1015</f>
        <v>423950.50000000006</v>
      </c>
      <c r="K1013" s="247">
        <f>K1014+K1015</f>
        <v>423950.50000000006</v>
      </c>
      <c r="L1013" s="287">
        <f t="shared" ref="L1013:L1092" si="113">K1013-J1013</f>
        <v>0</v>
      </c>
    </row>
    <row r="1014" spans="1:12" x14ac:dyDescent="0.2">
      <c r="A1014" s="189" t="s">
        <v>571</v>
      </c>
      <c r="B1014" s="189"/>
      <c r="C1014" s="189" t="s">
        <v>609</v>
      </c>
      <c r="D1014" s="189" t="s">
        <v>498</v>
      </c>
      <c r="E1014" s="189" t="s">
        <v>726</v>
      </c>
      <c r="F1014" s="189" t="s">
        <v>522</v>
      </c>
      <c r="G1014" s="247">
        <f>370180.9</f>
        <v>370180.9</v>
      </c>
      <c r="H1014" s="247">
        <f>370180.9</f>
        <v>370180.9</v>
      </c>
      <c r="I1014" s="248">
        <f t="shared" si="112"/>
        <v>0</v>
      </c>
      <c r="J1014" s="191">
        <f>370180.9-1871.3</f>
        <v>368309.60000000003</v>
      </c>
      <c r="K1014" s="247">
        <f>370180.9-1871.3</f>
        <v>368309.60000000003</v>
      </c>
      <c r="L1014" s="287">
        <f t="shared" si="113"/>
        <v>0</v>
      </c>
    </row>
    <row r="1015" spans="1:12" x14ac:dyDescent="0.2">
      <c r="A1015" s="189" t="s">
        <v>546</v>
      </c>
      <c r="B1015" s="189"/>
      <c r="C1015" s="189" t="s">
        <v>609</v>
      </c>
      <c r="D1015" s="189" t="s">
        <v>498</v>
      </c>
      <c r="E1015" s="189" t="s">
        <v>726</v>
      </c>
      <c r="F1015" s="189" t="s">
        <v>544</v>
      </c>
      <c r="G1015" s="247">
        <v>55640.9</v>
      </c>
      <c r="H1015" s="247">
        <v>55640.9</v>
      </c>
      <c r="I1015" s="248">
        <f t="shared" si="112"/>
        <v>0</v>
      </c>
      <c r="J1015" s="191">
        <v>55640.9</v>
      </c>
      <c r="K1015" s="247">
        <v>55640.9</v>
      </c>
      <c r="L1015" s="287">
        <f t="shared" si="113"/>
        <v>0</v>
      </c>
    </row>
    <row r="1016" spans="1:12" ht="72" x14ac:dyDescent="0.2">
      <c r="A1016" s="189" t="s">
        <v>725</v>
      </c>
      <c r="B1016" s="189"/>
      <c r="C1016" s="189" t="s">
        <v>609</v>
      </c>
      <c r="D1016" s="189" t="s">
        <v>498</v>
      </c>
      <c r="E1016" s="189" t="s">
        <v>724</v>
      </c>
      <c r="F1016" s="189"/>
      <c r="G1016" s="247">
        <f>G1017</f>
        <v>1501775</v>
      </c>
      <c r="H1016" s="247">
        <f>H1017</f>
        <v>1501775</v>
      </c>
      <c r="I1016" s="248">
        <f t="shared" si="112"/>
        <v>0</v>
      </c>
      <c r="J1016" s="191">
        <f>J1017</f>
        <v>1501775</v>
      </c>
      <c r="K1016" s="247">
        <f>K1017</f>
        <v>1501775</v>
      </c>
      <c r="L1016" s="287">
        <f t="shared" si="113"/>
        <v>0</v>
      </c>
    </row>
    <row r="1017" spans="1:12" ht="24" x14ac:dyDescent="0.2">
      <c r="A1017" s="189" t="s">
        <v>547</v>
      </c>
      <c r="B1017" s="189"/>
      <c r="C1017" s="189" t="s">
        <v>609</v>
      </c>
      <c r="D1017" s="189" t="s">
        <v>498</v>
      </c>
      <c r="E1017" s="189" t="s">
        <v>724</v>
      </c>
      <c r="F1017" s="189" t="s">
        <v>519</v>
      </c>
      <c r="G1017" s="247">
        <f>G1018+G1019</f>
        <v>1501775</v>
      </c>
      <c r="H1017" s="247">
        <f>H1018+H1019</f>
        <v>1501775</v>
      </c>
      <c r="I1017" s="248">
        <f t="shared" si="112"/>
        <v>0</v>
      </c>
      <c r="J1017" s="191">
        <f>J1018+J1019</f>
        <v>1501775</v>
      </c>
      <c r="K1017" s="247">
        <f>K1018+K1019</f>
        <v>1501775</v>
      </c>
      <c r="L1017" s="287">
        <f t="shared" si="113"/>
        <v>0</v>
      </c>
    </row>
    <row r="1018" spans="1:12" x14ac:dyDescent="0.2">
      <c r="A1018" s="189" t="s">
        <v>571</v>
      </c>
      <c r="B1018" s="189"/>
      <c r="C1018" s="189" t="s">
        <v>609</v>
      </c>
      <c r="D1018" s="189" t="s">
        <v>498</v>
      </c>
      <c r="E1018" s="189" t="s">
        <v>724</v>
      </c>
      <c r="F1018" s="189" t="s">
        <v>522</v>
      </c>
      <c r="G1018" s="247">
        <f>1313233+1329</f>
        <v>1314562</v>
      </c>
      <c r="H1018" s="247">
        <f>1313233+1329</f>
        <v>1314562</v>
      </c>
      <c r="I1018" s="248">
        <f t="shared" si="112"/>
        <v>0</v>
      </c>
      <c r="J1018" s="191">
        <f>1313233+1329</f>
        <v>1314562</v>
      </c>
      <c r="K1018" s="247">
        <f>1313233+1329</f>
        <v>1314562</v>
      </c>
      <c r="L1018" s="287">
        <f t="shared" si="113"/>
        <v>0</v>
      </c>
    </row>
    <row r="1019" spans="1:12" x14ac:dyDescent="0.2">
      <c r="A1019" s="189" t="s">
        <v>546</v>
      </c>
      <c r="B1019" s="189"/>
      <c r="C1019" s="189" t="s">
        <v>609</v>
      </c>
      <c r="D1019" s="189" t="s">
        <v>498</v>
      </c>
      <c r="E1019" s="189" t="s">
        <v>724</v>
      </c>
      <c r="F1019" s="189" t="s">
        <v>544</v>
      </c>
      <c r="G1019" s="247">
        <f>188542-1329</f>
        <v>187213</v>
      </c>
      <c r="H1019" s="247">
        <f>188542-1329</f>
        <v>187213</v>
      </c>
      <c r="I1019" s="248">
        <f t="shared" si="112"/>
        <v>0</v>
      </c>
      <c r="J1019" s="191">
        <f>188542-1329</f>
        <v>187213</v>
      </c>
      <c r="K1019" s="247">
        <f>188542-1329</f>
        <v>187213</v>
      </c>
      <c r="L1019" s="287">
        <f t="shared" si="113"/>
        <v>0</v>
      </c>
    </row>
    <row r="1020" spans="1:12" ht="60" x14ac:dyDescent="0.2">
      <c r="A1020" s="189" t="s">
        <v>723</v>
      </c>
      <c r="B1020" s="189"/>
      <c r="C1020" s="189" t="s">
        <v>609</v>
      </c>
      <c r="D1020" s="189" t="s">
        <v>498</v>
      </c>
      <c r="E1020" s="189" t="s">
        <v>722</v>
      </c>
      <c r="F1020" s="189"/>
      <c r="G1020" s="247">
        <v>29989</v>
      </c>
      <c r="H1020" s="247">
        <v>29989</v>
      </c>
      <c r="I1020" s="248">
        <f t="shared" si="112"/>
        <v>0</v>
      </c>
      <c r="J1020" s="191">
        <v>29989</v>
      </c>
      <c r="K1020" s="247">
        <v>29989</v>
      </c>
      <c r="L1020" s="287">
        <f t="shared" si="113"/>
        <v>0</v>
      </c>
    </row>
    <row r="1021" spans="1:12" ht="24" x14ac:dyDescent="0.2">
      <c r="A1021" s="189" t="s">
        <v>547</v>
      </c>
      <c r="B1021" s="189"/>
      <c r="C1021" s="189" t="s">
        <v>609</v>
      </c>
      <c r="D1021" s="189" t="s">
        <v>498</v>
      </c>
      <c r="E1021" s="189" t="s">
        <v>722</v>
      </c>
      <c r="F1021" s="189" t="s">
        <v>519</v>
      </c>
      <c r="G1021" s="247">
        <v>29989</v>
      </c>
      <c r="H1021" s="247">
        <v>29989</v>
      </c>
      <c r="I1021" s="248">
        <f t="shared" si="112"/>
        <v>0</v>
      </c>
      <c r="J1021" s="191">
        <v>29989</v>
      </c>
      <c r="K1021" s="247">
        <v>29989</v>
      </c>
      <c r="L1021" s="287">
        <f t="shared" si="113"/>
        <v>0</v>
      </c>
    </row>
    <row r="1022" spans="1:12" ht="24" x14ac:dyDescent="0.2">
      <c r="A1022" s="189" t="s">
        <v>705</v>
      </c>
      <c r="B1022" s="189"/>
      <c r="C1022" s="189" t="s">
        <v>609</v>
      </c>
      <c r="D1022" s="189" t="s">
        <v>498</v>
      </c>
      <c r="E1022" s="189" t="s">
        <v>722</v>
      </c>
      <c r="F1022" s="189" t="s">
        <v>703</v>
      </c>
      <c r="G1022" s="247">
        <v>29989</v>
      </c>
      <c r="H1022" s="247">
        <v>29989</v>
      </c>
      <c r="I1022" s="248">
        <f t="shared" si="112"/>
        <v>0</v>
      </c>
      <c r="J1022" s="191">
        <v>29989</v>
      </c>
      <c r="K1022" s="247">
        <v>29989</v>
      </c>
      <c r="L1022" s="287">
        <f t="shared" si="113"/>
        <v>0</v>
      </c>
    </row>
    <row r="1023" spans="1:12" ht="84" x14ac:dyDescent="0.2">
      <c r="A1023" s="189" t="s">
        <v>721</v>
      </c>
      <c r="B1023" s="189"/>
      <c r="C1023" s="189" t="s">
        <v>609</v>
      </c>
      <c r="D1023" s="189" t="s">
        <v>498</v>
      </c>
      <c r="E1023" s="189" t="s">
        <v>720</v>
      </c>
      <c r="F1023" s="189"/>
      <c r="G1023" s="247">
        <v>45595.6</v>
      </c>
      <c r="H1023" s="247">
        <v>45595.6</v>
      </c>
      <c r="I1023" s="248">
        <f t="shared" si="112"/>
        <v>0</v>
      </c>
      <c r="J1023" s="191">
        <v>45595.6</v>
      </c>
      <c r="K1023" s="247">
        <v>45595.6</v>
      </c>
      <c r="L1023" s="287">
        <f t="shared" si="113"/>
        <v>0</v>
      </c>
    </row>
    <row r="1024" spans="1:12" ht="24" x14ac:dyDescent="0.2">
      <c r="A1024" s="189" t="s">
        <v>547</v>
      </c>
      <c r="B1024" s="189"/>
      <c r="C1024" s="189" t="s">
        <v>609</v>
      </c>
      <c r="D1024" s="189" t="s">
        <v>498</v>
      </c>
      <c r="E1024" s="189" t="s">
        <v>720</v>
      </c>
      <c r="F1024" s="189" t="s">
        <v>519</v>
      </c>
      <c r="G1024" s="247">
        <v>45595.6</v>
      </c>
      <c r="H1024" s="247">
        <v>45595.6</v>
      </c>
      <c r="I1024" s="248">
        <f t="shared" si="112"/>
        <v>0</v>
      </c>
      <c r="J1024" s="191">
        <v>45595.6</v>
      </c>
      <c r="K1024" s="247">
        <v>45595.6</v>
      </c>
      <c r="L1024" s="287">
        <f t="shared" si="113"/>
        <v>0</v>
      </c>
    </row>
    <row r="1025" spans="1:12" x14ac:dyDescent="0.2">
      <c r="A1025" s="189" t="s">
        <v>571</v>
      </c>
      <c r="B1025" s="189"/>
      <c r="C1025" s="189" t="s">
        <v>609</v>
      </c>
      <c r="D1025" s="189" t="s">
        <v>498</v>
      </c>
      <c r="E1025" s="189" t="s">
        <v>720</v>
      </c>
      <c r="F1025" s="189" t="s">
        <v>522</v>
      </c>
      <c r="G1025" s="247">
        <v>40178</v>
      </c>
      <c r="H1025" s="247">
        <v>40178</v>
      </c>
      <c r="I1025" s="248">
        <f t="shared" si="112"/>
        <v>0</v>
      </c>
      <c r="J1025" s="191">
        <v>40178</v>
      </c>
      <c r="K1025" s="247">
        <v>40178</v>
      </c>
      <c r="L1025" s="287">
        <f t="shared" si="113"/>
        <v>0</v>
      </c>
    </row>
    <row r="1026" spans="1:12" x14ac:dyDescent="0.2">
      <c r="A1026" s="189" t="s">
        <v>546</v>
      </c>
      <c r="B1026" s="189"/>
      <c r="C1026" s="189" t="s">
        <v>609</v>
      </c>
      <c r="D1026" s="189" t="s">
        <v>498</v>
      </c>
      <c r="E1026" s="189" t="s">
        <v>720</v>
      </c>
      <c r="F1026" s="189" t="s">
        <v>544</v>
      </c>
      <c r="G1026" s="247">
        <v>5417.6</v>
      </c>
      <c r="H1026" s="247">
        <v>5417.6</v>
      </c>
      <c r="I1026" s="248">
        <f t="shared" si="112"/>
        <v>0</v>
      </c>
      <c r="J1026" s="191">
        <v>5417.6</v>
      </c>
      <c r="K1026" s="247">
        <v>5417.6</v>
      </c>
      <c r="L1026" s="287">
        <f t="shared" si="113"/>
        <v>0</v>
      </c>
    </row>
    <row r="1027" spans="1:12" x14ac:dyDescent="0.2">
      <c r="A1027" s="189" t="s">
        <v>568</v>
      </c>
      <c r="B1027" s="189"/>
      <c r="C1027" s="189" t="s">
        <v>609</v>
      </c>
      <c r="D1027" s="189" t="s">
        <v>498</v>
      </c>
      <c r="E1027" s="189" t="s">
        <v>567</v>
      </c>
      <c r="F1027" s="189"/>
      <c r="G1027" s="247">
        <f t="shared" ref="G1027:H1031" si="114">G1028</f>
        <v>2600</v>
      </c>
      <c r="H1027" s="247">
        <f t="shared" si="114"/>
        <v>2600</v>
      </c>
      <c r="I1027" s="248">
        <f t="shared" si="112"/>
        <v>0</v>
      </c>
      <c r="J1027" s="191">
        <v>0</v>
      </c>
      <c r="K1027" s="247">
        <v>0</v>
      </c>
      <c r="L1027" s="287">
        <f t="shared" si="113"/>
        <v>0</v>
      </c>
    </row>
    <row r="1028" spans="1:12" x14ac:dyDescent="0.2">
      <c r="A1028" s="189" t="s">
        <v>566</v>
      </c>
      <c r="B1028" s="189"/>
      <c r="C1028" s="189" t="s">
        <v>609</v>
      </c>
      <c r="D1028" s="189" t="s">
        <v>498</v>
      </c>
      <c r="E1028" s="189" t="s">
        <v>565</v>
      </c>
      <c r="F1028" s="189"/>
      <c r="G1028" s="247">
        <f t="shared" si="114"/>
        <v>2600</v>
      </c>
      <c r="H1028" s="247">
        <f t="shared" si="114"/>
        <v>2600</v>
      </c>
      <c r="I1028" s="248">
        <f t="shared" si="112"/>
        <v>0</v>
      </c>
      <c r="J1028" s="191">
        <v>0</v>
      </c>
      <c r="K1028" s="247">
        <v>0</v>
      </c>
      <c r="L1028" s="287">
        <f t="shared" si="113"/>
        <v>0</v>
      </c>
    </row>
    <row r="1029" spans="1:12" ht="25.5" customHeight="1" x14ac:dyDescent="0.2">
      <c r="A1029" s="189" t="s">
        <v>1387</v>
      </c>
      <c r="B1029" s="189"/>
      <c r="C1029" s="189" t="s">
        <v>609</v>
      </c>
      <c r="D1029" s="189" t="s">
        <v>498</v>
      </c>
      <c r="E1029" s="189" t="s">
        <v>578</v>
      </c>
      <c r="F1029" s="189"/>
      <c r="G1029" s="247">
        <f t="shared" si="114"/>
        <v>2600</v>
      </c>
      <c r="H1029" s="247">
        <f t="shared" si="114"/>
        <v>2600</v>
      </c>
      <c r="I1029" s="248">
        <f t="shared" si="112"/>
        <v>0</v>
      </c>
      <c r="J1029" s="191">
        <v>0</v>
      </c>
      <c r="K1029" s="247">
        <v>0</v>
      </c>
      <c r="L1029" s="287">
        <f t="shared" si="113"/>
        <v>0</v>
      </c>
    </row>
    <row r="1030" spans="1:12" ht="60" x14ac:dyDescent="0.2">
      <c r="A1030" s="189" t="s">
        <v>719</v>
      </c>
      <c r="B1030" s="189"/>
      <c r="C1030" s="189" t="s">
        <v>609</v>
      </c>
      <c r="D1030" s="189" t="s">
        <v>498</v>
      </c>
      <c r="E1030" s="189" t="s">
        <v>718</v>
      </c>
      <c r="F1030" s="189"/>
      <c r="G1030" s="247">
        <f t="shared" si="114"/>
        <v>2600</v>
      </c>
      <c r="H1030" s="247">
        <f t="shared" si="114"/>
        <v>2600</v>
      </c>
      <c r="I1030" s="248">
        <f t="shared" si="112"/>
        <v>0</v>
      </c>
      <c r="J1030" s="191">
        <v>0</v>
      </c>
      <c r="K1030" s="247">
        <v>0</v>
      </c>
      <c r="L1030" s="287">
        <f t="shared" si="113"/>
        <v>0</v>
      </c>
    </row>
    <row r="1031" spans="1:12" ht="24" x14ac:dyDescent="0.2">
      <c r="A1031" s="189" t="s">
        <v>547</v>
      </c>
      <c r="B1031" s="189"/>
      <c r="C1031" s="189" t="s">
        <v>609</v>
      </c>
      <c r="D1031" s="189" t="s">
        <v>498</v>
      </c>
      <c r="E1031" s="189" t="s">
        <v>718</v>
      </c>
      <c r="F1031" s="189" t="s">
        <v>519</v>
      </c>
      <c r="G1031" s="247">
        <f t="shared" si="114"/>
        <v>2600</v>
      </c>
      <c r="H1031" s="247">
        <f t="shared" si="114"/>
        <v>2600</v>
      </c>
      <c r="I1031" s="248">
        <f t="shared" si="112"/>
        <v>0</v>
      </c>
      <c r="J1031" s="191">
        <v>0</v>
      </c>
      <c r="K1031" s="247">
        <v>0</v>
      </c>
      <c r="L1031" s="287">
        <f t="shared" si="113"/>
        <v>0</v>
      </c>
    </row>
    <row r="1032" spans="1:12" x14ac:dyDescent="0.2">
      <c r="A1032" s="189" t="s">
        <v>571</v>
      </c>
      <c r="B1032" s="189"/>
      <c r="C1032" s="189" t="s">
        <v>609</v>
      </c>
      <c r="D1032" s="189" t="s">
        <v>498</v>
      </c>
      <c r="E1032" s="189" t="s">
        <v>718</v>
      </c>
      <c r="F1032" s="189" t="s">
        <v>522</v>
      </c>
      <c r="G1032" s="247">
        <f>2500+100</f>
        <v>2600</v>
      </c>
      <c r="H1032" s="247">
        <f>2500+100</f>
        <v>2600</v>
      </c>
      <c r="I1032" s="248">
        <f t="shared" si="112"/>
        <v>0</v>
      </c>
      <c r="J1032" s="191">
        <v>0</v>
      </c>
      <c r="K1032" s="247">
        <v>0</v>
      </c>
      <c r="L1032" s="287">
        <f t="shared" si="113"/>
        <v>0</v>
      </c>
    </row>
    <row r="1033" spans="1:12" x14ac:dyDescent="0.2">
      <c r="A1033" s="189" t="s">
        <v>717</v>
      </c>
      <c r="B1033" s="189"/>
      <c r="C1033" s="189" t="s">
        <v>609</v>
      </c>
      <c r="D1033" s="189" t="s">
        <v>502</v>
      </c>
      <c r="E1033" s="189"/>
      <c r="F1033" s="189"/>
      <c r="G1033" s="247">
        <f>G1034</f>
        <v>3101438.0999999996</v>
      </c>
      <c r="H1033" s="247">
        <f>H1034</f>
        <v>3266434.0999999996</v>
      </c>
      <c r="I1033" s="248">
        <f t="shared" si="112"/>
        <v>164996</v>
      </c>
      <c r="J1033" s="191">
        <f>J1034</f>
        <v>3102152.0999999996</v>
      </c>
      <c r="K1033" s="247">
        <f>K1034</f>
        <v>3267148.0999999996</v>
      </c>
      <c r="L1033" s="287">
        <f t="shared" si="113"/>
        <v>164996</v>
      </c>
    </row>
    <row r="1034" spans="1:12" x14ac:dyDescent="0.2">
      <c r="A1034" s="189" t="s">
        <v>666</v>
      </c>
      <c r="B1034" s="189"/>
      <c r="C1034" s="189" t="s">
        <v>609</v>
      </c>
      <c r="D1034" s="189" t="s">
        <v>502</v>
      </c>
      <c r="E1034" s="189" t="s">
        <v>665</v>
      </c>
      <c r="F1034" s="189"/>
      <c r="G1034" s="247">
        <f>G1035</f>
        <v>3101438.0999999996</v>
      </c>
      <c r="H1034" s="247">
        <f>H1035</f>
        <v>3266434.0999999996</v>
      </c>
      <c r="I1034" s="248">
        <f t="shared" si="112"/>
        <v>164996</v>
      </c>
      <c r="J1034" s="191">
        <f>J1035</f>
        <v>3102152.0999999996</v>
      </c>
      <c r="K1034" s="247">
        <f>K1035</f>
        <v>3267148.0999999996</v>
      </c>
      <c r="L1034" s="287">
        <f t="shared" si="113"/>
        <v>164996</v>
      </c>
    </row>
    <row r="1035" spans="1:12" x14ac:dyDescent="0.2">
      <c r="A1035" s="189" t="s">
        <v>688</v>
      </c>
      <c r="B1035" s="189"/>
      <c r="C1035" s="189" t="s">
        <v>609</v>
      </c>
      <c r="D1035" s="189" t="s">
        <v>502</v>
      </c>
      <c r="E1035" s="189" t="s">
        <v>687</v>
      </c>
      <c r="F1035" s="189"/>
      <c r="G1035" s="247">
        <f>G1036+G1052+G1077+G1056</f>
        <v>3101438.0999999996</v>
      </c>
      <c r="H1035" s="247">
        <f>H1036+H1052+H1077+H1056</f>
        <v>3266434.0999999996</v>
      </c>
      <c r="I1035" s="248">
        <f t="shared" si="112"/>
        <v>164996</v>
      </c>
      <c r="J1035" s="191">
        <f>J1036+J1052+J1077+J1056</f>
        <v>3102152.0999999996</v>
      </c>
      <c r="K1035" s="247">
        <f>K1036+K1052+K1077+K1056</f>
        <v>3267148.0999999996</v>
      </c>
      <c r="L1035" s="287">
        <f t="shared" si="113"/>
        <v>164996</v>
      </c>
    </row>
    <row r="1036" spans="1:12" ht="24" x14ac:dyDescent="0.2">
      <c r="A1036" s="189" t="s">
        <v>686</v>
      </c>
      <c r="B1036" s="189"/>
      <c r="C1036" s="189" t="s">
        <v>609</v>
      </c>
      <c r="D1036" s="189" t="s">
        <v>502</v>
      </c>
      <c r="E1036" s="189" t="s">
        <v>685</v>
      </c>
      <c r="F1036" s="189"/>
      <c r="G1036" s="247">
        <f>G1037+G1045+G1049</f>
        <v>2941723.8</v>
      </c>
      <c r="H1036" s="247">
        <f>H1037+H1045+H1049+H1041</f>
        <v>3036092.8</v>
      </c>
      <c r="I1036" s="248">
        <f t="shared" si="112"/>
        <v>94369</v>
      </c>
      <c r="J1036" s="191">
        <f>J1037+J1045+J1049</f>
        <v>2941723.8</v>
      </c>
      <c r="K1036" s="247">
        <f>K1037+K1045+K1049+K1041</f>
        <v>3036092.8</v>
      </c>
      <c r="L1036" s="287">
        <f t="shared" si="113"/>
        <v>94369</v>
      </c>
    </row>
    <row r="1037" spans="1:12" ht="24" x14ac:dyDescent="0.2">
      <c r="A1037" s="189" t="s">
        <v>684</v>
      </c>
      <c r="B1037" s="189"/>
      <c r="C1037" s="189" t="s">
        <v>609</v>
      </c>
      <c r="D1037" s="189" t="s">
        <v>502</v>
      </c>
      <c r="E1037" s="189" t="s">
        <v>683</v>
      </c>
      <c r="F1037" s="189"/>
      <c r="G1037" s="247">
        <v>484716.79999999999</v>
      </c>
      <c r="H1037" s="247">
        <v>484716.79999999999</v>
      </c>
      <c r="I1037" s="248">
        <f t="shared" si="112"/>
        <v>0</v>
      </c>
      <c r="J1037" s="191">
        <v>484716.79999999999</v>
      </c>
      <c r="K1037" s="247">
        <v>484716.79999999999</v>
      </c>
      <c r="L1037" s="287">
        <f t="shared" si="113"/>
        <v>0</v>
      </c>
    </row>
    <row r="1038" spans="1:12" ht="24" x14ac:dyDescent="0.2">
      <c r="A1038" s="189" t="s">
        <v>547</v>
      </c>
      <c r="B1038" s="189"/>
      <c r="C1038" s="189" t="s">
        <v>609</v>
      </c>
      <c r="D1038" s="189" t="s">
        <v>502</v>
      </c>
      <c r="E1038" s="189" t="s">
        <v>683</v>
      </c>
      <c r="F1038" s="189" t="s">
        <v>519</v>
      </c>
      <c r="G1038" s="247">
        <v>484716.79999999999</v>
      </c>
      <c r="H1038" s="247">
        <v>484716.79999999999</v>
      </c>
      <c r="I1038" s="248">
        <f t="shared" si="112"/>
        <v>0</v>
      </c>
      <c r="J1038" s="191">
        <v>484716.79999999999</v>
      </c>
      <c r="K1038" s="247">
        <v>484716.79999999999</v>
      </c>
      <c r="L1038" s="287">
        <f t="shared" si="113"/>
        <v>0</v>
      </c>
    </row>
    <row r="1039" spans="1:12" x14ac:dyDescent="0.2">
      <c r="A1039" s="189" t="s">
        <v>571</v>
      </c>
      <c r="B1039" s="189"/>
      <c r="C1039" s="189" t="s">
        <v>609</v>
      </c>
      <c r="D1039" s="189" t="s">
        <v>502</v>
      </c>
      <c r="E1039" s="189" t="s">
        <v>683</v>
      </c>
      <c r="F1039" s="189" t="s">
        <v>522</v>
      </c>
      <c r="G1039" s="247">
        <v>417583.4</v>
      </c>
      <c r="H1039" s="247">
        <v>417583.4</v>
      </c>
      <c r="I1039" s="248">
        <f t="shared" si="112"/>
        <v>0</v>
      </c>
      <c r="J1039" s="191">
        <v>417583.4</v>
      </c>
      <c r="K1039" s="247">
        <v>417583.4</v>
      </c>
      <c r="L1039" s="287">
        <f t="shared" si="113"/>
        <v>0</v>
      </c>
    </row>
    <row r="1040" spans="1:12" x14ac:dyDescent="0.2">
      <c r="A1040" s="189" t="s">
        <v>546</v>
      </c>
      <c r="B1040" s="189"/>
      <c r="C1040" s="189" t="s">
        <v>609</v>
      </c>
      <c r="D1040" s="189" t="s">
        <v>502</v>
      </c>
      <c r="E1040" s="189" t="s">
        <v>683</v>
      </c>
      <c r="F1040" s="189" t="s">
        <v>544</v>
      </c>
      <c r="G1040" s="247">
        <v>67133.399999999994</v>
      </c>
      <c r="H1040" s="247">
        <v>67133.399999999994</v>
      </c>
      <c r="I1040" s="248">
        <f t="shared" si="112"/>
        <v>0</v>
      </c>
      <c r="J1040" s="191">
        <v>67133.399999999994</v>
      </c>
      <c r="K1040" s="247">
        <v>67133.399999999994</v>
      </c>
      <c r="L1040" s="287">
        <f t="shared" si="113"/>
        <v>0</v>
      </c>
    </row>
    <row r="1041" spans="1:12" s="409" customFormat="1" ht="132" x14ac:dyDescent="0.2">
      <c r="A1041" s="189" t="s">
        <v>1602</v>
      </c>
      <c r="B1041" s="190"/>
      <c r="C1041" s="189" t="s">
        <v>609</v>
      </c>
      <c r="D1041" s="189" t="s">
        <v>502</v>
      </c>
      <c r="E1041" s="189" t="s">
        <v>1603</v>
      </c>
      <c r="F1041" s="190"/>
      <c r="G1041" s="247">
        <f>G1042</f>
        <v>0</v>
      </c>
      <c r="H1041" s="247">
        <f>H1042</f>
        <v>94369</v>
      </c>
      <c r="I1041" s="248">
        <f t="shared" si="112"/>
        <v>94369</v>
      </c>
      <c r="J1041" s="191">
        <f>J1042</f>
        <v>0</v>
      </c>
      <c r="K1041" s="247">
        <f>K1042</f>
        <v>94369</v>
      </c>
      <c r="L1041" s="287">
        <f t="shared" si="113"/>
        <v>94369</v>
      </c>
    </row>
    <row r="1042" spans="1:12" s="409" customFormat="1" ht="24" x14ac:dyDescent="0.2">
      <c r="A1042" s="189" t="s">
        <v>547</v>
      </c>
      <c r="B1042" s="190"/>
      <c r="C1042" s="189" t="s">
        <v>609</v>
      </c>
      <c r="D1042" s="189" t="s">
        <v>502</v>
      </c>
      <c r="E1042" s="189" t="s">
        <v>1603</v>
      </c>
      <c r="F1042" s="190" t="s">
        <v>519</v>
      </c>
      <c r="G1042" s="247">
        <f>G1043+G1044</f>
        <v>0</v>
      </c>
      <c r="H1042" s="247">
        <f>H1043+H1044</f>
        <v>94369</v>
      </c>
      <c r="I1042" s="248">
        <f t="shared" si="112"/>
        <v>94369</v>
      </c>
      <c r="J1042" s="191">
        <f>J1043+J1044</f>
        <v>0</v>
      </c>
      <c r="K1042" s="247">
        <f>K1043+K1044</f>
        <v>94369</v>
      </c>
      <c r="L1042" s="287">
        <f t="shared" si="113"/>
        <v>94369</v>
      </c>
    </row>
    <row r="1043" spans="1:12" s="409" customFormat="1" x14ac:dyDescent="0.2">
      <c r="A1043" s="189" t="s">
        <v>571</v>
      </c>
      <c r="B1043" s="190"/>
      <c r="C1043" s="189" t="s">
        <v>609</v>
      </c>
      <c r="D1043" s="189" t="s">
        <v>502</v>
      </c>
      <c r="E1043" s="189" t="s">
        <v>1603</v>
      </c>
      <c r="F1043" s="190" t="s">
        <v>522</v>
      </c>
      <c r="G1043" s="247">
        <v>0</v>
      </c>
      <c r="H1043" s="247">
        <v>85620</v>
      </c>
      <c r="I1043" s="248">
        <f t="shared" si="112"/>
        <v>85620</v>
      </c>
      <c r="J1043" s="191">
        <v>0</v>
      </c>
      <c r="K1043" s="247">
        <v>85620</v>
      </c>
      <c r="L1043" s="287">
        <f t="shared" si="113"/>
        <v>85620</v>
      </c>
    </row>
    <row r="1044" spans="1:12" s="409" customFormat="1" x14ac:dyDescent="0.2">
      <c r="A1044" s="189" t="s">
        <v>546</v>
      </c>
      <c r="B1044" s="190"/>
      <c r="C1044" s="189" t="s">
        <v>609</v>
      </c>
      <c r="D1044" s="189" t="s">
        <v>502</v>
      </c>
      <c r="E1044" s="189" t="s">
        <v>1603</v>
      </c>
      <c r="F1044" s="190" t="s">
        <v>544</v>
      </c>
      <c r="G1044" s="247">
        <v>0</v>
      </c>
      <c r="H1044" s="247">
        <v>8749</v>
      </c>
      <c r="I1044" s="248">
        <f t="shared" si="112"/>
        <v>8749</v>
      </c>
      <c r="J1044" s="191">
        <v>0</v>
      </c>
      <c r="K1044" s="247">
        <v>8749</v>
      </c>
      <c r="L1044" s="287">
        <f t="shared" si="113"/>
        <v>8749</v>
      </c>
    </row>
    <row r="1045" spans="1:12" ht="108" x14ac:dyDescent="0.2">
      <c r="A1045" s="189" t="s">
        <v>716</v>
      </c>
      <c r="B1045" s="189"/>
      <c r="C1045" s="189" t="s">
        <v>609</v>
      </c>
      <c r="D1045" s="189" t="s">
        <v>502</v>
      </c>
      <c r="E1045" s="189" t="s">
        <v>715</v>
      </c>
      <c r="F1045" s="189"/>
      <c r="G1045" s="247">
        <f>G1046</f>
        <v>2296132</v>
      </c>
      <c r="H1045" s="247">
        <f>H1046</f>
        <v>2296132</v>
      </c>
      <c r="I1045" s="248">
        <f t="shared" si="112"/>
        <v>0</v>
      </c>
      <c r="J1045" s="191">
        <f>J1046</f>
        <v>2296132</v>
      </c>
      <c r="K1045" s="247">
        <f>K1046</f>
        <v>2296132</v>
      </c>
      <c r="L1045" s="287">
        <f t="shared" si="113"/>
        <v>0</v>
      </c>
    </row>
    <row r="1046" spans="1:12" ht="24" x14ac:dyDescent="0.2">
      <c r="A1046" s="189" t="s">
        <v>547</v>
      </c>
      <c r="B1046" s="189"/>
      <c r="C1046" s="189" t="s">
        <v>609</v>
      </c>
      <c r="D1046" s="189" t="s">
        <v>502</v>
      </c>
      <c r="E1046" s="189" t="s">
        <v>715</v>
      </c>
      <c r="F1046" s="189" t="s">
        <v>519</v>
      </c>
      <c r="G1046" s="247">
        <f>G1047+G1048</f>
        <v>2296132</v>
      </c>
      <c r="H1046" s="247">
        <f>H1047+H1048</f>
        <v>2296132</v>
      </c>
      <c r="I1046" s="248">
        <f t="shared" si="112"/>
        <v>0</v>
      </c>
      <c r="J1046" s="191">
        <f>J1047+J1048</f>
        <v>2296132</v>
      </c>
      <c r="K1046" s="247">
        <f>K1047+K1048</f>
        <v>2296132</v>
      </c>
      <c r="L1046" s="287">
        <f t="shared" si="113"/>
        <v>0</v>
      </c>
    </row>
    <row r="1047" spans="1:12" x14ac:dyDescent="0.2">
      <c r="A1047" s="189" t="s">
        <v>571</v>
      </c>
      <c r="B1047" s="189"/>
      <c r="C1047" s="189" t="s">
        <v>609</v>
      </c>
      <c r="D1047" s="189" t="s">
        <v>502</v>
      </c>
      <c r="E1047" s="189" t="s">
        <v>715</v>
      </c>
      <c r="F1047" s="189" t="s">
        <v>522</v>
      </c>
      <c r="G1047" s="247">
        <f>2297918-201444-1786</f>
        <v>2094688</v>
      </c>
      <c r="H1047" s="247">
        <f>2297918-201444-1786</f>
        <v>2094688</v>
      </c>
      <c r="I1047" s="248">
        <f t="shared" si="112"/>
        <v>0</v>
      </c>
      <c r="J1047" s="191">
        <f>2297918-201444-1786</f>
        <v>2094688</v>
      </c>
      <c r="K1047" s="247">
        <f>2297918-201444-1786</f>
        <v>2094688</v>
      </c>
      <c r="L1047" s="287">
        <f t="shared" si="113"/>
        <v>0</v>
      </c>
    </row>
    <row r="1048" spans="1:12" s="295" customFormat="1" x14ac:dyDescent="0.2">
      <c r="A1048" s="189" t="s">
        <v>546</v>
      </c>
      <c r="B1048" s="189"/>
      <c r="C1048" s="189" t="s">
        <v>609</v>
      </c>
      <c r="D1048" s="189" t="s">
        <v>502</v>
      </c>
      <c r="E1048" s="189" t="s">
        <v>715</v>
      </c>
      <c r="F1048" s="189" t="s">
        <v>544</v>
      </c>
      <c r="G1048" s="247">
        <v>201444</v>
      </c>
      <c r="H1048" s="247">
        <v>201444</v>
      </c>
      <c r="I1048" s="248">
        <f t="shared" si="112"/>
        <v>0</v>
      </c>
      <c r="J1048" s="191">
        <v>201444</v>
      </c>
      <c r="K1048" s="247">
        <v>201444</v>
      </c>
      <c r="L1048" s="287">
        <f t="shared" si="113"/>
        <v>0</v>
      </c>
    </row>
    <row r="1049" spans="1:12" ht="96" x14ac:dyDescent="0.2">
      <c r="A1049" s="189" t="s">
        <v>714</v>
      </c>
      <c r="B1049" s="189"/>
      <c r="C1049" s="189" t="s">
        <v>609</v>
      </c>
      <c r="D1049" s="189" t="s">
        <v>502</v>
      </c>
      <c r="E1049" s="189" t="s">
        <v>713</v>
      </c>
      <c r="F1049" s="189"/>
      <c r="G1049" s="247">
        <f>G1050</f>
        <v>160875</v>
      </c>
      <c r="H1049" s="247">
        <f>H1050</f>
        <v>160875</v>
      </c>
      <c r="I1049" s="248">
        <f t="shared" si="112"/>
        <v>0</v>
      </c>
      <c r="J1049" s="191">
        <f>J1050</f>
        <v>160875</v>
      </c>
      <c r="K1049" s="247">
        <f>K1050</f>
        <v>160875</v>
      </c>
      <c r="L1049" s="287">
        <f t="shared" si="113"/>
        <v>0</v>
      </c>
    </row>
    <row r="1050" spans="1:12" ht="24" x14ac:dyDescent="0.2">
      <c r="A1050" s="189" t="s">
        <v>547</v>
      </c>
      <c r="B1050" s="189"/>
      <c r="C1050" s="189" t="s">
        <v>609</v>
      </c>
      <c r="D1050" s="189" t="s">
        <v>502</v>
      </c>
      <c r="E1050" s="189" t="s">
        <v>713</v>
      </c>
      <c r="F1050" s="189" t="s">
        <v>519</v>
      </c>
      <c r="G1050" s="247">
        <f>G1051</f>
        <v>160875</v>
      </c>
      <c r="H1050" s="247">
        <f>H1051</f>
        <v>160875</v>
      </c>
      <c r="I1050" s="248">
        <f t="shared" si="112"/>
        <v>0</v>
      </c>
      <c r="J1050" s="191">
        <f>J1051</f>
        <v>160875</v>
      </c>
      <c r="K1050" s="247">
        <f>K1051</f>
        <v>160875</v>
      </c>
      <c r="L1050" s="287">
        <f t="shared" si="113"/>
        <v>0</v>
      </c>
    </row>
    <row r="1051" spans="1:12" ht="24" x14ac:dyDescent="0.2">
      <c r="A1051" s="189" t="s">
        <v>705</v>
      </c>
      <c r="B1051" s="189"/>
      <c r="C1051" s="189" t="s">
        <v>609</v>
      </c>
      <c r="D1051" s="189" t="s">
        <v>502</v>
      </c>
      <c r="E1051" s="189" t="s">
        <v>713</v>
      </c>
      <c r="F1051" s="189" t="s">
        <v>703</v>
      </c>
      <c r="G1051" s="247">
        <f>167226-6351</f>
        <v>160875</v>
      </c>
      <c r="H1051" s="247">
        <f>167226-6351</f>
        <v>160875</v>
      </c>
      <c r="I1051" s="248">
        <f t="shared" si="112"/>
        <v>0</v>
      </c>
      <c r="J1051" s="191">
        <f>167226-6351</f>
        <v>160875</v>
      </c>
      <c r="K1051" s="247">
        <f>167226-6351</f>
        <v>160875</v>
      </c>
      <c r="L1051" s="287">
        <f t="shared" si="113"/>
        <v>0</v>
      </c>
    </row>
    <row r="1052" spans="1:12" ht="36" x14ac:dyDescent="0.2">
      <c r="A1052" s="189" t="s">
        <v>712</v>
      </c>
      <c r="B1052" s="189"/>
      <c r="C1052" s="189" t="s">
        <v>609</v>
      </c>
      <c r="D1052" s="189" t="s">
        <v>502</v>
      </c>
      <c r="E1052" s="189" t="s">
        <v>711</v>
      </c>
      <c r="F1052" s="189"/>
      <c r="G1052" s="247">
        <v>8310</v>
      </c>
      <c r="H1052" s="247">
        <v>8310</v>
      </c>
      <c r="I1052" s="248">
        <f t="shared" si="112"/>
        <v>0</v>
      </c>
      <c r="J1052" s="191">
        <v>9026</v>
      </c>
      <c r="K1052" s="247">
        <v>9026</v>
      </c>
      <c r="L1052" s="287">
        <f t="shared" si="113"/>
        <v>0</v>
      </c>
    </row>
    <row r="1053" spans="1:12" ht="48" x14ac:dyDescent="0.2">
      <c r="A1053" s="189" t="s">
        <v>710</v>
      </c>
      <c r="B1053" s="189"/>
      <c r="C1053" s="189" t="s">
        <v>609</v>
      </c>
      <c r="D1053" s="189" t="s">
        <v>502</v>
      </c>
      <c r="E1053" s="189" t="s">
        <v>709</v>
      </c>
      <c r="F1053" s="189"/>
      <c r="G1053" s="247">
        <v>8310</v>
      </c>
      <c r="H1053" s="247">
        <v>8310</v>
      </c>
      <c r="I1053" s="248">
        <f t="shared" si="112"/>
        <v>0</v>
      </c>
      <c r="J1053" s="191">
        <v>9026</v>
      </c>
      <c r="K1053" s="247">
        <v>9026</v>
      </c>
      <c r="L1053" s="287">
        <f t="shared" si="113"/>
        <v>0</v>
      </c>
    </row>
    <row r="1054" spans="1:12" ht="24" x14ac:dyDescent="0.2">
      <c r="A1054" s="189" t="s">
        <v>547</v>
      </c>
      <c r="B1054" s="189"/>
      <c r="C1054" s="189" t="s">
        <v>609</v>
      </c>
      <c r="D1054" s="189" t="s">
        <v>502</v>
      </c>
      <c r="E1054" s="189" t="s">
        <v>709</v>
      </c>
      <c r="F1054" s="189" t="s">
        <v>519</v>
      </c>
      <c r="G1054" s="247">
        <v>8310</v>
      </c>
      <c r="H1054" s="247">
        <v>8310</v>
      </c>
      <c r="I1054" s="248">
        <f t="shared" si="112"/>
        <v>0</v>
      </c>
      <c r="J1054" s="191">
        <v>9026</v>
      </c>
      <c r="K1054" s="247">
        <v>9026</v>
      </c>
      <c r="L1054" s="287">
        <f t="shared" si="113"/>
        <v>0</v>
      </c>
    </row>
    <row r="1055" spans="1:12" x14ac:dyDescent="0.2">
      <c r="A1055" s="189" t="s">
        <v>571</v>
      </c>
      <c r="B1055" s="189"/>
      <c r="C1055" s="189" t="s">
        <v>609</v>
      </c>
      <c r="D1055" s="189" t="s">
        <v>502</v>
      </c>
      <c r="E1055" s="189" t="s">
        <v>709</v>
      </c>
      <c r="F1055" s="189" t="s">
        <v>522</v>
      </c>
      <c r="G1055" s="247">
        <v>8310</v>
      </c>
      <c r="H1055" s="247">
        <v>8310</v>
      </c>
      <c r="I1055" s="248">
        <f t="shared" si="112"/>
        <v>0</v>
      </c>
      <c r="J1055" s="191">
        <v>9026</v>
      </c>
      <c r="K1055" s="247">
        <v>9026</v>
      </c>
      <c r="L1055" s="287">
        <f t="shared" si="113"/>
        <v>0</v>
      </c>
    </row>
    <row r="1056" spans="1:12" ht="48" x14ac:dyDescent="0.2">
      <c r="A1056" s="189" t="s">
        <v>708</v>
      </c>
      <c r="B1056" s="189"/>
      <c r="C1056" s="189" t="s">
        <v>609</v>
      </c>
      <c r="D1056" s="189" t="s">
        <v>502</v>
      </c>
      <c r="E1056" s="189" t="s">
        <v>707</v>
      </c>
      <c r="F1056" s="189"/>
      <c r="G1056" s="247">
        <v>147094</v>
      </c>
      <c r="H1056" s="247">
        <f>H1063+H1068+H1057+H1072</f>
        <v>217721</v>
      </c>
      <c r="I1056" s="248">
        <f t="shared" si="112"/>
        <v>70627</v>
      </c>
      <c r="J1056" s="191">
        <v>147094</v>
      </c>
      <c r="K1056" s="247">
        <f>K1063+K1068+K1057+K1072</f>
        <v>217721</v>
      </c>
      <c r="L1056" s="287">
        <f t="shared" si="113"/>
        <v>70627</v>
      </c>
    </row>
    <row r="1057" spans="1:12" s="413" customFormat="1" ht="108" x14ac:dyDescent="0.2">
      <c r="A1057" s="189" t="s">
        <v>1609</v>
      </c>
      <c r="B1057" s="190"/>
      <c r="C1057" s="189" t="s">
        <v>609</v>
      </c>
      <c r="D1057" s="189" t="s">
        <v>502</v>
      </c>
      <c r="E1057" s="189" t="s">
        <v>1610</v>
      </c>
      <c r="F1057" s="190"/>
      <c r="G1057" s="247">
        <v>0</v>
      </c>
      <c r="H1057" s="247">
        <f>H1058+H1060</f>
        <v>112902</v>
      </c>
      <c r="I1057" s="248">
        <f t="shared" si="112"/>
        <v>112902</v>
      </c>
      <c r="J1057" s="191">
        <v>0</v>
      </c>
      <c r="K1057" s="247">
        <f>K1058+K1060</f>
        <v>112902</v>
      </c>
      <c r="L1057" s="287">
        <f t="shared" si="113"/>
        <v>112902</v>
      </c>
    </row>
    <row r="1058" spans="1:12" s="413" customFormat="1" x14ac:dyDescent="0.2">
      <c r="A1058" s="189" t="s">
        <v>553</v>
      </c>
      <c r="B1058" s="190"/>
      <c r="C1058" s="189" t="s">
        <v>609</v>
      </c>
      <c r="D1058" s="189" t="s">
        <v>502</v>
      </c>
      <c r="E1058" s="189" t="s">
        <v>1610</v>
      </c>
      <c r="F1058" s="190">
        <v>300</v>
      </c>
      <c r="G1058" s="247">
        <v>0</v>
      </c>
      <c r="H1058" s="247">
        <f>H1059</f>
        <v>93759</v>
      </c>
      <c r="I1058" s="248">
        <f t="shared" si="112"/>
        <v>93759</v>
      </c>
      <c r="J1058" s="191">
        <v>0</v>
      </c>
      <c r="K1058" s="247">
        <f>K1059</f>
        <v>93759</v>
      </c>
      <c r="L1058" s="287">
        <f t="shared" si="113"/>
        <v>93759</v>
      </c>
    </row>
    <row r="1059" spans="1:12" s="413" customFormat="1" ht="24" x14ac:dyDescent="0.2">
      <c r="A1059" s="189" t="s">
        <v>832</v>
      </c>
      <c r="B1059" s="190"/>
      <c r="C1059" s="189" t="s">
        <v>609</v>
      </c>
      <c r="D1059" s="189" t="s">
        <v>502</v>
      </c>
      <c r="E1059" s="189" t="s">
        <v>1610</v>
      </c>
      <c r="F1059" s="190">
        <v>320</v>
      </c>
      <c r="G1059" s="247">
        <v>0</v>
      </c>
      <c r="H1059" s="247">
        <v>93759</v>
      </c>
      <c r="I1059" s="248">
        <f t="shared" si="112"/>
        <v>93759</v>
      </c>
      <c r="J1059" s="191">
        <v>0</v>
      </c>
      <c r="K1059" s="247">
        <v>93759</v>
      </c>
      <c r="L1059" s="287">
        <f t="shared" si="113"/>
        <v>93759</v>
      </c>
    </row>
    <row r="1060" spans="1:12" s="413" customFormat="1" ht="24" x14ac:dyDescent="0.2">
      <c r="A1060" s="189" t="s">
        <v>547</v>
      </c>
      <c r="B1060" s="190"/>
      <c r="C1060" s="189" t="s">
        <v>609</v>
      </c>
      <c r="D1060" s="189" t="s">
        <v>502</v>
      </c>
      <c r="E1060" s="189" t="s">
        <v>1610</v>
      </c>
      <c r="F1060" s="190">
        <v>600</v>
      </c>
      <c r="G1060" s="247">
        <v>0</v>
      </c>
      <c r="H1060" s="247">
        <f>H1061+H1062</f>
        <v>19143</v>
      </c>
      <c r="I1060" s="248">
        <f t="shared" si="112"/>
        <v>19143</v>
      </c>
      <c r="J1060" s="191">
        <v>0</v>
      </c>
      <c r="K1060" s="247">
        <f>K1061+K1062</f>
        <v>19143</v>
      </c>
      <c r="L1060" s="287">
        <f t="shared" si="113"/>
        <v>19143</v>
      </c>
    </row>
    <row r="1061" spans="1:12" s="413" customFormat="1" x14ac:dyDescent="0.2">
      <c r="A1061" s="189" t="s">
        <v>546</v>
      </c>
      <c r="B1061" s="190"/>
      <c r="C1061" s="189" t="s">
        <v>609</v>
      </c>
      <c r="D1061" s="189" t="s">
        <v>502</v>
      </c>
      <c r="E1061" s="189" t="s">
        <v>1610</v>
      </c>
      <c r="F1061" s="190">
        <v>620</v>
      </c>
      <c r="G1061" s="247">
        <v>0</v>
      </c>
      <c r="H1061" s="247">
        <v>10022</v>
      </c>
      <c r="I1061" s="248">
        <f t="shared" si="112"/>
        <v>10022</v>
      </c>
      <c r="J1061" s="191">
        <v>0</v>
      </c>
      <c r="K1061" s="247">
        <v>10022</v>
      </c>
      <c r="L1061" s="287">
        <f t="shared" si="113"/>
        <v>10022</v>
      </c>
    </row>
    <row r="1062" spans="1:12" s="413" customFormat="1" ht="24" x14ac:dyDescent="0.2">
      <c r="A1062" s="189" t="s">
        <v>705</v>
      </c>
      <c r="B1062" s="190"/>
      <c r="C1062" s="189" t="s">
        <v>609</v>
      </c>
      <c r="D1062" s="189" t="s">
        <v>502</v>
      </c>
      <c r="E1062" s="189" t="s">
        <v>1610</v>
      </c>
      <c r="F1062" s="190">
        <v>630</v>
      </c>
      <c r="G1062" s="247">
        <v>0</v>
      </c>
      <c r="H1062" s="247">
        <v>9121</v>
      </c>
      <c r="I1062" s="248">
        <f t="shared" si="112"/>
        <v>9121</v>
      </c>
      <c r="J1062" s="191">
        <v>0</v>
      </c>
      <c r="K1062" s="247">
        <v>9121</v>
      </c>
      <c r="L1062" s="287">
        <f t="shared" si="113"/>
        <v>9121</v>
      </c>
    </row>
    <row r="1063" spans="1:12" ht="72" x14ac:dyDescent="0.2">
      <c r="A1063" s="189" t="s">
        <v>706</v>
      </c>
      <c r="B1063" s="189"/>
      <c r="C1063" s="189" t="s">
        <v>609</v>
      </c>
      <c r="D1063" s="189" t="s">
        <v>502</v>
      </c>
      <c r="E1063" s="189" t="s">
        <v>704</v>
      </c>
      <c r="F1063" s="189"/>
      <c r="G1063" s="247">
        <v>146900</v>
      </c>
      <c r="H1063" s="247">
        <f>H1064</f>
        <v>0</v>
      </c>
      <c r="I1063" s="248">
        <f t="shared" si="112"/>
        <v>-146900</v>
      </c>
      <c r="J1063" s="191">
        <v>146900</v>
      </c>
      <c r="K1063" s="247">
        <f>K1064</f>
        <v>0</v>
      </c>
      <c r="L1063" s="287">
        <f t="shared" si="113"/>
        <v>-146900</v>
      </c>
    </row>
    <row r="1064" spans="1:12" ht="24" x14ac:dyDescent="0.2">
      <c r="A1064" s="189" t="s">
        <v>547</v>
      </c>
      <c r="B1064" s="189"/>
      <c r="C1064" s="189" t="s">
        <v>609</v>
      </c>
      <c r="D1064" s="189" t="s">
        <v>502</v>
      </c>
      <c r="E1064" s="189" t="s">
        <v>704</v>
      </c>
      <c r="F1064" s="189" t="s">
        <v>519</v>
      </c>
      <c r="G1064" s="247">
        <v>146900</v>
      </c>
      <c r="H1064" s="247">
        <f>H1065+H1066+H1067</f>
        <v>0</v>
      </c>
      <c r="I1064" s="248">
        <f t="shared" si="112"/>
        <v>-146900</v>
      </c>
      <c r="J1064" s="191">
        <v>146900</v>
      </c>
      <c r="K1064" s="247">
        <f>K1065+K1066+K1067</f>
        <v>0</v>
      </c>
      <c r="L1064" s="287">
        <f t="shared" si="113"/>
        <v>-146900</v>
      </c>
    </row>
    <row r="1065" spans="1:12" x14ac:dyDescent="0.2">
      <c r="A1065" s="189" t="s">
        <v>571</v>
      </c>
      <c r="B1065" s="189"/>
      <c r="C1065" s="189" t="s">
        <v>609</v>
      </c>
      <c r="D1065" s="189" t="s">
        <v>502</v>
      </c>
      <c r="E1065" s="189" t="s">
        <v>704</v>
      </c>
      <c r="F1065" s="189" t="s">
        <v>522</v>
      </c>
      <c r="G1065" s="247">
        <v>125210.2</v>
      </c>
      <c r="H1065" s="247">
        <f>125210.2-125210.2</f>
        <v>0</v>
      </c>
      <c r="I1065" s="248">
        <f t="shared" si="112"/>
        <v>-125210.2</v>
      </c>
      <c r="J1065" s="191">
        <v>125210.2</v>
      </c>
      <c r="K1065" s="247">
        <f>125210.2-125210.2</f>
        <v>0</v>
      </c>
      <c r="L1065" s="287">
        <f t="shared" si="113"/>
        <v>-125210.2</v>
      </c>
    </row>
    <row r="1066" spans="1:12" x14ac:dyDescent="0.2">
      <c r="A1066" s="189" t="s">
        <v>546</v>
      </c>
      <c r="B1066" s="189"/>
      <c r="C1066" s="189" t="s">
        <v>609</v>
      </c>
      <c r="D1066" s="189" t="s">
        <v>502</v>
      </c>
      <c r="E1066" s="189" t="s">
        <v>704</v>
      </c>
      <c r="F1066" s="189" t="s">
        <v>544</v>
      </c>
      <c r="G1066" s="247">
        <v>13795</v>
      </c>
      <c r="H1066" s="247">
        <f>13795-13795</f>
        <v>0</v>
      </c>
      <c r="I1066" s="248">
        <f t="shared" si="112"/>
        <v>-13795</v>
      </c>
      <c r="J1066" s="191">
        <v>13795</v>
      </c>
      <c r="K1066" s="247">
        <f>13795-13795</f>
        <v>0</v>
      </c>
      <c r="L1066" s="287">
        <f t="shared" si="113"/>
        <v>-13795</v>
      </c>
    </row>
    <row r="1067" spans="1:12" ht="24" x14ac:dyDescent="0.2">
      <c r="A1067" s="189" t="s">
        <v>705</v>
      </c>
      <c r="B1067" s="189"/>
      <c r="C1067" s="189" t="s">
        <v>609</v>
      </c>
      <c r="D1067" s="189" t="s">
        <v>502</v>
      </c>
      <c r="E1067" s="189" t="s">
        <v>704</v>
      </c>
      <c r="F1067" s="189" t="s">
        <v>703</v>
      </c>
      <c r="G1067" s="247">
        <v>7894.7</v>
      </c>
      <c r="H1067" s="247">
        <f>7894.7-7894.7</f>
        <v>0</v>
      </c>
      <c r="I1067" s="248">
        <f t="shared" si="112"/>
        <v>-7894.7</v>
      </c>
      <c r="J1067" s="191">
        <v>7894.7</v>
      </c>
      <c r="K1067" s="247">
        <f>7894.7-7894.7</f>
        <v>0</v>
      </c>
      <c r="L1067" s="287">
        <f t="shared" si="113"/>
        <v>-7894.7</v>
      </c>
    </row>
    <row r="1068" spans="1:12" ht="36" x14ac:dyDescent="0.2">
      <c r="A1068" s="189" t="s">
        <v>702</v>
      </c>
      <c r="B1068" s="189"/>
      <c r="C1068" s="189" t="s">
        <v>609</v>
      </c>
      <c r="D1068" s="189" t="s">
        <v>502</v>
      </c>
      <c r="E1068" s="189" t="s">
        <v>701</v>
      </c>
      <c r="F1068" s="189"/>
      <c r="G1068" s="247">
        <v>194</v>
      </c>
      <c r="H1068" s="247">
        <v>194</v>
      </c>
      <c r="I1068" s="248">
        <f t="shared" si="112"/>
        <v>0</v>
      </c>
      <c r="J1068" s="191">
        <v>194</v>
      </c>
      <c r="K1068" s="247">
        <v>194</v>
      </c>
      <c r="L1068" s="287">
        <f t="shared" si="113"/>
        <v>0</v>
      </c>
    </row>
    <row r="1069" spans="1:12" ht="24" x14ac:dyDescent="0.2">
      <c r="A1069" s="189" t="s">
        <v>547</v>
      </c>
      <c r="B1069" s="189"/>
      <c r="C1069" s="189" t="s">
        <v>609</v>
      </c>
      <c r="D1069" s="189" t="s">
        <v>502</v>
      </c>
      <c r="E1069" s="189" t="s">
        <v>701</v>
      </c>
      <c r="F1069" s="189" t="s">
        <v>519</v>
      </c>
      <c r="G1069" s="247">
        <v>194</v>
      </c>
      <c r="H1069" s="247">
        <v>194</v>
      </c>
      <c r="I1069" s="248">
        <f t="shared" si="112"/>
        <v>0</v>
      </c>
      <c r="J1069" s="191">
        <v>194</v>
      </c>
      <c r="K1069" s="247">
        <v>194</v>
      </c>
      <c r="L1069" s="287">
        <f t="shared" si="113"/>
        <v>0</v>
      </c>
    </row>
    <row r="1070" spans="1:12" x14ac:dyDescent="0.2">
      <c r="A1070" s="189" t="s">
        <v>571</v>
      </c>
      <c r="B1070" s="189"/>
      <c r="C1070" s="189" t="s">
        <v>609</v>
      </c>
      <c r="D1070" s="189" t="s">
        <v>502</v>
      </c>
      <c r="E1070" s="189" t="s">
        <v>701</v>
      </c>
      <c r="F1070" s="189" t="s">
        <v>522</v>
      </c>
      <c r="G1070" s="247">
        <v>169</v>
      </c>
      <c r="H1070" s="247">
        <v>169</v>
      </c>
      <c r="I1070" s="248">
        <f t="shared" si="112"/>
        <v>0</v>
      </c>
      <c r="J1070" s="191">
        <v>169</v>
      </c>
      <c r="K1070" s="247">
        <v>169</v>
      </c>
      <c r="L1070" s="287">
        <f t="shared" si="113"/>
        <v>0</v>
      </c>
    </row>
    <row r="1071" spans="1:12" x14ac:dyDescent="0.2">
      <c r="A1071" s="189" t="s">
        <v>546</v>
      </c>
      <c r="B1071" s="189"/>
      <c r="C1071" s="189" t="s">
        <v>609</v>
      </c>
      <c r="D1071" s="189" t="s">
        <v>502</v>
      </c>
      <c r="E1071" s="189" t="s">
        <v>701</v>
      </c>
      <c r="F1071" s="189" t="s">
        <v>544</v>
      </c>
      <c r="G1071" s="247">
        <v>25</v>
      </c>
      <c r="H1071" s="247">
        <v>25</v>
      </c>
      <c r="I1071" s="248">
        <f t="shared" si="112"/>
        <v>0</v>
      </c>
      <c r="J1071" s="191">
        <v>25</v>
      </c>
      <c r="K1071" s="247">
        <v>25</v>
      </c>
      <c r="L1071" s="287">
        <f t="shared" si="113"/>
        <v>0</v>
      </c>
    </row>
    <row r="1072" spans="1:12" s="413" customFormat="1" ht="36" x14ac:dyDescent="0.2">
      <c r="A1072" s="189" t="s">
        <v>1536</v>
      </c>
      <c r="B1072" s="190"/>
      <c r="C1072" s="189" t="s">
        <v>609</v>
      </c>
      <c r="D1072" s="189" t="s">
        <v>502</v>
      </c>
      <c r="E1072" s="189" t="s">
        <v>1537</v>
      </c>
      <c r="F1072" s="190"/>
      <c r="G1072" s="247">
        <f>G1073+G1075</f>
        <v>0</v>
      </c>
      <c r="H1072" s="247">
        <f>H1073+H1075</f>
        <v>104625</v>
      </c>
      <c r="I1072" s="248">
        <f t="shared" ref="I1072:I1076" si="115">H1072-G1072</f>
        <v>104625</v>
      </c>
      <c r="J1072" s="191">
        <f t="shared" ref="J1072" si="116">J1073+J1075</f>
        <v>0</v>
      </c>
      <c r="K1072" s="247">
        <f t="shared" ref="K1072" si="117">K1073+K1075</f>
        <v>104625</v>
      </c>
      <c r="L1072" s="287">
        <f t="shared" ref="L1072:L1076" si="118">K1072-J1072</f>
        <v>104625</v>
      </c>
    </row>
    <row r="1073" spans="1:12" s="413" customFormat="1" ht="24" x14ac:dyDescent="0.2">
      <c r="A1073" s="189" t="s">
        <v>1347</v>
      </c>
      <c r="B1073" s="190"/>
      <c r="C1073" s="189" t="s">
        <v>609</v>
      </c>
      <c r="D1073" s="189" t="s">
        <v>502</v>
      </c>
      <c r="E1073" s="189" t="s">
        <v>1537</v>
      </c>
      <c r="F1073" s="190" t="s">
        <v>535</v>
      </c>
      <c r="G1073" s="247">
        <f>G1074</f>
        <v>0</v>
      </c>
      <c r="H1073" s="247">
        <f>H1074</f>
        <v>94232.3</v>
      </c>
      <c r="I1073" s="248">
        <f t="shared" si="115"/>
        <v>94232.3</v>
      </c>
      <c r="J1073" s="191">
        <f>J1074</f>
        <v>0</v>
      </c>
      <c r="K1073" s="247">
        <f>K1074</f>
        <v>94232.3</v>
      </c>
      <c r="L1073" s="287">
        <f t="shared" si="118"/>
        <v>94232.3</v>
      </c>
    </row>
    <row r="1074" spans="1:12" s="413" customFormat="1" ht="24" x14ac:dyDescent="0.2">
      <c r="A1074" s="189" t="s">
        <v>534</v>
      </c>
      <c r="B1074" s="190"/>
      <c r="C1074" s="189" t="s">
        <v>609</v>
      </c>
      <c r="D1074" s="189" t="s">
        <v>502</v>
      </c>
      <c r="E1074" s="189" t="s">
        <v>1537</v>
      </c>
      <c r="F1074" s="190" t="s">
        <v>529</v>
      </c>
      <c r="G1074" s="247">
        <v>0</v>
      </c>
      <c r="H1074" s="247">
        <v>94232.3</v>
      </c>
      <c r="I1074" s="248">
        <f t="shared" si="115"/>
        <v>94232.3</v>
      </c>
      <c r="J1074" s="191">
        <v>0</v>
      </c>
      <c r="K1074" s="247">
        <v>94232.3</v>
      </c>
      <c r="L1074" s="287">
        <f t="shared" si="118"/>
        <v>94232.3</v>
      </c>
    </row>
    <row r="1075" spans="1:12" s="413" customFormat="1" ht="24" x14ac:dyDescent="0.2">
      <c r="A1075" s="189" t="s">
        <v>547</v>
      </c>
      <c r="B1075" s="190"/>
      <c r="C1075" s="189" t="s">
        <v>609</v>
      </c>
      <c r="D1075" s="189" t="s">
        <v>502</v>
      </c>
      <c r="E1075" s="189" t="s">
        <v>1537</v>
      </c>
      <c r="F1075" s="190">
        <v>600</v>
      </c>
      <c r="G1075" s="247">
        <f>G1076</f>
        <v>0</v>
      </c>
      <c r="H1075" s="247">
        <f>H1076</f>
        <v>10392.700000000001</v>
      </c>
      <c r="I1075" s="248">
        <f t="shared" si="115"/>
        <v>10392.700000000001</v>
      </c>
      <c r="J1075" s="191">
        <f>J1076</f>
        <v>0</v>
      </c>
      <c r="K1075" s="247">
        <f>K1076</f>
        <v>10392.700000000001</v>
      </c>
      <c r="L1075" s="287">
        <f t="shared" si="118"/>
        <v>10392.700000000001</v>
      </c>
    </row>
    <row r="1076" spans="1:12" s="413" customFormat="1" x14ac:dyDescent="0.2">
      <c r="A1076" s="189" t="s">
        <v>546</v>
      </c>
      <c r="B1076" s="190"/>
      <c r="C1076" s="189" t="s">
        <v>609</v>
      </c>
      <c r="D1076" s="189" t="s">
        <v>502</v>
      </c>
      <c r="E1076" s="189" t="s">
        <v>1537</v>
      </c>
      <c r="F1076" s="190">
        <v>620</v>
      </c>
      <c r="G1076" s="247">
        <v>0</v>
      </c>
      <c r="H1076" s="247">
        <v>10392.700000000001</v>
      </c>
      <c r="I1076" s="248">
        <f t="shared" si="115"/>
        <v>10392.700000000001</v>
      </c>
      <c r="J1076" s="191">
        <v>0</v>
      </c>
      <c r="K1076" s="247">
        <v>10392.700000000001</v>
      </c>
      <c r="L1076" s="287">
        <f t="shared" si="118"/>
        <v>10392.700000000001</v>
      </c>
    </row>
    <row r="1077" spans="1:12" x14ac:dyDescent="0.2">
      <c r="A1077" s="189" t="s">
        <v>900</v>
      </c>
      <c r="B1077" s="189"/>
      <c r="C1077" s="189" t="s">
        <v>609</v>
      </c>
      <c r="D1077" s="189" t="s">
        <v>502</v>
      </c>
      <c r="E1077" s="189" t="s">
        <v>1293</v>
      </c>
      <c r="F1077" s="189"/>
      <c r="G1077" s="247">
        <f>G1078+G1081</f>
        <v>4310.3</v>
      </c>
      <c r="H1077" s="247">
        <f>H1078+H1081</f>
        <v>4310.3</v>
      </c>
      <c r="I1077" s="248">
        <f t="shared" si="112"/>
        <v>0</v>
      </c>
      <c r="J1077" s="191">
        <f>J1078+J1081</f>
        <v>4308.3</v>
      </c>
      <c r="K1077" s="247">
        <f>K1078+K1081</f>
        <v>4308.3</v>
      </c>
      <c r="L1077" s="287">
        <f t="shared" si="113"/>
        <v>0</v>
      </c>
    </row>
    <row r="1078" spans="1:12" ht="48" x14ac:dyDescent="0.2">
      <c r="A1078" s="189" t="s">
        <v>1326</v>
      </c>
      <c r="B1078" s="189"/>
      <c r="C1078" s="189" t="s">
        <v>609</v>
      </c>
      <c r="D1078" s="189" t="s">
        <v>502</v>
      </c>
      <c r="E1078" s="189" t="s">
        <v>1327</v>
      </c>
      <c r="F1078" s="189"/>
      <c r="G1078" s="247">
        <f>G1079</f>
        <v>2310.3000000000002</v>
      </c>
      <c r="H1078" s="247">
        <f>H1079</f>
        <v>2310.3000000000002</v>
      </c>
      <c r="I1078" s="248">
        <f t="shared" si="112"/>
        <v>0</v>
      </c>
      <c r="J1078" s="191">
        <f t="shared" ref="J1078:K1078" si="119">J1079</f>
        <v>2308.3000000000002</v>
      </c>
      <c r="K1078" s="247">
        <f t="shared" si="119"/>
        <v>2308.3000000000002</v>
      </c>
      <c r="L1078" s="287">
        <f t="shared" si="113"/>
        <v>0</v>
      </c>
    </row>
    <row r="1079" spans="1:12" s="303" customFormat="1" ht="24" x14ac:dyDescent="0.2">
      <c r="A1079" s="189" t="s">
        <v>1347</v>
      </c>
      <c r="B1079" s="189"/>
      <c r="C1079" s="189" t="s">
        <v>609</v>
      </c>
      <c r="D1079" s="189" t="s">
        <v>502</v>
      </c>
      <c r="E1079" s="189" t="s">
        <v>1327</v>
      </c>
      <c r="F1079" s="189">
        <v>200</v>
      </c>
      <c r="G1079" s="247">
        <f>G1080</f>
        <v>2310.3000000000002</v>
      </c>
      <c r="H1079" s="247">
        <f>H1080</f>
        <v>2310.3000000000002</v>
      </c>
      <c r="I1079" s="248">
        <f t="shared" si="112"/>
        <v>0</v>
      </c>
      <c r="J1079" s="191">
        <f>J1080</f>
        <v>2308.3000000000002</v>
      </c>
      <c r="K1079" s="247">
        <f>K1080</f>
        <v>2308.3000000000002</v>
      </c>
      <c r="L1079" s="287">
        <f t="shared" si="113"/>
        <v>0</v>
      </c>
    </row>
    <row r="1080" spans="1:12" s="303" customFormat="1" ht="24" x14ac:dyDescent="0.2">
      <c r="A1080" s="189" t="s">
        <v>534</v>
      </c>
      <c r="B1080" s="189"/>
      <c r="C1080" s="189" t="s">
        <v>609</v>
      </c>
      <c r="D1080" s="189" t="s">
        <v>502</v>
      </c>
      <c r="E1080" s="189" t="s">
        <v>1327</v>
      </c>
      <c r="F1080" s="189">
        <v>240</v>
      </c>
      <c r="G1080" s="247">
        <f>2254+56.3</f>
        <v>2310.3000000000002</v>
      </c>
      <c r="H1080" s="247">
        <f>2254+56.3</f>
        <v>2310.3000000000002</v>
      </c>
      <c r="I1080" s="248">
        <f t="shared" si="112"/>
        <v>0</v>
      </c>
      <c r="J1080" s="191">
        <f>2252+56.3</f>
        <v>2308.3000000000002</v>
      </c>
      <c r="K1080" s="247">
        <f>2252+56.3</f>
        <v>2308.3000000000002</v>
      </c>
      <c r="L1080" s="287">
        <f t="shared" si="113"/>
        <v>0</v>
      </c>
    </row>
    <row r="1081" spans="1:12" x14ac:dyDescent="0.2">
      <c r="A1081" s="189" t="s">
        <v>1328</v>
      </c>
      <c r="B1081" s="189"/>
      <c r="C1081" s="189" t="s">
        <v>609</v>
      </c>
      <c r="D1081" s="189" t="s">
        <v>502</v>
      </c>
      <c r="E1081" s="189" t="s">
        <v>1329</v>
      </c>
      <c r="F1081" s="189"/>
      <c r="G1081" s="247">
        <f>G1082</f>
        <v>2000</v>
      </c>
      <c r="H1081" s="247">
        <f>H1082</f>
        <v>2000</v>
      </c>
      <c r="I1081" s="248">
        <f t="shared" si="112"/>
        <v>0</v>
      </c>
      <c r="J1081" s="191">
        <f>J1082</f>
        <v>2000</v>
      </c>
      <c r="K1081" s="247">
        <f>K1082</f>
        <v>2000</v>
      </c>
      <c r="L1081" s="287">
        <f t="shared" si="113"/>
        <v>0</v>
      </c>
    </row>
    <row r="1082" spans="1:12" s="303" customFormat="1" ht="24" x14ac:dyDescent="0.2">
      <c r="A1082" s="189" t="s">
        <v>1347</v>
      </c>
      <c r="B1082" s="189"/>
      <c r="C1082" s="189" t="s">
        <v>609</v>
      </c>
      <c r="D1082" s="189" t="s">
        <v>502</v>
      </c>
      <c r="E1082" s="189" t="s">
        <v>1329</v>
      </c>
      <c r="F1082" s="189">
        <v>200</v>
      </c>
      <c r="G1082" s="247">
        <f>G1083</f>
        <v>2000</v>
      </c>
      <c r="H1082" s="247">
        <f>H1083</f>
        <v>2000</v>
      </c>
      <c r="I1082" s="248">
        <f t="shared" si="112"/>
        <v>0</v>
      </c>
      <c r="J1082" s="191">
        <f>J1083</f>
        <v>2000</v>
      </c>
      <c r="K1082" s="247">
        <f>K1083</f>
        <v>2000</v>
      </c>
      <c r="L1082" s="287">
        <f t="shared" si="113"/>
        <v>0</v>
      </c>
    </row>
    <row r="1083" spans="1:12" s="303" customFormat="1" ht="24" x14ac:dyDescent="0.2">
      <c r="A1083" s="189" t="s">
        <v>534</v>
      </c>
      <c r="B1083" s="189"/>
      <c r="C1083" s="189" t="s">
        <v>609</v>
      </c>
      <c r="D1083" s="189" t="s">
        <v>502</v>
      </c>
      <c r="E1083" s="189" t="s">
        <v>1329</v>
      </c>
      <c r="F1083" s="189">
        <v>240</v>
      </c>
      <c r="G1083" s="247">
        <f>1000+1000</f>
        <v>2000</v>
      </c>
      <c r="H1083" s="247">
        <f>1000+1000</f>
        <v>2000</v>
      </c>
      <c r="I1083" s="248">
        <f t="shared" si="112"/>
        <v>0</v>
      </c>
      <c r="J1083" s="191">
        <f>1000+1000</f>
        <v>2000</v>
      </c>
      <c r="K1083" s="247">
        <f>1000+1000</f>
        <v>2000</v>
      </c>
      <c r="L1083" s="287">
        <f t="shared" si="113"/>
        <v>0</v>
      </c>
    </row>
    <row r="1084" spans="1:12" x14ac:dyDescent="0.2">
      <c r="A1084" s="189" t="s">
        <v>700</v>
      </c>
      <c r="B1084" s="189"/>
      <c r="C1084" s="189" t="s">
        <v>609</v>
      </c>
      <c r="D1084" s="189" t="s">
        <v>531</v>
      </c>
      <c r="E1084" s="189"/>
      <c r="F1084" s="189"/>
      <c r="G1084" s="247">
        <f>G1085+G1106</f>
        <v>329803</v>
      </c>
      <c r="H1084" s="247">
        <f>H1085+H1106</f>
        <v>329803</v>
      </c>
      <c r="I1084" s="248">
        <f t="shared" si="112"/>
        <v>0</v>
      </c>
      <c r="J1084" s="191">
        <f>J1085+J1106</f>
        <v>349260.5</v>
      </c>
      <c r="K1084" s="247">
        <f>K1085+K1106</f>
        <v>349260.5</v>
      </c>
      <c r="L1084" s="287">
        <f t="shared" si="113"/>
        <v>0</v>
      </c>
    </row>
    <row r="1085" spans="1:12" x14ac:dyDescent="0.2">
      <c r="A1085" s="189" t="s">
        <v>666</v>
      </c>
      <c r="B1085" s="189"/>
      <c r="C1085" s="189" t="s">
        <v>609</v>
      </c>
      <c r="D1085" s="189" t="s">
        <v>531</v>
      </c>
      <c r="E1085" s="189" t="s">
        <v>665</v>
      </c>
      <c r="F1085" s="189"/>
      <c r="G1085" s="247">
        <f>G1086</f>
        <v>329138</v>
      </c>
      <c r="H1085" s="247">
        <f>H1086</f>
        <v>329138</v>
      </c>
      <c r="I1085" s="248">
        <f t="shared" si="112"/>
        <v>0</v>
      </c>
      <c r="J1085" s="191">
        <f>J1086</f>
        <v>348595.5</v>
      </c>
      <c r="K1085" s="247">
        <f>K1086</f>
        <v>348595.5</v>
      </c>
      <c r="L1085" s="287">
        <f t="shared" si="113"/>
        <v>0</v>
      </c>
    </row>
    <row r="1086" spans="1:12" ht="24" x14ac:dyDescent="0.2">
      <c r="A1086" s="189" t="s">
        <v>699</v>
      </c>
      <c r="B1086" s="189"/>
      <c r="C1086" s="189" t="s">
        <v>609</v>
      </c>
      <c r="D1086" s="189" t="s">
        <v>531</v>
      </c>
      <c r="E1086" s="189" t="s">
        <v>698</v>
      </c>
      <c r="F1086" s="189"/>
      <c r="G1086" s="247">
        <f>G1087+G1092+G1102</f>
        <v>329138</v>
      </c>
      <c r="H1086" s="247">
        <f>H1087+H1092+H1102+H1097</f>
        <v>329138</v>
      </c>
      <c r="I1086" s="248">
        <f t="shared" si="112"/>
        <v>0</v>
      </c>
      <c r="J1086" s="191">
        <f>J1087+J1092+J1102</f>
        <v>348595.5</v>
      </c>
      <c r="K1086" s="247">
        <f>K1087+K1092+K1102+K1097</f>
        <v>348595.5</v>
      </c>
      <c r="L1086" s="287">
        <f t="shared" si="113"/>
        <v>0</v>
      </c>
    </row>
    <row r="1087" spans="1:12" ht="24" x14ac:dyDescent="0.2">
      <c r="A1087" s="189" t="s">
        <v>697</v>
      </c>
      <c r="B1087" s="189"/>
      <c r="C1087" s="189" t="s">
        <v>609</v>
      </c>
      <c r="D1087" s="189" t="s">
        <v>531</v>
      </c>
      <c r="E1087" s="189" t="s">
        <v>696</v>
      </c>
      <c r="F1087" s="189"/>
      <c r="G1087" s="247">
        <v>237842.6</v>
      </c>
      <c r="H1087" s="247">
        <v>237842.6</v>
      </c>
      <c r="I1087" s="248">
        <f t="shared" si="112"/>
        <v>0</v>
      </c>
      <c r="J1087" s="191">
        <v>237842.6</v>
      </c>
      <c r="K1087" s="247">
        <v>237842.6</v>
      </c>
      <c r="L1087" s="287">
        <f t="shared" si="113"/>
        <v>0</v>
      </c>
    </row>
    <row r="1088" spans="1:12" ht="24" x14ac:dyDescent="0.2">
      <c r="A1088" s="189" t="s">
        <v>695</v>
      </c>
      <c r="B1088" s="189"/>
      <c r="C1088" s="189" t="s">
        <v>609</v>
      </c>
      <c r="D1088" s="189" t="s">
        <v>531</v>
      </c>
      <c r="E1088" s="189" t="s">
        <v>694</v>
      </c>
      <c r="F1088" s="189"/>
      <c r="G1088" s="247">
        <v>237842.6</v>
      </c>
      <c r="H1088" s="247">
        <v>237842.6</v>
      </c>
      <c r="I1088" s="248">
        <f t="shared" si="112"/>
        <v>0</v>
      </c>
      <c r="J1088" s="191">
        <v>237842.6</v>
      </c>
      <c r="K1088" s="247">
        <v>237842.6</v>
      </c>
      <c r="L1088" s="287">
        <f t="shared" si="113"/>
        <v>0</v>
      </c>
    </row>
    <row r="1089" spans="1:12" ht="24" x14ac:dyDescent="0.2">
      <c r="A1089" s="189" t="s">
        <v>547</v>
      </c>
      <c r="B1089" s="189"/>
      <c r="C1089" s="189" t="s">
        <v>609</v>
      </c>
      <c r="D1089" s="189" t="s">
        <v>531</v>
      </c>
      <c r="E1089" s="189" t="s">
        <v>694</v>
      </c>
      <c r="F1089" s="189" t="s">
        <v>519</v>
      </c>
      <c r="G1089" s="247">
        <v>237842.6</v>
      </c>
      <c r="H1089" s="247">
        <v>237842.6</v>
      </c>
      <c r="I1089" s="248">
        <f t="shared" si="112"/>
        <v>0</v>
      </c>
      <c r="J1089" s="191">
        <v>237842.6</v>
      </c>
      <c r="K1089" s="247">
        <v>237842.6</v>
      </c>
      <c r="L1089" s="287">
        <f t="shared" si="113"/>
        <v>0</v>
      </c>
    </row>
    <row r="1090" spans="1:12" x14ac:dyDescent="0.2">
      <c r="A1090" s="189" t="s">
        <v>571</v>
      </c>
      <c r="B1090" s="189"/>
      <c r="C1090" s="189" t="s">
        <v>609</v>
      </c>
      <c r="D1090" s="189" t="s">
        <v>531</v>
      </c>
      <c r="E1090" s="189" t="s">
        <v>694</v>
      </c>
      <c r="F1090" s="189" t="s">
        <v>522</v>
      </c>
      <c r="G1090" s="247">
        <v>208673.1</v>
      </c>
      <c r="H1090" s="247">
        <v>208673.1</v>
      </c>
      <c r="I1090" s="248">
        <f t="shared" si="112"/>
        <v>0</v>
      </c>
      <c r="J1090" s="191">
        <v>208673.1</v>
      </c>
      <c r="K1090" s="247">
        <v>208673.1</v>
      </c>
      <c r="L1090" s="287">
        <f t="shared" si="113"/>
        <v>0</v>
      </c>
    </row>
    <row r="1091" spans="1:12" x14ac:dyDescent="0.2">
      <c r="A1091" s="189" t="s">
        <v>546</v>
      </c>
      <c r="B1091" s="189"/>
      <c r="C1091" s="189" t="s">
        <v>609</v>
      </c>
      <c r="D1091" s="189" t="s">
        <v>531</v>
      </c>
      <c r="E1091" s="189" t="s">
        <v>694</v>
      </c>
      <c r="F1091" s="189" t="s">
        <v>544</v>
      </c>
      <c r="G1091" s="247">
        <v>29169.5</v>
      </c>
      <c r="H1091" s="247">
        <v>29169.5</v>
      </c>
      <c r="I1091" s="248">
        <f t="shared" si="112"/>
        <v>0</v>
      </c>
      <c r="J1091" s="191">
        <v>29169.5</v>
      </c>
      <c r="K1091" s="247">
        <v>29169.5</v>
      </c>
      <c r="L1091" s="287">
        <f t="shared" si="113"/>
        <v>0</v>
      </c>
    </row>
    <row r="1092" spans="1:12" s="443" customFormat="1" ht="36" x14ac:dyDescent="0.2">
      <c r="A1092" s="189" t="s">
        <v>693</v>
      </c>
      <c r="B1092" s="189"/>
      <c r="C1092" s="189" t="s">
        <v>609</v>
      </c>
      <c r="D1092" s="189" t="s">
        <v>531</v>
      </c>
      <c r="E1092" s="189" t="s">
        <v>692</v>
      </c>
      <c r="F1092" s="189"/>
      <c r="G1092" s="247">
        <v>91295.4</v>
      </c>
      <c r="H1092" s="247">
        <f>H1093</f>
        <v>0</v>
      </c>
      <c r="I1092" s="248">
        <f t="shared" si="112"/>
        <v>-91295.4</v>
      </c>
      <c r="J1092" s="191">
        <v>91295.4</v>
      </c>
      <c r="K1092" s="247">
        <f>K1093</f>
        <v>0</v>
      </c>
      <c r="L1092" s="287">
        <f t="shared" si="113"/>
        <v>-91295.4</v>
      </c>
    </row>
    <row r="1093" spans="1:12" s="443" customFormat="1" ht="36" x14ac:dyDescent="0.2">
      <c r="A1093" s="189" t="s">
        <v>691</v>
      </c>
      <c r="B1093" s="189"/>
      <c r="C1093" s="189" t="s">
        <v>609</v>
      </c>
      <c r="D1093" s="189" t="s">
        <v>531</v>
      </c>
      <c r="E1093" s="189" t="s">
        <v>690</v>
      </c>
      <c r="F1093" s="189"/>
      <c r="G1093" s="247">
        <v>91295.4</v>
      </c>
      <c r="H1093" s="247">
        <f>H1094</f>
        <v>0</v>
      </c>
      <c r="I1093" s="248">
        <f t="shared" ref="I1093:I1161" si="120">H1093-G1093</f>
        <v>-91295.4</v>
      </c>
      <c r="J1093" s="191">
        <v>91295.4</v>
      </c>
      <c r="K1093" s="247">
        <f>K1094</f>
        <v>0</v>
      </c>
      <c r="L1093" s="287">
        <f t="shared" ref="L1093:L1161" si="121">K1093-J1093</f>
        <v>-91295.4</v>
      </c>
    </row>
    <row r="1094" spans="1:12" s="443" customFormat="1" ht="24" x14ac:dyDescent="0.2">
      <c r="A1094" s="189" t="s">
        <v>547</v>
      </c>
      <c r="B1094" s="189"/>
      <c r="C1094" s="189" t="s">
        <v>609</v>
      </c>
      <c r="D1094" s="189" t="s">
        <v>531</v>
      </c>
      <c r="E1094" s="189" t="s">
        <v>690</v>
      </c>
      <c r="F1094" s="189" t="s">
        <v>519</v>
      </c>
      <c r="G1094" s="247">
        <v>91295.4</v>
      </c>
      <c r="H1094" s="247">
        <f>H1095+H1096</f>
        <v>0</v>
      </c>
      <c r="I1094" s="248">
        <f t="shared" si="120"/>
        <v>-91295.4</v>
      </c>
      <c r="J1094" s="191">
        <v>91295.4</v>
      </c>
      <c r="K1094" s="247">
        <f>K1095+K1096</f>
        <v>0</v>
      </c>
      <c r="L1094" s="287">
        <f t="shared" si="121"/>
        <v>-91295.4</v>
      </c>
    </row>
    <row r="1095" spans="1:12" s="443" customFormat="1" x14ac:dyDescent="0.2">
      <c r="A1095" s="189" t="s">
        <v>571</v>
      </c>
      <c r="B1095" s="189"/>
      <c r="C1095" s="189" t="s">
        <v>609</v>
      </c>
      <c r="D1095" s="189" t="s">
        <v>531</v>
      </c>
      <c r="E1095" s="189" t="s">
        <v>690</v>
      </c>
      <c r="F1095" s="189" t="s">
        <v>522</v>
      </c>
      <c r="G1095" s="247">
        <v>80836.3</v>
      </c>
      <c r="H1095" s="247">
        <f>80836.3-80836.3</f>
        <v>0</v>
      </c>
      <c r="I1095" s="248">
        <f t="shared" si="120"/>
        <v>-80836.3</v>
      </c>
      <c r="J1095" s="191">
        <v>80836.3</v>
      </c>
      <c r="K1095" s="247">
        <f>80836.3-80836.3</f>
        <v>0</v>
      </c>
      <c r="L1095" s="287">
        <f t="shared" si="121"/>
        <v>-80836.3</v>
      </c>
    </row>
    <row r="1096" spans="1:12" s="443" customFormat="1" x14ac:dyDescent="0.2">
      <c r="A1096" s="189" t="s">
        <v>546</v>
      </c>
      <c r="B1096" s="189"/>
      <c r="C1096" s="189" t="s">
        <v>609</v>
      </c>
      <c r="D1096" s="189" t="s">
        <v>531</v>
      </c>
      <c r="E1096" s="189" t="s">
        <v>690</v>
      </c>
      <c r="F1096" s="189" t="s">
        <v>544</v>
      </c>
      <c r="G1096" s="247">
        <v>10459.1</v>
      </c>
      <c r="H1096" s="247">
        <f>10459.1-10459.1</f>
        <v>0</v>
      </c>
      <c r="I1096" s="248">
        <f t="shared" si="120"/>
        <v>-10459.1</v>
      </c>
      <c r="J1096" s="191">
        <v>10459.1</v>
      </c>
      <c r="K1096" s="247">
        <f>10459.1-10459.1</f>
        <v>0</v>
      </c>
      <c r="L1096" s="287">
        <f t="shared" si="121"/>
        <v>-10459.1</v>
      </c>
    </row>
    <row r="1097" spans="1:12" s="443" customFormat="1" ht="36" x14ac:dyDescent="0.2">
      <c r="A1097" s="189" t="s">
        <v>693</v>
      </c>
      <c r="B1097" s="189"/>
      <c r="C1097" s="189" t="s">
        <v>609</v>
      </c>
      <c r="D1097" s="189" t="s">
        <v>531</v>
      </c>
      <c r="E1097" s="189" t="s">
        <v>1656</v>
      </c>
      <c r="F1097" s="189"/>
      <c r="G1097" s="247">
        <f>G1098</f>
        <v>0</v>
      </c>
      <c r="H1097" s="247">
        <f>H1098</f>
        <v>91295.400000000009</v>
      </c>
      <c r="I1097" s="248">
        <f t="shared" si="120"/>
        <v>91295.400000000009</v>
      </c>
      <c r="J1097" s="191">
        <f t="shared" ref="J1097:K1098" si="122">J1098</f>
        <v>0</v>
      </c>
      <c r="K1097" s="247">
        <f t="shared" si="122"/>
        <v>91295.400000000009</v>
      </c>
      <c r="L1097" s="287">
        <f t="shared" si="121"/>
        <v>91295.400000000009</v>
      </c>
    </row>
    <row r="1098" spans="1:12" s="443" customFormat="1" ht="36" x14ac:dyDescent="0.2">
      <c r="A1098" s="189" t="s">
        <v>691</v>
      </c>
      <c r="B1098" s="189"/>
      <c r="C1098" s="189" t="s">
        <v>609</v>
      </c>
      <c r="D1098" s="189" t="s">
        <v>531</v>
      </c>
      <c r="E1098" s="189" t="s">
        <v>1657</v>
      </c>
      <c r="F1098" s="189"/>
      <c r="G1098" s="247">
        <f>G1099</f>
        <v>0</v>
      </c>
      <c r="H1098" s="247">
        <f>H1099</f>
        <v>91295.400000000009</v>
      </c>
      <c r="I1098" s="248">
        <f t="shared" si="120"/>
        <v>91295.400000000009</v>
      </c>
      <c r="J1098" s="191">
        <f t="shared" si="122"/>
        <v>0</v>
      </c>
      <c r="K1098" s="247">
        <f t="shared" si="122"/>
        <v>91295.400000000009</v>
      </c>
      <c r="L1098" s="287">
        <f t="shared" si="121"/>
        <v>91295.400000000009</v>
      </c>
    </row>
    <row r="1099" spans="1:12" s="443" customFormat="1" ht="24" x14ac:dyDescent="0.2">
      <c r="A1099" s="189" t="s">
        <v>547</v>
      </c>
      <c r="B1099" s="189"/>
      <c r="C1099" s="189" t="s">
        <v>609</v>
      </c>
      <c r="D1099" s="189" t="s">
        <v>531</v>
      </c>
      <c r="E1099" s="189" t="s">
        <v>1657</v>
      </c>
      <c r="F1099" s="190" t="s">
        <v>519</v>
      </c>
      <c r="G1099" s="247">
        <f>G1100+G1101</f>
        <v>0</v>
      </c>
      <c r="H1099" s="247">
        <f>H1100+H1101</f>
        <v>91295.400000000009</v>
      </c>
      <c r="I1099" s="248">
        <f t="shared" si="120"/>
        <v>91295.400000000009</v>
      </c>
      <c r="J1099" s="191">
        <f t="shared" ref="J1099:K1099" si="123">J1100+J1101</f>
        <v>0</v>
      </c>
      <c r="K1099" s="247">
        <f t="shared" si="123"/>
        <v>91295.400000000009</v>
      </c>
      <c r="L1099" s="287">
        <f t="shared" si="121"/>
        <v>91295.400000000009</v>
      </c>
    </row>
    <row r="1100" spans="1:12" s="443" customFormat="1" x14ac:dyDescent="0.2">
      <c r="A1100" s="189" t="s">
        <v>571</v>
      </c>
      <c r="B1100" s="189"/>
      <c r="C1100" s="189" t="s">
        <v>609</v>
      </c>
      <c r="D1100" s="189" t="s">
        <v>531</v>
      </c>
      <c r="E1100" s="189" t="s">
        <v>1657</v>
      </c>
      <c r="F1100" s="190" t="s">
        <v>522</v>
      </c>
      <c r="G1100" s="247">
        <v>0</v>
      </c>
      <c r="H1100" s="247">
        <v>80836.3</v>
      </c>
      <c r="I1100" s="248">
        <f t="shared" si="120"/>
        <v>80836.3</v>
      </c>
      <c r="J1100" s="191">
        <v>0</v>
      </c>
      <c r="K1100" s="247">
        <v>80836.3</v>
      </c>
      <c r="L1100" s="287">
        <f t="shared" si="121"/>
        <v>80836.3</v>
      </c>
    </row>
    <row r="1101" spans="1:12" s="443" customFormat="1" x14ac:dyDescent="0.2">
      <c r="A1101" s="189" t="s">
        <v>546</v>
      </c>
      <c r="B1101" s="189"/>
      <c r="C1101" s="189" t="s">
        <v>609</v>
      </c>
      <c r="D1101" s="189" t="s">
        <v>531</v>
      </c>
      <c r="E1101" s="189" t="s">
        <v>1657</v>
      </c>
      <c r="F1101" s="190" t="s">
        <v>544</v>
      </c>
      <c r="G1101" s="247">
        <v>0</v>
      </c>
      <c r="H1101" s="247">
        <v>10459.1</v>
      </c>
      <c r="I1101" s="248">
        <f t="shared" si="120"/>
        <v>10459.1</v>
      </c>
      <c r="J1101" s="191">
        <v>0</v>
      </c>
      <c r="K1101" s="247">
        <v>10459.1</v>
      </c>
      <c r="L1101" s="287">
        <f t="shared" si="121"/>
        <v>10459.1</v>
      </c>
    </row>
    <row r="1102" spans="1:12" x14ac:dyDescent="0.2">
      <c r="A1102" s="189" t="s">
        <v>626</v>
      </c>
      <c r="B1102" s="189"/>
      <c r="C1102" s="189" t="s">
        <v>609</v>
      </c>
      <c r="D1102" s="189" t="s">
        <v>531</v>
      </c>
      <c r="E1102" s="189" t="s">
        <v>1330</v>
      </c>
      <c r="F1102" s="189"/>
      <c r="G1102" s="247">
        <f>G1103</f>
        <v>0</v>
      </c>
      <c r="H1102" s="247">
        <f>H1103</f>
        <v>0</v>
      </c>
      <c r="I1102" s="248">
        <f t="shared" si="120"/>
        <v>0</v>
      </c>
      <c r="J1102" s="191">
        <f>J1103</f>
        <v>19457.5</v>
      </c>
      <c r="K1102" s="247">
        <f>K1103</f>
        <v>19457.5</v>
      </c>
      <c r="L1102" s="287">
        <f t="shared" si="121"/>
        <v>0</v>
      </c>
    </row>
    <row r="1103" spans="1:12" s="295" customFormat="1" ht="39.75" customHeight="1" x14ac:dyDescent="0.2">
      <c r="A1103" s="189" t="s">
        <v>1407</v>
      </c>
      <c r="B1103" s="189"/>
      <c r="C1103" s="189" t="s">
        <v>609</v>
      </c>
      <c r="D1103" s="189" t="s">
        <v>531</v>
      </c>
      <c r="E1103" s="189" t="s">
        <v>1430</v>
      </c>
      <c r="F1103" s="189"/>
      <c r="G1103" s="247">
        <f t="shared" ref="G1103:K1104" si="124">G1104</f>
        <v>0</v>
      </c>
      <c r="H1103" s="247">
        <f t="shared" si="124"/>
        <v>0</v>
      </c>
      <c r="I1103" s="248">
        <f t="shared" si="124"/>
        <v>0</v>
      </c>
      <c r="J1103" s="191">
        <f t="shared" si="124"/>
        <v>19457.5</v>
      </c>
      <c r="K1103" s="247">
        <f t="shared" si="124"/>
        <v>19457.5</v>
      </c>
      <c r="L1103" s="287">
        <f t="shared" si="121"/>
        <v>0</v>
      </c>
    </row>
    <row r="1104" spans="1:12" s="295" customFormat="1" ht="24" x14ac:dyDescent="0.2">
      <c r="A1104" s="189" t="s">
        <v>547</v>
      </c>
      <c r="B1104" s="189"/>
      <c r="C1104" s="189" t="s">
        <v>609</v>
      </c>
      <c r="D1104" s="189" t="s">
        <v>531</v>
      </c>
      <c r="E1104" s="189" t="s">
        <v>1430</v>
      </c>
      <c r="F1104" s="189" t="s">
        <v>519</v>
      </c>
      <c r="G1104" s="247">
        <f t="shared" si="124"/>
        <v>0</v>
      </c>
      <c r="H1104" s="247">
        <f t="shared" si="124"/>
        <v>0</v>
      </c>
      <c r="I1104" s="248">
        <f t="shared" si="124"/>
        <v>0</v>
      </c>
      <c r="J1104" s="191">
        <f t="shared" si="124"/>
        <v>19457.5</v>
      </c>
      <c r="K1104" s="247">
        <f t="shared" si="124"/>
        <v>19457.5</v>
      </c>
      <c r="L1104" s="287">
        <f t="shared" si="121"/>
        <v>0</v>
      </c>
    </row>
    <row r="1105" spans="1:12" s="295" customFormat="1" x14ac:dyDescent="0.2">
      <c r="A1105" s="189" t="s">
        <v>571</v>
      </c>
      <c r="B1105" s="189"/>
      <c r="C1105" s="189" t="s">
        <v>609</v>
      </c>
      <c r="D1105" s="189" t="s">
        <v>531</v>
      </c>
      <c r="E1105" s="189" t="s">
        <v>1430</v>
      </c>
      <c r="F1105" s="189" t="s">
        <v>522</v>
      </c>
      <c r="G1105" s="247">
        <v>0</v>
      </c>
      <c r="H1105" s="247">
        <v>0</v>
      </c>
      <c r="I1105" s="248">
        <v>0</v>
      </c>
      <c r="J1105" s="191">
        <v>19457.5</v>
      </c>
      <c r="K1105" s="247">
        <v>19457.5</v>
      </c>
      <c r="L1105" s="287">
        <f t="shared" si="121"/>
        <v>0</v>
      </c>
    </row>
    <row r="1106" spans="1:12" x14ac:dyDescent="0.2">
      <c r="A1106" s="189" t="s">
        <v>568</v>
      </c>
      <c r="B1106" s="189"/>
      <c r="C1106" s="189" t="s">
        <v>609</v>
      </c>
      <c r="D1106" s="189" t="s">
        <v>531</v>
      </c>
      <c r="E1106" s="189" t="s">
        <v>567</v>
      </c>
      <c r="F1106" s="189"/>
      <c r="G1106" s="247">
        <v>665</v>
      </c>
      <c r="H1106" s="247">
        <v>665</v>
      </c>
      <c r="I1106" s="248">
        <f t="shared" si="120"/>
        <v>0</v>
      </c>
      <c r="J1106" s="191">
        <v>665</v>
      </c>
      <c r="K1106" s="247">
        <v>665</v>
      </c>
      <c r="L1106" s="287">
        <f t="shared" si="121"/>
        <v>0</v>
      </c>
    </row>
    <row r="1107" spans="1:12" x14ac:dyDescent="0.2">
      <c r="A1107" s="189" t="s">
        <v>675</v>
      </c>
      <c r="B1107" s="189"/>
      <c r="C1107" s="189" t="s">
        <v>609</v>
      </c>
      <c r="D1107" s="189" t="s">
        <v>531</v>
      </c>
      <c r="E1107" s="189" t="s">
        <v>674</v>
      </c>
      <c r="F1107" s="189"/>
      <c r="G1107" s="247">
        <v>665</v>
      </c>
      <c r="H1107" s="247">
        <v>665</v>
      </c>
      <c r="I1107" s="248">
        <f t="shared" si="120"/>
        <v>0</v>
      </c>
      <c r="J1107" s="191">
        <v>665</v>
      </c>
      <c r="K1107" s="247">
        <v>665</v>
      </c>
      <c r="L1107" s="287">
        <f t="shared" si="121"/>
        <v>0</v>
      </c>
    </row>
    <row r="1108" spans="1:12" ht="36" x14ac:dyDescent="0.2">
      <c r="A1108" s="189" t="s">
        <v>673</v>
      </c>
      <c r="B1108" s="189"/>
      <c r="C1108" s="189" t="s">
        <v>609</v>
      </c>
      <c r="D1108" s="189" t="s">
        <v>531</v>
      </c>
      <c r="E1108" s="189" t="s">
        <v>672</v>
      </c>
      <c r="F1108" s="189"/>
      <c r="G1108" s="247">
        <v>665</v>
      </c>
      <c r="H1108" s="247">
        <v>665</v>
      </c>
      <c r="I1108" s="248">
        <f t="shared" si="120"/>
        <v>0</v>
      </c>
      <c r="J1108" s="191">
        <v>665</v>
      </c>
      <c r="K1108" s="247">
        <v>665</v>
      </c>
      <c r="L1108" s="287">
        <f t="shared" si="121"/>
        <v>0</v>
      </c>
    </row>
    <row r="1109" spans="1:12" x14ac:dyDescent="0.2">
      <c r="A1109" s="189" t="s">
        <v>671</v>
      </c>
      <c r="B1109" s="189"/>
      <c r="C1109" s="189" t="s">
        <v>609</v>
      </c>
      <c r="D1109" s="189" t="s">
        <v>531</v>
      </c>
      <c r="E1109" s="189" t="s">
        <v>669</v>
      </c>
      <c r="F1109" s="189"/>
      <c r="G1109" s="247">
        <v>665</v>
      </c>
      <c r="H1109" s="247">
        <v>665</v>
      </c>
      <c r="I1109" s="248">
        <f t="shared" si="120"/>
        <v>0</v>
      </c>
      <c r="J1109" s="191">
        <v>665</v>
      </c>
      <c r="K1109" s="247">
        <v>665</v>
      </c>
      <c r="L1109" s="287">
        <f t="shared" si="121"/>
        <v>0</v>
      </c>
    </row>
    <row r="1110" spans="1:12" ht="24" x14ac:dyDescent="0.2">
      <c r="A1110" s="189" t="s">
        <v>547</v>
      </c>
      <c r="B1110" s="189"/>
      <c r="C1110" s="189" t="s">
        <v>609</v>
      </c>
      <c r="D1110" s="189" t="s">
        <v>531</v>
      </c>
      <c r="E1110" s="189" t="s">
        <v>669</v>
      </c>
      <c r="F1110" s="189" t="s">
        <v>519</v>
      </c>
      <c r="G1110" s="247">
        <v>665</v>
      </c>
      <c r="H1110" s="247">
        <v>665</v>
      </c>
      <c r="I1110" s="248">
        <f t="shared" si="120"/>
        <v>0</v>
      </c>
      <c r="J1110" s="191">
        <v>665</v>
      </c>
      <c r="K1110" s="247">
        <v>665</v>
      </c>
      <c r="L1110" s="287">
        <f t="shared" si="121"/>
        <v>0</v>
      </c>
    </row>
    <row r="1111" spans="1:12" x14ac:dyDescent="0.2">
      <c r="A1111" s="189" t="s">
        <v>571</v>
      </c>
      <c r="B1111" s="189"/>
      <c r="C1111" s="189" t="s">
        <v>609</v>
      </c>
      <c r="D1111" s="189" t="s">
        <v>531</v>
      </c>
      <c r="E1111" s="189" t="s">
        <v>669</v>
      </c>
      <c r="F1111" s="189" t="s">
        <v>522</v>
      </c>
      <c r="G1111" s="247">
        <v>665</v>
      </c>
      <c r="H1111" s="247">
        <v>665</v>
      </c>
      <c r="I1111" s="248">
        <f t="shared" si="120"/>
        <v>0</v>
      </c>
      <c r="J1111" s="191">
        <v>665</v>
      </c>
      <c r="K1111" s="247">
        <v>665</v>
      </c>
      <c r="L1111" s="287">
        <f t="shared" si="121"/>
        <v>0</v>
      </c>
    </row>
    <row r="1112" spans="1:12" x14ac:dyDescent="0.2">
      <c r="A1112" s="189" t="s">
        <v>689</v>
      </c>
      <c r="B1112" s="189"/>
      <c r="C1112" s="189" t="s">
        <v>609</v>
      </c>
      <c r="D1112" s="189" t="s">
        <v>670</v>
      </c>
      <c r="E1112" s="189"/>
      <c r="F1112" s="189"/>
      <c r="G1112" s="247">
        <v>63015.5</v>
      </c>
      <c r="H1112" s="247">
        <v>63015.5</v>
      </c>
      <c r="I1112" s="248">
        <f t="shared" si="120"/>
        <v>0</v>
      </c>
      <c r="J1112" s="191">
        <v>63015.5</v>
      </c>
      <c r="K1112" s="247">
        <v>63015.5</v>
      </c>
      <c r="L1112" s="287">
        <f t="shared" si="121"/>
        <v>0</v>
      </c>
    </row>
    <row r="1113" spans="1:12" x14ac:dyDescent="0.2">
      <c r="A1113" s="189" t="s">
        <v>666</v>
      </c>
      <c r="B1113" s="189"/>
      <c r="C1113" s="189" t="s">
        <v>609</v>
      </c>
      <c r="D1113" s="189" t="s">
        <v>670</v>
      </c>
      <c r="E1113" s="189" t="s">
        <v>665</v>
      </c>
      <c r="F1113" s="189"/>
      <c r="G1113" s="247">
        <v>53836.3</v>
      </c>
      <c r="H1113" s="247">
        <v>53836.3</v>
      </c>
      <c r="I1113" s="248">
        <f t="shared" si="120"/>
        <v>0</v>
      </c>
      <c r="J1113" s="191">
        <v>53836.3</v>
      </c>
      <c r="K1113" s="247">
        <v>53836.3</v>
      </c>
      <c r="L1113" s="287">
        <f t="shared" si="121"/>
        <v>0</v>
      </c>
    </row>
    <row r="1114" spans="1:12" x14ac:dyDescent="0.2">
      <c r="A1114" s="189" t="s">
        <v>688</v>
      </c>
      <c r="B1114" s="189"/>
      <c r="C1114" s="189" t="s">
        <v>609</v>
      </c>
      <c r="D1114" s="189" t="s">
        <v>670</v>
      </c>
      <c r="E1114" s="189" t="s">
        <v>687</v>
      </c>
      <c r="F1114" s="189"/>
      <c r="G1114" s="247">
        <v>33279.5</v>
      </c>
      <c r="H1114" s="247">
        <v>33279.5</v>
      </c>
      <c r="I1114" s="248">
        <f t="shared" si="120"/>
        <v>0</v>
      </c>
      <c r="J1114" s="191">
        <v>33279.5</v>
      </c>
      <c r="K1114" s="247">
        <v>33279.5</v>
      </c>
      <c r="L1114" s="287">
        <f t="shared" si="121"/>
        <v>0</v>
      </c>
    </row>
    <row r="1115" spans="1:12" ht="24" x14ac:dyDescent="0.2">
      <c r="A1115" s="189" t="s">
        <v>686</v>
      </c>
      <c r="B1115" s="189"/>
      <c r="C1115" s="189" t="s">
        <v>609</v>
      </c>
      <c r="D1115" s="189" t="s">
        <v>670</v>
      </c>
      <c r="E1115" s="189" t="s">
        <v>685</v>
      </c>
      <c r="F1115" s="189"/>
      <c r="G1115" s="247">
        <v>33279.5</v>
      </c>
      <c r="H1115" s="247">
        <v>33279.5</v>
      </c>
      <c r="I1115" s="248">
        <f t="shared" si="120"/>
        <v>0</v>
      </c>
      <c r="J1115" s="191">
        <v>33279.5</v>
      </c>
      <c r="K1115" s="247">
        <v>33279.5</v>
      </c>
      <c r="L1115" s="287">
        <f t="shared" si="121"/>
        <v>0</v>
      </c>
    </row>
    <row r="1116" spans="1:12" ht="24" x14ac:dyDescent="0.2">
      <c r="A1116" s="189" t="s">
        <v>684</v>
      </c>
      <c r="B1116" s="189"/>
      <c r="C1116" s="189" t="s">
        <v>609</v>
      </c>
      <c r="D1116" s="189" t="s">
        <v>670</v>
      </c>
      <c r="E1116" s="189" t="s">
        <v>683</v>
      </c>
      <c r="F1116" s="189"/>
      <c r="G1116" s="247">
        <v>33279.5</v>
      </c>
      <c r="H1116" s="247">
        <v>33279.5</v>
      </c>
      <c r="I1116" s="248">
        <f t="shared" si="120"/>
        <v>0</v>
      </c>
      <c r="J1116" s="191">
        <v>33279.5</v>
      </c>
      <c r="K1116" s="247">
        <v>33279.5</v>
      </c>
      <c r="L1116" s="287">
        <f t="shared" si="121"/>
        <v>0</v>
      </c>
    </row>
    <row r="1117" spans="1:12" ht="24" x14ac:dyDescent="0.2">
      <c r="A1117" s="189" t="s">
        <v>1347</v>
      </c>
      <c r="B1117" s="189"/>
      <c r="C1117" s="189" t="s">
        <v>609</v>
      </c>
      <c r="D1117" s="189" t="s">
        <v>670</v>
      </c>
      <c r="E1117" s="189" t="s">
        <v>683</v>
      </c>
      <c r="F1117" s="189" t="s">
        <v>535</v>
      </c>
      <c r="G1117" s="247">
        <v>2809.3</v>
      </c>
      <c r="H1117" s="247">
        <v>2809.3</v>
      </c>
      <c r="I1117" s="248">
        <f t="shared" si="120"/>
        <v>0</v>
      </c>
      <c r="J1117" s="191">
        <v>2809.3</v>
      </c>
      <c r="K1117" s="247">
        <v>2809.3</v>
      </c>
      <c r="L1117" s="287">
        <f t="shared" si="121"/>
        <v>0</v>
      </c>
    </row>
    <row r="1118" spans="1:12" ht="24" x14ac:dyDescent="0.2">
      <c r="A1118" s="189" t="s">
        <v>534</v>
      </c>
      <c r="B1118" s="189"/>
      <c r="C1118" s="189" t="s">
        <v>609</v>
      </c>
      <c r="D1118" s="189" t="s">
        <v>670</v>
      </c>
      <c r="E1118" s="189" t="s">
        <v>683</v>
      </c>
      <c r="F1118" s="189" t="s">
        <v>529</v>
      </c>
      <c r="G1118" s="247">
        <v>2809.3</v>
      </c>
      <c r="H1118" s="247">
        <v>2809.3</v>
      </c>
      <c r="I1118" s="248">
        <f t="shared" si="120"/>
        <v>0</v>
      </c>
      <c r="J1118" s="191">
        <v>2809.3</v>
      </c>
      <c r="K1118" s="247">
        <v>2809.3</v>
      </c>
      <c r="L1118" s="287">
        <f t="shared" si="121"/>
        <v>0</v>
      </c>
    </row>
    <row r="1119" spans="1:12" ht="24" x14ac:dyDescent="0.2">
      <c r="A1119" s="189" t="s">
        <v>547</v>
      </c>
      <c r="B1119" s="189"/>
      <c r="C1119" s="189" t="s">
        <v>609</v>
      </c>
      <c r="D1119" s="189" t="s">
        <v>670</v>
      </c>
      <c r="E1119" s="189" t="s">
        <v>683</v>
      </c>
      <c r="F1119" s="189" t="s">
        <v>519</v>
      </c>
      <c r="G1119" s="247">
        <v>30470.2</v>
      </c>
      <c r="H1119" s="247">
        <v>30470.2</v>
      </c>
      <c r="I1119" s="248">
        <f t="shared" si="120"/>
        <v>0</v>
      </c>
      <c r="J1119" s="191">
        <v>30470.2</v>
      </c>
      <c r="K1119" s="247">
        <v>30470.2</v>
      </c>
      <c r="L1119" s="287">
        <f t="shared" si="121"/>
        <v>0</v>
      </c>
    </row>
    <row r="1120" spans="1:12" x14ac:dyDescent="0.2">
      <c r="A1120" s="189" t="s">
        <v>571</v>
      </c>
      <c r="B1120" s="189"/>
      <c r="C1120" s="189" t="s">
        <v>609</v>
      </c>
      <c r="D1120" s="189" t="s">
        <v>670</v>
      </c>
      <c r="E1120" s="189" t="s">
        <v>683</v>
      </c>
      <c r="F1120" s="189" t="s">
        <v>522</v>
      </c>
      <c r="G1120" s="247">
        <v>30470.2</v>
      </c>
      <c r="H1120" s="247">
        <v>30470.2</v>
      </c>
      <c r="I1120" s="248">
        <f t="shared" si="120"/>
        <v>0</v>
      </c>
      <c r="J1120" s="191">
        <v>30470.2</v>
      </c>
      <c r="K1120" s="247">
        <v>30470.2</v>
      </c>
      <c r="L1120" s="287">
        <f t="shared" si="121"/>
        <v>0</v>
      </c>
    </row>
    <row r="1121" spans="1:12" x14ac:dyDescent="0.2">
      <c r="A1121" s="189" t="s">
        <v>682</v>
      </c>
      <c r="B1121" s="189"/>
      <c r="C1121" s="189" t="s">
        <v>609</v>
      </c>
      <c r="D1121" s="189" t="s">
        <v>670</v>
      </c>
      <c r="E1121" s="189" t="s">
        <v>681</v>
      </c>
      <c r="F1121" s="189"/>
      <c r="G1121" s="247">
        <v>20556.8</v>
      </c>
      <c r="H1121" s="247">
        <v>20556.8</v>
      </c>
      <c r="I1121" s="248">
        <f t="shared" si="120"/>
        <v>0</v>
      </c>
      <c r="J1121" s="191">
        <v>20556.8</v>
      </c>
      <c r="K1121" s="247">
        <v>20556.8</v>
      </c>
      <c r="L1121" s="287">
        <f t="shared" si="121"/>
        <v>0</v>
      </c>
    </row>
    <row r="1122" spans="1:12" ht="24" x14ac:dyDescent="0.2">
      <c r="A1122" s="189" t="s">
        <v>600</v>
      </c>
      <c r="B1122" s="189"/>
      <c r="C1122" s="189" t="s">
        <v>609</v>
      </c>
      <c r="D1122" s="189" t="s">
        <v>670</v>
      </c>
      <c r="E1122" s="189" t="s">
        <v>680</v>
      </c>
      <c r="F1122" s="189"/>
      <c r="G1122" s="247">
        <v>20556.8</v>
      </c>
      <c r="H1122" s="247">
        <v>20556.8</v>
      </c>
      <c r="I1122" s="248">
        <f t="shared" si="120"/>
        <v>0</v>
      </c>
      <c r="J1122" s="191">
        <v>20556.8</v>
      </c>
      <c r="K1122" s="247">
        <v>20556.8</v>
      </c>
      <c r="L1122" s="287">
        <f t="shared" si="121"/>
        <v>0</v>
      </c>
    </row>
    <row r="1123" spans="1:12" x14ac:dyDescent="0.2">
      <c r="A1123" s="189" t="s">
        <v>679</v>
      </c>
      <c r="B1123" s="189"/>
      <c r="C1123" s="189" t="s">
        <v>609</v>
      </c>
      <c r="D1123" s="189" t="s">
        <v>670</v>
      </c>
      <c r="E1123" s="189" t="s">
        <v>678</v>
      </c>
      <c r="F1123" s="189"/>
      <c r="G1123" s="247">
        <v>3089</v>
      </c>
      <c r="H1123" s="247">
        <v>3089</v>
      </c>
      <c r="I1123" s="248">
        <f t="shared" si="120"/>
        <v>0</v>
      </c>
      <c r="J1123" s="191">
        <v>3089</v>
      </c>
      <c r="K1123" s="247">
        <v>3089</v>
      </c>
      <c r="L1123" s="287">
        <f t="shared" si="121"/>
        <v>0</v>
      </c>
    </row>
    <row r="1124" spans="1:12" ht="24" x14ac:dyDescent="0.2">
      <c r="A1124" s="189" t="s">
        <v>547</v>
      </c>
      <c r="B1124" s="189"/>
      <c r="C1124" s="189" t="s">
        <v>609</v>
      </c>
      <c r="D1124" s="189" t="s">
        <v>670</v>
      </c>
      <c r="E1124" s="189" t="s">
        <v>678</v>
      </c>
      <c r="F1124" s="189" t="s">
        <v>519</v>
      </c>
      <c r="G1124" s="247">
        <v>3089</v>
      </c>
      <c r="H1124" s="247">
        <v>3089</v>
      </c>
      <c r="I1124" s="248">
        <f t="shared" si="120"/>
        <v>0</v>
      </c>
      <c r="J1124" s="191">
        <v>3089</v>
      </c>
      <c r="K1124" s="247">
        <v>3089</v>
      </c>
      <c r="L1124" s="287">
        <f t="shared" si="121"/>
        <v>0</v>
      </c>
    </row>
    <row r="1125" spans="1:12" x14ac:dyDescent="0.2">
      <c r="A1125" s="189" t="s">
        <v>571</v>
      </c>
      <c r="B1125" s="189"/>
      <c r="C1125" s="189" t="s">
        <v>609</v>
      </c>
      <c r="D1125" s="189" t="s">
        <v>670</v>
      </c>
      <c r="E1125" s="189" t="s">
        <v>678</v>
      </c>
      <c r="F1125" s="189" t="s">
        <v>522</v>
      </c>
      <c r="G1125" s="247">
        <v>3089</v>
      </c>
      <c r="H1125" s="247">
        <v>3089</v>
      </c>
      <c r="I1125" s="248">
        <f t="shared" si="120"/>
        <v>0</v>
      </c>
      <c r="J1125" s="191">
        <v>3089</v>
      </c>
      <c r="K1125" s="247">
        <v>3089</v>
      </c>
      <c r="L1125" s="287">
        <f t="shared" si="121"/>
        <v>0</v>
      </c>
    </row>
    <row r="1126" spans="1:12" x14ac:dyDescent="0.2">
      <c r="A1126" s="189" t="s">
        <v>677</v>
      </c>
      <c r="B1126" s="189"/>
      <c r="C1126" s="189" t="s">
        <v>609</v>
      </c>
      <c r="D1126" s="189" t="s">
        <v>670</v>
      </c>
      <c r="E1126" s="189" t="s">
        <v>676</v>
      </c>
      <c r="F1126" s="189"/>
      <c r="G1126" s="247">
        <v>17467.8</v>
      </c>
      <c r="H1126" s="247">
        <v>17467.8</v>
      </c>
      <c r="I1126" s="248">
        <f t="shared" si="120"/>
        <v>0</v>
      </c>
      <c r="J1126" s="191">
        <v>17467.8</v>
      </c>
      <c r="K1126" s="247">
        <v>17467.8</v>
      </c>
      <c r="L1126" s="287">
        <f t="shared" si="121"/>
        <v>0</v>
      </c>
    </row>
    <row r="1127" spans="1:12" ht="24" x14ac:dyDescent="0.2">
      <c r="A1127" s="189" t="s">
        <v>547</v>
      </c>
      <c r="B1127" s="189"/>
      <c r="C1127" s="189" t="s">
        <v>609</v>
      </c>
      <c r="D1127" s="189" t="s">
        <v>670</v>
      </c>
      <c r="E1127" s="189" t="s">
        <v>676</v>
      </c>
      <c r="F1127" s="189" t="s">
        <v>519</v>
      </c>
      <c r="G1127" s="247">
        <v>17467.8</v>
      </c>
      <c r="H1127" s="247">
        <v>17467.8</v>
      </c>
      <c r="I1127" s="248">
        <f t="shared" si="120"/>
        <v>0</v>
      </c>
      <c r="J1127" s="191">
        <v>17467.8</v>
      </c>
      <c r="K1127" s="247">
        <v>17467.8</v>
      </c>
      <c r="L1127" s="287">
        <f t="shared" si="121"/>
        <v>0</v>
      </c>
    </row>
    <row r="1128" spans="1:12" x14ac:dyDescent="0.2">
      <c r="A1128" s="189" t="s">
        <v>571</v>
      </c>
      <c r="B1128" s="189"/>
      <c r="C1128" s="189" t="s">
        <v>609</v>
      </c>
      <c r="D1128" s="189" t="s">
        <v>670</v>
      </c>
      <c r="E1128" s="189" t="s">
        <v>676</v>
      </c>
      <c r="F1128" s="189" t="s">
        <v>522</v>
      </c>
      <c r="G1128" s="247">
        <v>17467.8</v>
      </c>
      <c r="H1128" s="247">
        <v>17467.8</v>
      </c>
      <c r="I1128" s="248">
        <f t="shared" si="120"/>
        <v>0</v>
      </c>
      <c r="J1128" s="191">
        <v>17467.8</v>
      </c>
      <c r="K1128" s="247">
        <v>17467.8</v>
      </c>
      <c r="L1128" s="287">
        <f t="shared" si="121"/>
        <v>0</v>
      </c>
    </row>
    <row r="1129" spans="1:12" x14ac:dyDescent="0.2">
      <c r="A1129" s="189" t="s">
        <v>568</v>
      </c>
      <c r="B1129" s="189"/>
      <c r="C1129" s="189" t="s">
        <v>609</v>
      </c>
      <c r="D1129" s="189" t="s">
        <v>670</v>
      </c>
      <c r="E1129" s="189" t="s">
        <v>567</v>
      </c>
      <c r="F1129" s="189"/>
      <c r="G1129" s="247">
        <v>9179.2000000000007</v>
      </c>
      <c r="H1129" s="247">
        <v>9179.2000000000007</v>
      </c>
      <c r="I1129" s="248">
        <f t="shared" si="120"/>
        <v>0</v>
      </c>
      <c r="J1129" s="191">
        <v>9179.2000000000007</v>
      </c>
      <c r="K1129" s="247">
        <v>9179.2000000000007</v>
      </c>
      <c r="L1129" s="287">
        <f t="shared" si="121"/>
        <v>0</v>
      </c>
    </row>
    <row r="1130" spans="1:12" x14ac:dyDescent="0.2">
      <c r="A1130" s="189" t="s">
        <v>675</v>
      </c>
      <c r="B1130" s="189"/>
      <c r="C1130" s="189" t="s">
        <v>609</v>
      </c>
      <c r="D1130" s="189" t="s">
        <v>670</v>
      </c>
      <c r="E1130" s="189" t="s">
        <v>674</v>
      </c>
      <c r="F1130" s="189"/>
      <c r="G1130" s="247">
        <v>9179.2000000000007</v>
      </c>
      <c r="H1130" s="247">
        <v>9179.2000000000007</v>
      </c>
      <c r="I1130" s="248">
        <f t="shared" si="120"/>
        <v>0</v>
      </c>
      <c r="J1130" s="191">
        <v>9179.2000000000007</v>
      </c>
      <c r="K1130" s="247">
        <v>9179.2000000000007</v>
      </c>
      <c r="L1130" s="287">
        <f t="shared" si="121"/>
        <v>0</v>
      </c>
    </row>
    <row r="1131" spans="1:12" ht="36" x14ac:dyDescent="0.2">
      <c r="A1131" s="189" t="s">
        <v>673</v>
      </c>
      <c r="B1131" s="189"/>
      <c r="C1131" s="189" t="s">
        <v>609</v>
      </c>
      <c r="D1131" s="189" t="s">
        <v>670</v>
      </c>
      <c r="E1131" s="189" t="s">
        <v>672</v>
      </c>
      <c r="F1131" s="189"/>
      <c r="G1131" s="247">
        <v>9179.2000000000007</v>
      </c>
      <c r="H1131" s="247">
        <v>9179.2000000000007</v>
      </c>
      <c r="I1131" s="248">
        <f t="shared" si="120"/>
        <v>0</v>
      </c>
      <c r="J1131" s="191">
        <v>9179.2000000000007</v>
      </c>
      <c r="K1131" s="247">
        <v>9179.2000000000007</v>
      </c>
      <c r="L1131" s="287">
        <f t="shared" si="121"/>
        <v>0</v>
      </c>
    </row>
    <row r="1132" spans="1:12" x14ac:dyDescent="0.2">
      <c r="A1132" s="189" t="s">
        <v>671</v>
      </c>
      <c r="B1132" s="189"/>
      <c r="C1132" s="189" t="s">
        <v>609</v>
      </c>
      <c r="D1132" s="189" t="s">
        <v>670</v>
      </c>
      <c r="E1132" s="189" t="s">
        <v>669</v>
      </c>
      <c r="F1132" s="189"/>
      <c r="G1132" s="247">
        <v>9179.2000000000007</v>
      </c>
      <c r="H1132" s="247">
        <v>9179.2000000000007</v>
      </c>
      <c r="I1132" s="248">
        <f t="shared" si="120"/>
        <v>0</v>
      </c>
      <c r="J1132" s="191">
        <v>9179.2000000000007</v>
      </c>
      <c r="K1132" s="247">
        <v>9179.2000000000007</v>
      </c>
      <c r="L1132" s="287">
        <f t="shared" si="121"/>
        <v>0</v>
      </c>
    </row>
    <row r="1133" spans="1:12" ht="24" x14ac:dyDescent="0.2">
      <c r="A1133" s="189" t="s">
        <v>547</v>
      </c>
      <c r="B1133" s="189"/>
      <c r="C1133" s="189" t="s">
        <v>609</v>
      </c>
      <c r="D1133" s="189" t="s">
        <v>670</v>
      </c>
      <c r="E1133" s="189" t="s">
        <v>669</v>
      </c>
      <c r="F1133" s="189" t="s">
        <v>519</v>
      </c>
      <c r="G1133" s="247">
        <v>9179.2000000000007</v>
      </c>
      <c r="H1133" s="247">
        <v>9179.2000000000007</v>
      </c>
      <c r="I1133" s="248">
        <f t="shared" si="120"/>
        <v>0</v>
      </c>
      <c r="J1133" s="191">
        <v>9179.2000000000007</v>
      </c>
      <c r="K1133" s="247">
        <v>9179.2000000000007</v>
      </c>
      <c r="L1133" s="287">
        <f t="shared" si="121"/>
        <v>0</v>
      </c>
    </row>
    <row r="1134" spans="1:12" x14ac:dyDescent="0.2">
      <c r="A1134" s="189" t="s">
        <v>571</v>
      </c>
      <c r="B1134" s="189"/>
      <c r="C1134" s="189" t="s">
        <v>609</v>
      </c>
      <c r="D1134" s="189" t="s">
        <v>670</v>
      </c>
      <c r="E1134" s="189" t="s">
        <v>669</v>
      </c>
      <c r="F1134" s="189" t="s">
        <v>522</v>
      </c>
      <c r="G1134" s="247">
        <v>9179.2000000000007</v>
      </c>
      <c r="H1134" s="247">
        <v>9179.2000000000007</v>
      </c>
      <c r="I1134" s="248">
        <f t="shared" si="120"/>
        <v>0</v>
      </c>
      <c r="J1134" s="191">
        <v>9179.2000000000007</v>
      </c>
      <c r="K1134" s="247">
        <v>9179.2000000000007</v>
      </c>
      <c r="L1134" s="287">
        <f t="shared" si="121"/>
        <v>0</v>
      </c>
    </row>
    <row r="1135" spans="1:12" s="78" customFormat="1" x14ac:dyDescent="0.2">
      <c r="A1135" s="185" t="s">
        <v>668</v>
      </c>
      <c r="B1135" s="185"/>
      <c r="C1135" s="185" t="s">
        <v>657</v>
      </c>
      <c r="D1135" s="185"/>
      <c r="E1135" s="185"/>
      <c r="F1135" s="185"/>
      <c r="G1135" s="245">
        <v>106623</v>
      </c>
      <c r="H1135" s="245">
        <v>106623</v>
      </c>
      <c r="I1135" s="246">
        <f t="shared" si="120"/>
        <v>0</v>
      </c>
      <c r="J1135" s="187">
        <v>106623</v>
      </c>
      <c r="K1135" s="245">
        <v>106623</v>
      </c>
      <c r="L1135" s="286">
        <f t="shared" si="121"/>
        <v>0</v>
      </c>
    </row>
    <row r="1136" spans="1:12" x14ac:dyDescent="0.2">
      <c r="A1136" s="189" t="s">
        <v>667</v>
      </c>
      <c r="B1136" s="189"/>
      <c r="C1136" s="189" t="s">
        <v>657</v>
      </c>
      <c r="D1136" s="189" t="s">
        <v>507</v>
      </c>
      <c r="E1136" s="189"/>
      <c r="F1136" s="189"/>
      <c r="G1136" s="247">
        <v>106623</v>
      </c>
      <c r="H1136" s="247">
        <v>106623</v>
      </c>
      <c r="I1136" s="248">
        <f t="shared" si="120"/>
        <v>0</v>
      </c>
      <c r="J1136" s="191">
        <v>106623</v>
      </c>
      <c r="K1136" s="247">
        <v>106623</v>
      </c>
      <c r="L1136" s="287">
        <f t="shared" si="121"/>
        <v>0</v>
      </c>
    </row>
    <row r="1137" spans="1:12" x14ac:dyDescent="0.2">
      <c r="A1137" s="189" t="s">
        <v>666</v>
      </c>
      <c r="B1137" s="189"/>
      <c r="C1137" s="189" t="s">
        <v>657</v>
      </c>
      <c r="D1137" s="189" t="s">
        <v>507</v>
      </c>
      <c r="E1137" s="189" t="s">
        <v>665</v>
      </c>
      <c r="F1137" s="189"/>
      <c r="G1137" s="247">
        <v>106623</v>
      </c>
      <c r="H1137" s="247">
        <v>106623</v>
      </c>
      <c r="I1137" s="248">
        <f t="shared" si="120"/>
        <v>0</v>
      </c>
      <c r="J1137" s="191">
        <v>106623</v>
      </c>
      <c r="K1137" s="247">
        <v>106623</v>
      </c>
      <c r="L1137" s="287">
        <f t="shared" si="121"/>
        <v>0</v>
      </c>
    </row>
    <row r="1138" spans="1:12" x14ac:dyDescent="0.2">
      <c r="A1138" s="189" t="s">
        <v>664</v>
      </c>
      <c r="B1138" s="189"/>
      <c r="C1138" s="189" t="s">
        <v>657</v>
      </c>
      <c r="D1138" s="189" t="s">
        <v>507</v>
      </c>
      <c r="E1138" s="189" t="s">
        <v>663</v>
      </c>
      <c r="F1138" s="189"/>
      <c r="G1138" s="247">
        <v>106623</v>
      </c>
      <c r="H1138" s="247">
        <v>106623</v>
      </c>
      <c r="I1138" s="248">
        <f t="shared" si="120"/>
        <v>0</v>
      </c>
      <c r="J1138" s="191">
        <v>106623</v>
      </c>
      <c r="K1138" s="247">
        <v>106623</v>
      </c>
      <c r="L1138" s="287">
        <f t="shared" si="121"/>
        <v>0</v>
      </c>
    </row>
    <row r="1139" spans="1:12" ht="24" x14ac:dyDescent="0.2">
      <c r="A1139" s="189" t="s">
        <v>662</v>
      </c>
      <c r="B1139" s="189"/>
      <c r="C1139" s="189" t="s">
        <v>657</v>
      </c>
      <c r="D1139" s="189" t="s">
        <v>507</v>
      </c>
      <c r="E1139" s="189" t="s">
        <v>661</v>
      </c>
      <c r="F1139" s="189"/>
      <c r="G1139" s="247">
        <v>106623</v>
      </c>
      <c r="H1139" s="247">
        <v>106623</v>
      </c>
      <c r="I1139" s="248">
        <f t="shared" si="120"/>
        <v>0</v>
      </c>
      <c r="J1139" s="191">
        <v>106623</v>
      </c>
      <c r="K1139" s="247">
        <v>106623</v>
      </c>
      <c r="L1139" s="287">
        <f t="shared" si="121"/>
        <v>0</v>
      </c>
    </row>
    <row r="1140" spans="1:12" ht="48" x14ac:dyDescent="0.2">
      <c r="A1140" s="189" t="s">
        <v>660</v>
      </c>
      <c r="B1140" s="189"/>
      <c r="C1140" s="189" t="s">
        <v>657</v>
      </c>
      <c r="D1140" s="189" t="s">
        <v>507</v>
      </c>
      <c r="E1140" s="189" t="s">
        <v>656</v>
      </c>
      <c r="F1140" s="189"/>
      <c r="G1140" s="247">
        <v>106623</v>
      </c>
      <c r="H1140" s="247">
        <v>106623</v>
      </c>
      <c r="I1140" s="248">
        <f t="shared" si="120"/>
        <v>0</v>
      </c>
      <c r="J1140" s="191">
        <v>106623</v>
      </c>
      <c r="K1140" s="247">
        <v>106623</v>
      </c>
      <c r="L1140" s="287">
        <f t="shared" si="121"/>
        <v>0</v>
      </c>
    </row>
    <row r="1141" spans="1:12" ht="24" x14ac:dyDescent="0.2">
      <c r="A1141" s="189" t="s">
        <v>1347</v>
      </c>
      <c r="B1141" s="189"/>
      <c r="C1141" s="189" t="s">
        <v>657</v>
      </c>
      <c r="D1141" s="189" t="s">
        <v>507</v>
      </c>
      <c r="E1141" s="189" t="s">
        <v>656</v>
      </c>
      <c r="F1141" s="189" t="s">
        <v>535</v>
      </c>
      <c r="G1141" s="247">
        <v>1056</v>
      </c>
      <c r="H1141" s="247">
        <v>1056</v>
      </c>
      <c r="I1141" s="248">
        <f t="shared" si="120"/>
        <v>0</v>
      </c>
      <c r="J1141" s="191">
        <v>1056</v>
      </c>
      <c r="K1141" s="247">
        <v>1056</v>
      </c>
      <c r="L1141" s="287">
        <f t="shared" si="121"/>
        <v>0</v>
      </c>
    </row>
    <row r="1142" spans="1:12" ht="24" x14ac:dyDescent="0.2">
      <c r="A1142" s="189" t="s">
        <v>534</v>
      </c>
      <c r="B1142" s="189"/>
      <c r="C1142" s="189" t="s">
        <v>657</v>
      </c>
      <c r="D1142" s="189" t="s">
        <v>507</v>
      </c>
      <c r="E1142" s="189" t="s">
        <v>656</v>
      </c>
      <c r="F1142" s="189" t="s">
        <v>529</v>
      </c>
      <c r="G1142" s="247">
        <v>1056</v>
      </c>
      <c r="H1142" s="247">
        <v>1056</v>
      </c>
      <c r="I1142" s="248">
        <f t="shared" si="120"/>
        <v>0</v>
      </c>
      <c r="J1142" s="191">
        <v>1056</v>
      </c>
      <c r="K1142" s="247">
        <v>1056</v>
      </c>
      <c r="L1142" s="287">
        <f t="shared" si="121"/>
        <v>0</v>
      </c>
    </row>
    <row r="1143" spans="1:12" x14ac:dyDescent="0.2">
      <c r="A1143" s="189" t="s">
        <v>553</v>
      </c>
      <c r="B1143" s="189"/>
      <c r="C1143" s="189" t="s">
        <v>657</v>
      </c>
      <c r="D1143" s="189" t="s">
        <v>507</v>
      </c>
      <c r="E1143" s="189" t="s">
        <v>656</v>
      </c>
      <c r="F1143" s="189" t="s">
        <v>552</v>
      </c>
      <c r="G1143" s="247">
        <v>105567</v>
      </c>
      <c r="H1143" s="247">
        <v>105567</v>
      </c>
      <c r="I1143" s="248">
        <f t="shared" si="120"/>
        <v>0</v>
      </c>
      <c r="J1143" s="191">
        <v>105567</v>
      </c>
      <c r="K1143" s="247">
        <v>105567</v>
      </c>
      <c r="L1143" s="287">
        <f t="shared" si="121"/>
        <v>0</v>
      </c>
    </row>
    <row r="1144" spans="1:12" x14ac:dyDescent="0.2">
      <c r="A1144" s="189" t="s">
        <v>659</v>
      </c>
      <c r="B1144" s="189"/>
      <c r="C1144" s="189" t="s">
        <v>657</v>
      </c>
      <c r="D1144" s="189" t="s">
        <v>507</v>
      </c>
      <c r="E1144" s="189" t="s">
        <v>656</v>
      </c>
      <c r="F1144" s="189" t="s">
        <v>655</v>
      </c>
      <c r="G1144" s="247">
        <v>105567</v>
      </c>
      <c r="H1144" s="247">
        <v>105567</v>
      </c>
      <c r="I1144" s="248">
        <f t="shared" si="120"/>
        <v>0</v>
      </c>
      <c r="J1144" s="191">
        <v>105567</v>
      </c>
      <c r="K1144" s="247">
        <v>105567</v>
      </c>
      <c r="L1144" s="287">
        <f t="shared" si="121"/>
        <v>0</v>
      </c>
    </row>
    <row r="1145" spans="1:12" x14ac:dyDescent="0.2">
      <c r="A1145" s="181" t="s">
        <v>1360</v>
      </c>
      <c r="B1145" s="181" t="s">
        <v>618</v>
      </c>
      <c r="C1145" s="181"/>
      <c r="D1145" s="181"/>
      <c r="E1145" s="181"/>
      <c r="F1145" s="181"/>
      <c r="G1145" s="243">
        <f>G1146+G1159+G1168</f>
        <v>505028.8</v>
      </c>
      <c r="H1145" s="243">
        <f>H1146+H1159+H1168</f>
        <v>505028.8</v>
      </c>
      <c r="I1145" s="244">
        <f t="shared" si="120"/>
        <v>0</v>
      </c>
      <c r="J1145" s="183">
        <f>J1146+J1159+J1168</f>
        <v>506384.9</v>
      </c>
      <c r="K1145" s="243">
        <f>K1146+K1159+K1168</f>
        <v>506384.9</v>
      </c>
      <c r="L1145" s="288">
        <f t="shared" si="121"/>
        <v>0</v>
      </c>
    </row>
    <row r="1146" spans="1:12" s="78" customFormat="1" x14ac:dyDescent="0.2">
      <c r="A1146" s="185" t="s">
        <v>606</v>
      </c>
      <c r="B1146" s="185"/>
      <c r="C1146" s="185" t="s">
        <v>498</v>
      </c>
      <c r="D1146" s="185"/>
      <c r="E1146" s="185"/>
      <c r="F1146" s="185"/>
      <c r="G1146" s="245">
        <f>G1147+G1154</f>
        <v>746.69999999999993</v>
      </c>
      <c r="H1146" s="245">
        <f>H1147+H1154</f>
        <v>746.69999999999993</v>
      </c>
      <c r="I1146" s="246">
        <f t="shared" si="120"/>
        <v>0</v>
      </c>
      <c r="J1146" s="187">
        <f>J1147+J1154</f>
        <v>2342.6999999999998</v>
      </c>
      <c r="K1146" s="245">
        <f>K1147+K1154</f>
        <v>2342.6999999999998</v>
      </c>
      <c r="L1146" s="286">
        <f t="shared" si="121"/>
        <v>0</v>
      </c>
    </row>
    <row r="1147" spans="1:12" ht="36" x14ac:dyDescent="0.2">
      <c r="A1147" s="189" t="s">
        <v>605</v>
      </c>
      <c r="B1147" s="189"/>
      <c r="C1147" s="189" t="s">
        <v>498</v>
      </c>
      <c r="D1147" s="189" t="s">
        <v>507</v>
      </c>
      <c r="E1147" s="189"/>
      <c r="F1147" s="189"/>
      <c r="G1147" s="247">
        <f t="shared" ref="G1147:H1152" si="125">G1148</f>
        <v>740.69999999999993</v>
      </c>
      <c r="H1147" s="247">
        <f t="shared" si="125"/>
        <v>740.69999999999993</v>
      </c>
      <c r="I1147" s="248">
        <f t="shared" si="120"/>
        <v>0</v>
      </c>
      <c r="J1147" s="191">
        <f t="shared" ref="J1147:K1152" si="126">J1148</f>
        <v>830.69999999999993</v>
      </c>
      <c r="K1147" s="247">
        <f t="shared" si="126"/>
        <v>830.69999999999993</v>
      </c>
      <c r="L1147" s="287">
        <f t="shared" si="121"/>
        <v>0</v>
      </c>
    </row>
    <row r="1148" spans="1:12" ht="24" x14ac:dyDescent="0.2">
      <c r="A1148" s="189" t="s">
        <v>604</v>
      </c>
      <c r="B1148" s="189"/>
      <c r="C1148" s="189" t="s">
        <v>498</v>
      </c>
      <c r="D1148" s="189" t="s">
        <v>507</v>
      </c>
      <c r="E1148" s="189" t="s">
        <v>603</v>
      </c>
      <c r="F1148" s="189"/>
      <c r="G1148" s="247">
        <f t="shared" si="125"/>
        <v>740.69999999999993</v>
      </c>
      <c r="H1148" s="247">
        <f t="shared" si="125"/>
        <v>740.69999999999993</v>
      </c>
      <c r="I1148" s="248">
        <f t="shared" si="120"/>
        <v>0</v>
      </c>
      <c r="J1148" s="191">
        <f t="shared" si="126"/>
        <v>830.69999999999993</v>
      </c>
      <c r="K1148" s="247">
        <f t="shared" si="126"/>
        <v>830.69999999999993</v>
      </c>
      <c r="L1148" s="287">
        <f t="shared" si="121"/>
        <v>0</v>
      </c>
    </row>
    <row r="1149" spans="1:12" x14ac:dyDescent="0.2">
      <c r="A1149" s="189" t="s">
        <v>602</v>
      </c>
      <c r="B1149" s="189"/>
      <c r="C1149" s="189" t="s">
        <v>498</v>
      </c>
      <c r="D1149" s="189" t="s">
        <v>507</v>
      </c>
      <c r="E1149" s="189" t="s">
        <v>601</v>
      </c>
      <c r="F1149" s="189"/>
      <c r="G1149" s="247">
        <f t="shared" si="125"/>
        <v>740.69999999999993</v>
      </c>
      <c r="H1149" s="247">
        <f t="shared" si="125"/>
        <v>740.69999999999993</v>
      </c>
      <c r="I1149" s="248">
        <f t="shared" si="120"/>
        <v>0</v>
      </c>
      <c r="J1149" s="191">
        <f t="shared" si="126"/>
        <v>830.69999999999993</v>
      </c>
      <c r="K1149" s="247">
        <f t="shared" si="126"/>
        <v>830.69999999999993</v>
      </c>
      <c r="L1149" s="287">
        <f t="shared" si="121"/>
        <v>0</v>
      </c>
    </row>
    <row r="1150" spans="1:12" ht="24" x14ac:dyDescent="0.2">
      <c r="A1150" s="189" t="s">
        <v>600</v>
      </c>
      <c r="B1150" s="189"/>
      <c r="C1150" s="189" t="s">
        <v>498</v>
      </c>
      <c r="D1150" s="189" t="s">
        <v>507</v>
      </c>
      <c r="E1150" s="189" t="s">
        <v>599</v>
      </c>
      <c r="F1150" s="189"/>
      <c r="G1150" s="247">
        <f t="shared" si="125"/>
        <v>740.69999999999993</v>
      </c>
      <c r="H1150" s="247">
        <f t="shared" si="125"/>
        <v>740.69999999999993</v>
      </c>
      <c r="I1150" s="248">
        <f t="shared" si="120"/>
        <v>0</v>
      </c>
      <c r="J1150" s="191">
        <f t="shared" si="126"/>
        <v>830.69999999999993</v>
      </c>
      <c r="K1150" s="247">
        <f t="shared" si="126"/>
        <v>830.69999999999993</v>
      </c>
      <c r="L1150" s="287">
        <f t="shared" si="121"/>
        <v>0</v>
      </c>
    </row>
    <row r="1151" spans="1:12" x14ac:dyDescent="0.2">
      <c r="A1151" s="189" t="s">
        <v>598</v>
      </c>
      <c r="B1151" s="189"/>
      <c r="C1151" s="189" t="s">
        <v>498</v>
      </c>
      <c r="D1151" s="189" t="s">
        <v>507</v>
      </c>
      <c r="E1151" s="189" t="s">
        <v>597</v>
      </c>
      <c r="F1151" s="189"/>
      <c r="G1151" s="247">
        <f t="shared" si="125"/>
        <v>740.69999999999993</v>
      </c>
      <c r="H1151" s="247">
        <f t="shared" si="125"/>
        <v>740.69999999999993</v>
      </c>
      <c r="I1151" s="248">
        <f t="shared" si="120"/>
        <v>0</v>
      </c>
      <c r="J1151" s="191">
        <f t="shared" si="126"/>
        <v>830.69999999999993</v>
      </c>
      <c r="K1151" s="247">
        <f t="shared" si="126"/>
        <v>830.69999999999993</v>
      </c>
      <c r="L1151" s="287">
        <f t="shared" si="121"/>
        <v>0</v>
      </c>
    </row>
    <row r="1152" spans="1:12" ht="24" x14ac:dyDescent="0.2">
      <c r="A1152" s="189" t="s">
        <v>1347</v>
      </c>
      <c r="B1152" s="189"/>
      <c r="C1152" s="189" t="s">
        <v>498</v>
      </c>
      <c r="D1152" s="189" t="s">
        <v>507</v>
      </c>
      <c r="E1152" s="189" t="s">
        <v>597</v>
      </c>
      <c r="F1152" s="189" t="s">
        <v>535</v>
      </c>
      <c r="G1152" s="247">
        <f t="shared" si="125"/>
        <v>740.69999999999993</v>
      </c>
      <c r="H1152" s="247">
        <f t="shared" si="125"/>
        <v>740.69999999999993</v>
      </c>
      <c r="I1152" s="248">
        <f t="shared" si="120"/>
        <v>0</v>
      </c>
      <c r="J1152" s="191">
        <f t="shared" si="126"/>
        <v>830.69999999999993</v>
      </c>
      <c r="K1152" s="247">
        <f t="shared" si="126"/>
        <v>830.69999999999993</v>
      </c>
      <c r="L1152" s="287">
        <f t="shared" si="121"/>
        <v>0</v>
      </c>
    </row>
    <row r="1153" spans="1:12" ht="24" x14ac:dyDescent="0.2">
      <c r="A1153" s="189" t="s">
        <v>534</v>
      </c>
      <c r="B1153" s="189"/>
      <c r="C1153" s="189" t="s">
        <v>498</v>
      </c>
      <c r="D1153" s="189" t="s">
        <v>507</v>
      </c>
      <c r="E1153" s="189" t="s">
        <v>597</v>
      </c>
      <c r="F1153" s="189" t="s">
        <v>529</v>
      </c>
      <c r="G1153" s="247">
        <f>759.9-19.2</f>
        <v>740.69999999999993</v>
      </c>
      <c r="H1153" s="247">
        <f>759.9-19.2</f>
        <v>740.69999999999993</v>
      </c>
      <c r="I1153" s="248">
        <f t="shared" si="120"/>
        <v>0</v>
      </c>
      <c r="J1153" s="191">
        <f>759.9+70.8</f>
        <v>830.69999999999993</v>
      </c>
      <c r="K1153" s="247">
        <f>759.9+70.8</f>
        <v>830.69999999999993</v>
      </c>
      <c r="L1153" s="287">
        <f t="shared" si="121"/>
        <v>0</v>
      </c>
    </row>
    <row r="1154" spans="1:12" x14ac:dyDescent="0.2">
      <c r="A1154" s="189" t="s">
        <v>596</v>
      </c>
      <c r="B1154" s="189"/>
      <c r="C1154" s="189" t="s">
        <v>498</v>
      </c>
      <c r="D1154" s="189" t="s">
        <v>592</v>
      </c>
      <c r="E1154" s="189"/>
      <c r="F1154" s="189"/>
      <c r="G1154" s="247">
        <v>6</v>
      </c>
      <c r="H1154" s="247">
        <v>6</v>
      </c>
      <c r="I1154" s="248">
        <f t="shared" si="120"/>
        <v>0</v>
      </c>
      <c r="J1154" s="191">
        <v>1512</v>
      </c>
      <c r="K1154" s="247">
        <v>1512</v>
      </c>
      <c r="L1154" s="287">
        <f t="shared" si="121"/>
        <v>0</v>
      </c>
    </row>
    <row r="1155" spans="1:12" x14ac:dyDescent="0.2">
      <c r="A1155" s="189" t="s">
        <v>595</v>
      </c>
      <c r="B1155" s="189"/>
      <c r="C1155" s="189" t="s">
        <v>498</v>
      </c>
      <c r="D1155" s="189" t="s">
        <v>592</v>
      </c>
      <c r="E1155" s="189" t="s">
        <v>594</v>
      </c>
      <c r="F1155" s="189"/>
      <c r="G1155" s="247">
        <v>6</v>
      </c>
      <c r="H1155" s="247">
        <v>6</v>
      </c>
      <c r="I1155" s="248">
        <f t="shared" si="120"/>
        <v>0</v>
      </c>
      <c r="J1155" s="191">
        <v>1512</v>
      </c>
      <c r="K1155" s="247">
        <v>1512</v>
      </c>
      <c r="L1155" s="287">
        <f t="shared" si="121"/>
        <v>0</v>
      </c>
    </row>
    <row r="1156" spans="1:12" ht="24" x14ac:dyDescent="0.2">
      <c r="A1156" s="189" t="s">
        <v>593</v>
      </c>
      <c r="B1156" s="189"/>
      <c r="C1156" s="189" t="s">
        <v>498</v>
      </c>
      <c r="D1156" s="189" t="s">
        <v>592</v>
      </c>
      <c r="E1156" s="189" t="s">
        <v>591</v>
      </c>
      <c r="F1156" s="189"/>
      <c r="G1156" s="247">
        <v>6</v>
      </c>
      <c r="H1156" s="247">
        <v>6</v>
      </c>
      <c r="I1156" s="248">
        <f t="shared" si="120"/>
        <v>0</v>
      </c>
      <c r="J1156" s="191">
        <v>1512</v>
      </c>
      <c r="K1156" s="247">
        <v>1512</v>
      </c>
      <c r="L1156" s="287">
        <f t="shared" si="121"/>
        <v>0</v>
      </c>
    </row>
    <row r="1157" spans="1:12" ht="24" x14ac:dyDescent="0.2">
      <c r="A1157" s="189" t="s">
        <v>1347</v>
      </c>
      <c r="B1157" s="189"/>
      <c r="C1157" s="189" t="s">
        <v>498</v>
      </c>
      <c r="D1157" s="189" t="s">
        <v>592</v>
      </c>
      <c r="E1157" s="189" t="s">
        <v>591</v>
      </c>
      <c r="F1157" s="189" t="s">
        <v>535</v>
      </c>
      <c r="G1157" s="247">
        <v>6</v>
      </c>
      <c r="H1157" s="247">
        <v>6</v>
      </c>
      <c r="I1157" s="248">
        <f t="shared" si="120"/>
        <v>0</v>
      </c>
      <c r="J1157" s="191">
        <v>1512</v>
      </c>
      <c r="K1157" s="247">
        <v>1512</v>
      </c>
      <c r="L1157" s="287">
        <f t="shared" si="121"/>
        <v>0</v>
      </c>
    </row>
    <row r="1158" spans="1:12" ht="24" x14ac:dyDescent="0.2">
      <c r="A1158" s="189" t="s">
        <v>534</v>
      </c>
      <c r="B1158" s="189"/>
      <c r="C1158" s="189" t="s">
        <v>498</v>
      </c>
      <c r="D1158" s="189" t="s">
        <v>592</v>
      </c>
      <c r="E1158" s="189" t="s">
        <v>591</v>
      </c>
      <c r="F1158" s="189" t="s">
        <v>529</v>
      </c>
      <c r="G1158" s="247">
        <v>6</v>
      </c>
      <c r="H1158" s="247">
        <v>6</v>
      </c>
      <c r="I1158" s="248">
        <f t="shared" si="120"/>
        <v>0</v>
      </c>
      <c r="J1158" s="191">
        <v>1512</v>
      </c>
      <c r="K1158" s="247">
        <v>1512</v>
      </c>
      <c r="L1158" s="287">
        <f t="shared" si="121"/>
        <v>0</v>
      </c>
    </row>
    <row r="1159" spans="1:12" s="78" customFormat="1" x14ac:dyDescent="0.2">
      <c r="A1159" s="185" t="s">
        <v>590</v>
      </c>
      <c r="B1159" s="185"/>
      <c r="C1159" s="185" t="s">
        <v>507</v>
      </c>
      <c r="D1159" s="185"/>
      <c r="E1159" s="185"/>
      <c r="F1159" s="185"/>
      <c r="G1159" s="245">
        <f t="shared" ref="G1159:H1164" si="127">G1160</f>
        <v>684</v>
      </c>
      <c r="H1159" s="245">
        <f t="shared" si="127"/>
        <v>684</v>
      </c>
      <c r="I1159" s="246">
        <f t="shared" si="120"/>
        <v>0</v>
      </c>
      <c r="J1159" s="187">
        <f t="shared" ref="J1159:K1164" si="128">J1160</f>
        <v>684</v>
      </c>
      <c r="K1159" s="245">
        <f t="shared" si="128"/>
        <v>684</v>
      </c>
      <c r="L1159" s="286">
        <f t="shared" si="121"/>
        <v>0</v>
      </c>
    </row>
    <row r="1160" spans="1:12" x14ac:dyDescent="0.2">
      <c r="A1160" s="189" t="s">
        <v>589</v>
      </c>
      <c r="B1160" s="189"/>
      <c r="C1160" s="189" t="s">
        <v>507</v>
      </c>
      <c r="D1160" s="189" t="s">
        <v>498</v>
      </c>
      <c r="E1160" s="189"/>
      <c r="F1160" s="189"/>
      <c r="G1160" s="247">
        <f t="shared" si="127"/>
        <v>684</v>
      </c>
      <c r="H1160" s="247">
        <f t="shared" si="127"/>
        <v>684</v>
      </c>
      <c r="I1160" s="248">
        <f t="shared" si="120"/>
        <v>0</v>
      </c>
      <c r="J1160" s="191">
        <f t="shared" si="128"/>
        <v>684</v>
      </c>
      <c r="K1160" s="247">
        <f t="shared" si="128"/>
        <v>684</v>
      </c>
      <c r="L1160" s="287">
        <f t="shared" si="121"/>
        <v>0</v>
      </c>
    </row>
    <row r="1161" spans="1:12" ht="36" x14ac:dyDescent="0.2">
      <c r="A1161" s="189" t="s">
        <v>588</v>
      </c>
      <c r="B1161" s="189"/>
      <c r="C1161" s="189" t="s">
        <v>507</v>
      </c>
      <c r="D1161" s="189" t="s">
        <v>498</v>
      </c>
      <c r="E1161" s="189" t="s">
        <v>587</v>
      </c>
      <c r="F1161" s="189"/>
      <c r="G1161" s="247">
        <f t="shared" si="127"/>
        <v>684</v>
      </c>
      <c r="H1161" s="247">
        <f t="shared" si="127"/>
        <v>684</v>
      </c>
      <c r="I1161" s="248">
        <f t="shared" si="120"/>
        <v>0</v>
      </c>
      <c r="J1161" s="191">
        <f t="shared" si="128"/>
        <v>684</v>
      </c>
      <c r="K1161" s="247">
        <f t="shared" si="128"/>
        <v>684</v>
      </c>
      <c r="L1161" s="287">
        <f t="shared" si="121"/>
        <v>0</v>
      </c>
    </row>
    <row r="1162" spans="1:12" x14ac:dyDescent="0.2">
      <c r="A1162" s="189" t="s">
        <v>586</v>
      </c>
      <c r="B1162" s="189"/>
      <c r="C1162" s="189" t="s">
        <v>507</v>
      </c>
      <c r="D1162" s="189" t="s">
        <v>498</v>
      </c>
      <c r="E1162" s="189" t="s">
        <v>585</v>
      </c>
      <c r="F1162" s="189"/>
      <c r="G1162" s="247">
        <f t="shared" si="127"/>
        <v>684</v>
      </c>
      <c r="H1162" s="247">
        <f t="shared" si="127"/>
        <v>684</v>
      </c>
      <c r="I1162" s="248">
        <f t="shared" ref="I1162:I1222" si="129">H1162-G1162</f>
        <v>0</v>
      </c>
      <c r="J1162" s="191">
        <f t="shared" si="128"/>
        <v>684</v>
      </c>
      <c r="K1162" s="247">
        <f t="shared" si="128"/>
        <v>684</v>
      </c>
      <c r="L1162" s="287">
        <f t="shared" ref="L1162:L1222" si="130">K1162-J1162</f>
        <v>0</v>
      </c>
    </row>
    <row r="1163" spans="1:12" ht="48" x14ac:dyDescent="0.2">
      <c r="A1163" s="189" t="s">
        <v>584</v>
      </c>
      <c r="B1163" s="189"/>
      <c r="C1163" s="189" t="s">
        <v>507</v>
      </c>
      <c r="D1163" s="189" t="s">
        <v>498</v>
      </c>
      <c r="E1163" s="189" t="s">
        <v>583</v>
      </c>
      <c r="F1163" s="189"/>
      <c r="G1163" s="247">
        <f t="shared" si="127"/>
        <v>684</v>
      </c>
      <c r="H1163" s="247">
        <f t="shared" si="127"/>
        <v>684</v>
      </c>
      <c r="I1163" s="248">
        <f t="shared" si="129"/>
        <v>0</v>
      </c>
      <c r="J1163" s="191">
        <f t="shared" si="128"/>
        <v>684</v>
      </c>
      <c r="K1163" s="247">
        <f t="shared" si="128"/>
        <v>684</v>
      </c>
      <c r="L1163" s="287">
        <f t="shared" si="130"/>
        <v>0</v>
      </c>
    </row>
    <row r="1164" spans="1:12" ht="24" x14ac:dyDescent="0.2">
      <c r="A1164" s="189" t="s">
        <v>582</v>
      </c>
      <c r="B1164" s="189"/>
      <c r="C1164" s="189" t="s">
        <v>507</v>
      </c>
      <c r="D1164" s="189" t="s">
        <v>498</v>
      </c>
      <c r="E1164" s="189" t="s">
        <v>581</v>
      </c>
      <c r="F1164" s="189"/>
      <c r="G1164" s="247">
        <f t="shared" si="127"/>
        <v>684</v>
      </c>
      <c r="H1164" s="247">
        <f t="shared" si="127"/>
        <v>684</v>
      </c>
      <c r="I1164" s="248">
        <f t="shared" si="129"/>
        <v>0</v>
      </c>
      <c r="J1164" s="191">
        <f t="shared" si="128"/>
        <v>684</v>
      </c>
      <c r="K1164" s="247">
        <f t="shared" si="128"/>
        <v>684</v>
      </c>
      <c r="L1164" s="287">
        <f t="shared" si="130"/>
        <v>0</v>
      </c>
    </row>
    <row r="1165" spans="1:12" ht="24" x14ac:dyDescent="0.2">
      <c r="A1165" s="189" t="s">
        <v>547</v>
      </c>
      <c r="B1165" s="189"/>
      <c r="C1165" s="189" t="s">
        <v>507</v>
      </c>
      <c r="D1165" s="189" t="s">
        <v>498</v>
      </c>
      <c r="E1165" s="189" t="s">
        <v>581</v>
      </c>
      <c r="F1165" s="189" t="s">
        <v>519</v>
      </c>
      <c r="G1165" s="247">
        <f>G1166+G1167</f>
        <v>684</v>
      </c>
      <c r="H1165" s="247">
        <f>H1166+H1167</f>
        <v>684</v>
      </c>
      <c r="I1165" s="248">
        <f t="shared" si="129"/>
        <v>0</v>
      </c>
      <c r="J1165" s="191">
        <f>J1166+J1167</f>
        <v>684</v>
      </c>
      <c r="K1165" s="247">
        <f>K1166+K1167</f>
        <v>684</v>
      </c>
      <c r="L1165" s="287">
        <f t="shared" si="130"/>
        <v>0</v>
      </c>
    </row>
    <row r="1166" spans="1:12" x14ac:dyDescent="0.2">
      <c r="A1166" s="189" t="s">
        <v>571</v>
      </c>
      <c r="B1166" s="189"/>
      <c r="C1166" s="189" t="s">
        <v>507</v>
      </c>
      <c r="D1166" s="189" t="s">
        <v>498</v>
      </c>
      <c r="E1166" s="189" t="s">
        <v>581</v>
      </c>
      <c r="F1166" s="189" t="s">
        <v>522</v>
      </c>
      <c r="G1166" s="247">
        <f>499.2</f>
        <v>499.2</v>
      </c>
      <c r="H1166" s="247">
        <f>499.2</f>
        <v>499.2</v>
      </c>
      <c r="I1166" s="248">
        <f t="shared" si="129"/>
        <v>0</v>
      </c>
      <c r="J1166" s="191">
        <f>499.2</f>
        <v>499.2</v>
      </c>
      <c r="K1166" s="247">
        <f>499.2</f>
        <v>499.2</v>
      </c>
      <c r="L1166" s="287">
        <f t="shared" si="130"/>
        <v>0</v>
      </c>
    </row>
    <row r="1167" spans="1:12" x14ac:dyDescent="0.2">
      <c r="A1167" s="189" t="s">
        <v>546</v>
      </c>
      <c r="B1167" s="189"/>
      <c r="C1167" s="189" t="s">
        <v>507</v>
      </c>
      <c r="D1167" s="189" t="s">
        <v>498</v>
      </c>
      <c r="E1167" s="189" t="s">
        <v>581</v>
      </c>
      <c r="F1167" s="189" t="s">
        <v>544</v>
      </c>
      <c r="G1167" s="247">
        <f>184.8</f>
        <v>184.8</v>
      </c>
      <c r="H1167" s="247">
        <f>184.8</f>
        <v>184.8</v>
      </c>
      <c r="I1167" s="248">
        <f t="shared" si="129"/>
        <v>0</v>
      </c>
      <c r="J1167" s="191">
        <f>184.8</f>
        <v>184.8</v>
      </c>
      <c r="K1167" s="247">
        <f>184.8</f>
        <v>184.8</v>
      </c>
      <c r="L1167" s="287">
        <f t="shared" si="130"/>
        <v>0</v>
      </c>
    </row>
    <row r="1168" spans="1:12" s="78" customFormat="1" x14ac:dyDescent="0.2">
      <c r="A1168" s="185" t="s">
        <v>1345</v>
      </c>
      <c r="B1168" s="185"/>
      <c r="C1168" s="185" t="s">
        <v>617</v>
      </c>
      <c r="D1168" s="185"/>
      <c r="E1168" s="185"/>
      <c r="F1168" s="185"/>
      <c r="G1168" s="245">
        <f>G1169</f>
        <v>503598.1</v>
      </c>
      <c r="H1168" s="245">
        <f>H1169</f>
        <v>503598.1</v>
      </c>
      <c r="I1168" s="246">
        <f t="shared" si="129"/>
        <v>0</v>
      </c>
      <c r="J1168" s="187">
        <f>J1169</f>
        <v>503358.2</v>
      </c>
      <c r="K1168" s="245">
        <f>K1169</f>
        <v>503358.2</v>
      </c>
      <c r="L1168" s="286">
        <f t="shared" si="130"/>
        <v>0</v>
      </c>
    </row>
    <row r="1169" spans="1:12" x14ac:dyDescent="0.2">
      <c r="A1169" s="189" t="s">
        <v>654</v>
      </c>
      <c r="B1169" s="189"/>
      <c r="C1169" s="189" t="s">
        <v>617</v>
      </c>
      <c r="D1169" s="189" t="s">
        <v>498</v>
      </c>
      <c r="E1169" s="189"/>
      <c r="F1169" s="189"/>
      <c r="G1169" s="247">
        <f>G1170+G1212</f>
        <v>503598.1</v>
      </c>
      <c r="H1169" s="247">
        <f>H1170+H1212</f>
        <v>503598.1</v>
      </c>
      <c r="I1169" s="248">
        <f t="shared" si="129"/>
        <v>0</v>
      </c>
      <c r="J1169" s="191">
        <f>J1170+J1212</f>
        <v>503358.2</v>
      </c>
      <c r="K1169" s="247">
        <f>K1170+K1212</f>
        <v>503358.2</v>
      </c>
      <c r="L1169" s="287">
        <f t="shared" si="130"/>
        <v>0</v>
      </c>
    </row>
    <row r="1170" spans="1:12" x14ac:dyDescent="0.2">
      <c r="A1170" s="189" t="s">
        <v>653</v>
      </c>
      <c r="B1170" s="189"/>
      <c r="C1170" s="189" t="s">
        <v>617</v>
      </c>
      <c r="D1170" s="189" t="s">
        <v>498</v>
      </c>
      <c r="E1170" s="189" t="s">
        <v>652</v>
      </c>
      <c r="F1170" s="189"/>
      <c r="G1170" s="247">
        <f>G1171+G1176+G1182+G1205</f>
        <v>503248.1</v>
      </c>
      <c r="H1170" s="247">
        <f>H1171+H1176+H1182+H1205</f>
        <v>503248.1</v>
      </c>
      <c r="I1170" s="248">
        <f t="shared" si="129"/>
        <v>0</v>
      </c>
      <c r="J1170" s="191">
        <f>J1171+J1176+J1182+J1205</f>
        <v>503008.2</v>
      </c>
      <c r="K1170" s="247">
        <f>K1171+K1176+K1182+K1205</f>
        <v>503008.2</v>
      </c>
      <c r="L1170" s="287">
        <f t="shared" si="130"/>
        <v>0</v>
      </c>
    </row>
    <row r="1171" spans="1:12" ht="24" x14ac:dyDescent="0.2">
      <c r="A1171" s="189" t="s">
        <v>651</v>
      </c>
      <c r="B1171" s="189"/>
      <c r="C1171" s="189" t="s">
        <v>617</v>
      </c>
      <c r="D1171" s="189" t="s">
        <v>498</v>
      </c>
      <c r="E1171" s="189" t="s">
        <v>650</v>
      </c>
      <c r="F1171" s="189"/>
      <c r="G1171" s="247">
        <v>26119.8</v>
      </c>
      <c r="H1171" s="247">
        <v>26119.8</v>
      </c>
      <c r="I1171" s="248">
        <f t="shared" si="129"/>
        <v>0</v>
      </c>
      <c r="J1171" s="191">
        <v>26119.8</v>
      </c>
      <c r="K1171" s="247">
        <v>26119.8</v>
      </c>
      <c r="L1171" s="287">
        <f t="shared" si="130"/>
        <v>0</v>
      </c>
    </row>
    <row r="1172" spans="1:12" ht="24" x14ac:dyDescent="0.2">
      <c r="A1172" s="189" t="s">
        <v>649</v>
      </c>
      <c r="B1172" s="189"/>
      <c r="C1172" s="189" t="s">
        <v>617</v>
      </c>
      <c r="D1172" s="189" t="s">
        <v>498</v>
      </c>
      <c r="E1172" s="189" t="s">
        <v>648</v>
      </c>
      <c r="F1172" s="189"/>
      <c r="G1172" s="247">
        <v>26119.8</v>
      </c>
      <c r="H1172" s="247">
        <v>26119.8</v>
      </c>
      <c r="I1172" s="248">
        <f t="shared" si="129"/>
        <v>0</v>
      </c>
      <c r="J1172" s="191">
        <v>26119.8</v>
      </c>
      <c r="K1172" s="247">
        <v>26119.8</v>
      </c>
      <c r="L1172" s="287">
        <f t="shared" si="130"/>
        <v>0</v>
      </c>
    </row>
    <row r="1173" spans="1:12" ht="24" x14ac:dyDescent="0.2">
      <c r="A1173" s="189" t="s">
        <v>647</v>
      </c>
      <c r="B1173" s="189"/>
      <c r="C1173" s="189" t="s">
        <v>617</v>
      </c>
      <c r="D1173" s="189" t="s">
        <v>498</v>
      </c>
      <c r="E1173" s="189" t="s">
        <v>646</v>
      </c>
      <c r="F1173" s="189"/>
      <c r="G1173" s="247">
        <v>26119.8</v>
      </c>
      <c r="H1173" s="247">
        <v>26119.8</v>
      </c>
      <c r="I1173" s="248">
        <f t="shared" si="129"/>
        <v>0</v>
      </c>
      <c r="J1173" s="191">
        <v>26119.8</v>
      </c>
      <c r="K1173" s="247">
        <v>26119.8</v>
      </c>
      <c r="L1173" s="287">
        <f t="shared" si="130"/>
        <v>0</v>
      </c>
    </row>
    <row r="1174" spans="1:12" ht="24" x14ac:dyDescent="0.2">
      <c r="A1174" s="189" t="s">
        <v>547</v>
      </c>
      <c r="B1174" s="189"/>
      <c r="C1174" s="189" t="s">
        <v>617</v>
      </c>
      <c r="D1174" s="189" t="s">
        <v>498</v>
      </c>
      <c r="E1174" s="189" t="s">
        <v>646</v>
      </c>
      <c r="F1174" s="189" t="s">
        <v>519</v>
      </c>
      <c r="G1174" s="247">
        <v>26119.8</v>
      </c>
      <c r="H1174" s="247">
        <v>26119.8</v>
      </c>
      <c r="I1174" s="248">
        <f t="shared" si="129"/>
        <v>0</v>
      </c>
      <c r="J1174" s="191">
        <v>26119.8</v>
      </c>
      <c r="K1174" s="247">
        <v>26119.8</v>
      </c>
      <c r="L1174" s="287">
        <f t="shared" si="130"/>
        <v>0</v>
      </c>
    </row>
    <row r="1175" spans="1:12" x14ac:dyDescent="0.2">
      <c r="A1175" s="189" t="s">
        <v>571</v>
      </c>
      <c r="B1175" s="189"/>
      <c r="C1175" s="189" t="s">
        <v>617</v>
      </c>
      <c r="D1175" s="189" t="s">
        <v>498</v>
      </c>
      <c r="E1175" s="189" t="s">
        <v>646</v>
      </c>
      <c r="F1175" s="189" t="s">
        <v>522</v>
      </c>
      <c r="G1175" s="247">
        <v>26119.8</v>
      </c>
      <c r="H1175" s="247">
        <v>26119.8</v>
      </c>
      <c r="I1175" s="248">
        <f t="shared" si="129"/>
        <v>0</v>
      </c>
      <c r="J1175" s="191">
        <v>26119.8</v>
      </c>
      <c r="K1175" s="247">
        <v>26119.8</v>
      </c>
      <c r="L1175" s="287">
        <f t="shared" si="130"/>
        <v>0</v>
      </c>
    </row>
    <row r="1176" spans="1:12" x14ac:dyDescent="0.2">
      <c r="A1176" s="189" t="s">
        <v>645</v>
      </c>
      <c r="B1176" s="189"/>
      <c r="C1176" s="189" t="s">
        <v>617</v>
      </c>
      <c r="D1176" s="189" t="s">
        <v>498</v>
      </c>
      <c r="E1176" s="189" t="s">
        <v>644</v>
      </c>
      <c r="F1176" s="189"/>
      <c r="G1176" s="247">
        <f t="shared" ref="G1176:H1178" si="131">G1177</f>
        <v>86947</v>
      </c>
      <c r="H1176" s="247">
        <f t="shared" si="131"/>
        <v>86947</v>
      </c>
      <c r="I1176" s="248">
        <f t="shared" si="129"/>
        <v>0</v>
      </c>
      <c r="J1176" s="191">
        <f t="shared" ref="J1176:K1178" si="132">J1177</f>
        <v>86947</v>
      </c>
      <c r="K1176" s="247">
        <f t="shared" si="132"/>
        <v>86947</v>
      </c>
      <c r="L1176" s="287">
        <f t="shared" si="130"/>
        <v>0</v>
      </c>
    </row>
    <row r="1177" spans="1:12" ht="24" x14ac:dyDescent="0.2">
      <c r="A1177" s="189" t="s">
        <v>643</v>
      </c>
      <c r="B1177" s="189"/>
      <c r="C1177" s="189" t="s">
        <v>617</v>
      </c>
      <c r="D1177" s="189" t="s">
        <v>498</v>
      </c>
      <c r="E1177" s="189" t="s">
        <v>642</v>
      </c>
      <c r="F1177" s="189"/>
      <c r="G1177" s="247">
        <f t="shared" si="131"/>
        <v>86947</v>
      </c>
      <c r="H1177" s="247">
        <f t="shared" si="131"/>
        <v>86947</v>
      </c>
      <c r="I1177" s="248">
        <f t="shared" si="129"/>
        <v>0</v>
      </c>
      <c r="J1177" s="191">
        <f t="shared" si="132"/>
        <v>86947</v>
      </c>
      <c r="K1177" s="247">
        <f t="shared" si="132"/>
        <v>86947</v>
      </c>
      <c r="L1177" s="287">
        <f t="shared" si="130"/>
        <v>0</v>
      </c>
    </row>
    <row r="1178" spans="1:12" ht="24" x14ac:dyDescent="0.2">
      <c r="A1178" s="189" t="s">
        <v>641</v>
      </c>
      <c r="B1178" s="189"/>
      <c r="C1178" s="189" t="s">
        <v>617</v>
      </c>
      <c r="D1178" s="189" t="s">
        <v>498</v>
      </c>
      <c r="E1178" s="189" t="s">
        <v>640</v>
      </c>
      <c r="F1178" s="189"/>
      <c r="G1178" s="247">
        <f t="shared" si="131"/>
        <v>86947</v>
      </c>
      <c r="H1178" s="247">
        <f t="shared" si="131"/>
        <v>86947</v>
      </c>
      <c r="I1178" s="248">
        <f t="shared" si="129"/>
        <v>0</v>
      </c>
      <c r="J1178" s="191">
        <f t="shared" si="132"/>
        <v>86947</v>
      </c>
      <c r="K1178" s="247">
        <f t="shared" si="132"/>
        <v>86947</v>
      </c>
      <c r="L1178" s="287">
        <f t="shared" si="130"/>
        <v>0</v>
      </c>
    </row>
    <row r="1179" spans="1:12" ht="24" x14ac:dyDescent="0.2">
      <c r="A1179" s="189" t="s">
        <v>547</v>
      </c>
      <c r="B1179" s="189"/>
      <c r="C1179" s="189" t="s">
        <v>617</v>
      </c>
      <c r="D1179" s="189" t="s">
        <v>498</v>
      </c>
      <c r="E1179" s="189" t="s">
        <v>640</v>
      </c>
      <c r="F1179" s="189" t="s">
        <v>519</v>
      </c>
      <c r="G1179" s="247">
        <f>G1180+G1181</f>
        <v>86947</v>
      </c>
      <c r="H1179" s="247">
        <f>H1180+H1181</f>
        <v>86947</v>
      </c>
      <c r="I1179" s="248">
        <f t="shared" si="129"/>
        <v>0</v>
      </c>
      <c r="J1179" s="191">
        <f>J1180+J1181</f>
        <v>86947</v>
      </c>
      <c r="K1179" s="247">
        <f>K1180+K1181</f>
        <v>86947</v>
      </c>
      <c r="L1179" s="287">
        <f t="shared" si="130"/>
        <v>0</v>
      </c>
    </row>
    <row r="1180" spans="1:12" x14ac:dyDescent="0.2">
      <c r="A1180" s="189" t="s">
        <v>571</v>
      </c>
      <c r="B1180" s="189"/>
      <c r="C1180" s="189" t="s">
        <v>617</v>
      </c>
      <c r="D1180" s="189" t="s">
        <v>498</v>
      </c>
      <c r="E1180" s="189" t="s">
        <v>640</v>
      </c>
      <c r="F1180" s="189" t="s">
        <v>522</v>
      </c>
      <c r="G1180" s="247">
        <f>13711.4-12537</f>
        <v>1174.3999999999996</v>
      </c>
      <c r="H1180" s="247">
        <f>13711.4-12537</f>
        <v>1174.3999999999996</v>
      </c>
      <c r="I1180" s="248">
        <f t="shared" si="129"/>
        <v>0</v>
      </c>
      <c r="J1180" s="191">
        <f>13711.4-12537</f>
        <v>1174.3999999999996</v>
      </c>
      <c r="K1180" s="247">
        <f>13711.4-12537</f>
        <v>1174.3999999999996</v>
      </c>
      <c r="L1180" s="287">
        <f t="shared" si="130"/>
        <v>0</v>
      </c>
    </row>
    <row r="1181" spans="1:12" x14ac:dyDescent="0.2">
      <c r="A1181" s="189" t="s">
        <v>546</v>
      </c>
      <c r="B1181" s="189"/>
      <c r="C1181" s="189" t="s">
        <v>617</v>
      </c>
      <c r="D1181" s="189" t="s">
        <v>498</v>
      </c>
      <c r="E1181" s="189" t="s">
        <v>640</v>
      </c>
      <c r="F1181" s="189" t="s">
        <v>544</v>
      </c>
      <c r="G1181" s="247">
        <f>73235.6+12537</f>
        <v>85772.6</v>
      </c>
      <c r="H1181" s="247">
        <f>73235.6+12537</f>
        <v>85772.6</v>
      </c>
      <c r="I1181" s="248">
        <f t="shared" si="129"/>
        <v>0</v>
      </c>
      <c r="J1181" s="191">
        <f>73235.6+12537</f>
        <v>85772.6</v>
      </c>
      <c r="K1181" s="247">
        <f>73235.6+12537</f>
        <v>85772.6</v>
      </c>
      <c r="L1181" s="287">
        <f t="shared" si="130"/>
        <v>0</v>
      </c>
    </row>
    <row r="1182" spans="1:12" ht="24" x14ac:dyDescent="0.2">
      <c r="A1182" s="189" t="s">
        <v>639</v>
      </c>
      <c r="B1182" s="189"/>
      <c r="C1182" s="189" t="s">
        <v>617</v>
      </c>
      <c r="D1182" s="189" t="s">
        <v>498</v>
      </c>
      <c r="E1182" s="189" t="s">
        <v>638</v>
      </c>
      <c r="F1182" s="189"/>
      <c r="G1182" s="247">
        <f>G1183+G1194+G1200</f>
        <v>385871.3</v>
      </c>
      <c r="H1182" s="247">
        <f>H1183+H1194+H1200</f>
        <v>385871.3</v>
      </c>
      <c r="I1182" s="248">
        <f t="shared" si="129"/>
        <v>0</v>
      </c>
      <c r="J1182" s="191">
        <f>J1183+J1194+J1200</f>
        <v>385631.4</v>
      </c>
      <c r="K1182" s="247">
        <f>K1183+K1194+K1200</f>
        <v>385631.4</v>
      </c>
      <c r="L1182" s="287">
        <f t="shared" si="130"/>
        <v>0</v>
      </c>
    </row>
    <row r="1183" spans="1:12" ht="24" x14ac:dyDescent="0.2">
      <c r="A1183" s="189" t="s">
        <v>637</v>
      </c>
      <c r="B1183" s="189"/>
      <c r="C1183" s="189" t="s">
        <v>617</v>
      </c>
      <c r="D1183" s="189" t="s">
        <v>498</v>
      </c>
      <c r="E1183" s="189" t="s">
        <v>636</v>
      </c>
      <c r="F1183" s="189"/>
      <c r="G1183" s="247">
        <f>G1184+G1188+G1191</f>
        <v>131047.3</v>
      </c>
      <c r="H1183" s="247">
        <f>H1184+H1188+H1191</f>
        <v>131047.3</v>
      </c>
      <c r="I1183" s="248">
        <f t="shared" si="129"/>
        <v>0</v>
      </c>
      <c r="J1183" s="191">
        <f>J1184+J1188+J1191</f>
        <v>130807.4</v>
      </c>
      <c r="K1183" s="247">
        <f>K1184+K1188+K1191</f>
        <v>130807.4</v>
      </c>
      <c r="L1183" s="287">
        <f t="shared" si="130"/>
        <v>0</v>
      </c>
    </row>
    <row r="1184" spans="1:12" x14ac:dyDescent="0.2">
      <c r="A1184" s="189" t="s">
        <v>622</v>
      </c>
      <c r="B1184" s="189"/>
      <c r="C1184" s="189" t="s">
        <v>617</v>
      </c>
      <c r="D1184" s="189" t="s">
        <v>498</v>
      </c>
      <c r="E1184" s="189" t="s">
        <v>635</v>
      </c>
      <c r="F1184" s="189"/>
      <c r="G1184" s="247">
        <f>G1185</f>
        <v>14850</v>
      </c>
      <c r="H1184" s="247">
        <f>H1185</f>
        <v>14850</v>
      </c>
      <c r="I1184" s="248">
        <f t="shared" si="129"/>
        <v>0</v>
      </c>
      <c r="J1184" s="191">
        <f>J1185</f>
        <v>14850</v>
      </c>
      <c r="K1184" s="247">
        <f>K1185</f>
        <v>14850</v>
      </c>
      <c r="L1184" s="287">
        <f t="shared" si="130"/>
        <v>0</v>
      </c>
    </row>
    <row r="1185" spans="1:12" ht="24" x14ac:dyDescent="0.2">
      <c r="A1185" s="189" t="s">
        <v>547</v>
      </c>
      <c r="B1185" s="189"/>
      <c r="C1185" s="189" t="s">
        <v>617</v>
      </c>
      <c r="D1185" s="189" t="s">
        <v>498</v>
      </c>
      <c r="E1185" s="189" t="s">
        <v>635</v>
      </c>
      <c r="F1185" s="189" t="s">
        <v>519</v>
      </c>
      <c r="G1185" s="247">
        <f>G1186+G1187</f>
        <v>14850</v>
      </c>
      <c r="H1185" s="247">
        <f>H1186+H1187</f>
        <v>14850</v>
      </c>
      <c r="I1185" s="248">
        <f t="shared" si="129"/>
        <v>0</v>
      </c>
      <c r="J1185" s="191">
        <f>J1186+J1187</f>
        <v>14850</v>
      </c>
      <c r="K1185" s="247">
        <f>K1186+K1187</f>
        <v>14850</v>
      </c>
      <c r="L1185" s="287">
        <f t="shared" si="130"/>
        <v>0</v>
      </c>
    </row>
    <row r="1186" spans="1:12" x14ac:dyDescent="0.2">
      <c r="A1186" s="189" t="s">
        <v>571</v>
      </c>
      <c r="B1186" s="189"/>
      <c r="C1186" s="189" t="s">
        <v>617</v>
      </c>
      <c r="D1186" s="189" t="s">
        <v>498</v>
      </c>
      <c r="E1186" s="189" t="s">
        <v>635</v>
      </c>
      <c r="F1186" s="189" t="s">
        <v>522</v>
      </c>
      <c r="G1186" s="247">
        <f>11250+400-50</f>
        <v>11600</v>
      </c>
      <c r="H1186" s="247">
        <f>11250+400-50</f>
        <v>11600</v>
      </c>
      <c r="I1186" s="248">
        <f t="shared" si="129"/>
        <v>0</v>
      </c>
      <c r="J1186" s="191">
        <f>11250+400-50</f>
        <v>11600</v>
      </c>
      <c r="K1186" s="247">
        <f>11250+400-50</f>
        <v>11600</v>
      </c>
      <c r="L1186" s="287">
        <f t="shared" si="130"/>
        <v>0</v>
      </c>
    </row>
    <row r="1187" spans="1:12" x14ac:dyDescent="0.2">
      <c r="A1187" s="189" t="s">
        <v>546</v>
      </c>
      <c r="B1187" s="189"/>
      <c r="C1187" s="189" t="s">
        <v>617</v>
      </c>
      <c r="D1187" s="189" t="s">
        <v>498</v>
      </c>
      <c r="E1187" s="189" t="s">
        <v>635</v>
      </c>
      <c r="F1187" s="189" t="s">
        <v>544</v>
      </c>
      <c r="G1187" s="247">
        <f>3200+50</f>
        <v>3250</v>
      </c>
      <c r="H1187" s="247">
        <f>3200+50</f>
        <v>3250</v>
      </c>
      <c r="I1187" s="248">
        <f t="shared" si="129"/>
        <v>0</v>
      </c>
      <c r="J1187" s="191">
        <f>3200+50</f>
        <v>3250</v>
      </c>
      <c r="K1187" s="247">
        <f>3200+50</f>
        <v>3250</v>
      </c>
      <c r="L1187" s="287">
        <f t="shared" si="130"/>
        <v>0</v>
      </c>
    </row>
    <row r="1188" spans="1:12" ht="24" x14ac:dyDescent="0.2">
      <c r="A1188" s="189" t="s">
        <v>634</v>
      </c>
      <c r="B1188" s="189"/>
      <c r="C1188" s="189" t="s">
        <v>617</v>
      </c>
      <c r="D1188" s="189" t="s">
        <v>498</v>
      </c>
      <c r="E1188" s="189" t="s">
        <v>633</v>
      </c>
      <c r="F1188" s="189"/>
      <c r="G1188" s="247">
        <v>109479.5</v>
      </c>
      <c r="H1188" s="247">
        <v>109479.5</v>
      </c>
      <c r="I1188" s="248">
        <f t="shared" si="129"/>
        <v>0</v>
      </c>
      <c r="J1188" s="191">
        <v>109479.5</v>
      </c>
      <c r="K1188" s="247">
        <v>109479.5</v>
      </c>
      <c r="L1188" s="287">
        <f t="shared" si="130"/>
        <v>0</v>
      </c>
    </row>
    <row r="1189" spans="1:12" ht="24" x14ac:dyDescent="0.2">
      <c r="A1189" s="189" t="s">
        <v>547</v>
      </c>
      <c r="B1189" s="189"/>
      <c r="C1189" s="189" t="s">
        <v>617</v>
      </c>
      <c r="D1189" s="189" t="s">
        <v>498</v>
      </c>
      <c r="E1189" s="189" t="s">
        <v>633</v>
      </c>
      <c r="F1189" s="189" t="s">
        <v>519</v>
      </c>
      <c r="G1189" s="247">
        <v>109479.5</v>
      </c>
      <c r="H1189" s="247">
        <v>109479.5</v>
      </c>
      <c r="I1189" s="248">
        <f t="shared" si="129"/>
        <v>0</v>
      </c>
      <c r="J1189" s="191">
        <v>109479.5</v>
      </c>
      <c r="K1189" s="247">
        <v>109479.5</v>
      </c>
      <c r="L1189" s="287">
        <f t="shared" si="130"/>
        <v>0</v>
      </c>
    </row>
    <row r="1190" spans="1:12" x14ac:dyDescent="0.2">
      <c r="A1190" s="189" t="s">
        <v>571</v>
      </c>
      <c r="B1190" s="189"/>
      <c r="C1190" s="189" t="s">
        <v>617</v>
      </c>
      <c r="D1190" s="189" t="s">
        <v>498</v>
      </c>
      <c r="E1190" s="189" t="s">
        <v>633</v>
      </c>
      <c r="F1190" s="189" t="s">
        <v>522</v>
      </c>
      <c r="G1190" s="247">
        <v>109479.5</v>
      </c>
      <c r="H1190" s="247">
        <v>109479.5</v>
      </c>
      <c r="I1190" s="248">
        <f t="shared" si="129"/>
        <v>0</v>
      </c>
      <c r="J1190" s="191">
        <v>109479.5</v>
      </c>
      <c r="K1190" s="247">
        <v>109479.5</v>
      </c>
      <c r="L1190" s="287">
        <f t="shared" si="130"/>
        <v>0</v>
      </c>
    </row>
    <row r="1191" spans="1:12" ht="36" x14ac:dyDescent="0.2">
      <c r="A1191" s="189" t="s">
        <v>632</v>
      </c>
      <c r="B1191" s="189"/>
      <c r="C1191" s="189" t="s">
        <v>617</v>
      </c>
      <c r="D1191" s="189" t="s">
        <v>498</v>
      </c>
      <c r="E1191" s="189" t="s">
        <v>631</v>
      </c>
      <c r="F1191" s="189"/>
      <c r="G1191" s="247">
        <f>G1192</f>
        <v>6717.8</v>
      </c>
      <c r="H1191" s="247">
        <f>H1192</f>
        <v>6717.8</v>
      </c>
      <c r="I1191" s="248">
        <f t="shared" si="129"/>
        <v>0</v>
      </c>
      <c r="J1191" s="191">
        <f>J1192</f>
        <v>6477.9</v>
      </c>
      <c r="K1191" s="247">
        <f>K1192</f>
        <v>6477.9</v>
      </c>
      <c r="L1191" s="287">
        <f t="shared" si="130"/>
        <v>0</v>
      </c>
    </row>
    <row r="1192" spans="1:12" ht="24" x14ac:dyDescent="0.2">
      <c r="A1192" s="189" t="s">
        <v>547</v>
      </c>
      <c r="B1192" s="189"/>
      <c r="C1192" s="189" t="s">
        <v>617</v>
      </c>
      <c r="D1192" s="189" t="s">
        <v>498</v>
      </c>
      <c r="E1192" s="189" t="s">
        <v>631</v>
      </c>
      <c r="F1192" s="189" t="s">
        <v>519</v>
      </c>
      <c r="G1192" s="247">
        <f>G1193</f>
        <v>6717.8</v>
      </c>
      <c r="H1192" s="247">
        <f>H1193</f>
        <v>6717.8</v>
      </c>
      <c r="I1192" s="248">
        <f t="shared" si="129"/>
        <v>0</v>
      </c>
      <c r="J1192" s="191">
        <f>J1193</f>
        <v>6477.9</v>
      </c>
      <c r="K1192" s="247">
        <f>K1193</f>
        <v>6477.9</v>
      </c>
      <c r="L1192" s="287">
        <f t="shared" si="130"/>
        <v>0</v>
      </c>
    </row>
    <row r="1193" spans="1:12" x14ac:dyDescent="0.2">
      <c r="A1193" s="189" t="s">
        <v>571</v>
      </c>
      <c r="B1193" s="189"/>
      <c r="C1193" s="189" t="s">
        <v>617</v>
      </c>
      <c r="D1193" s="189" t="s">
        <v>498</v>
      </c>
      <c r="E1193" s="189" t="s">
        <v>631</v>
      </c>
      <c r="F1193" s="189" t="s">
        <v>522</v>
      </c>
      <c r="G1193" s="247">
        <f>4199-0.4+2519.2</f>
        <v>6717.8</v>
      </c>
      <c r="H1193" s="247">
        <f>4199-0.4+2519.2</f>
        <v>6717.8</v>
      </c>
      <c r="I1193" s="248">
        <f t="shared" si="129"/>
        <v>0</v>
      </c>
      <c r="J1193" s="191">
        <f>4048.7+2429.2</f>
        <v>6477.9</v>
      </c>
      <c r="K1193" s="247">
        <f>4048.7+2429.2</f>
        <v>6477.9</v>
      </c>
      <c r="L1193" s="287">
        <f t="shared" si="130"/>
        <v>0</v>
      </c>
    </row>
    <row r="1194" spans="1:12" ht="24" x14ac:dyDescent="0.2">
      <c r="A1194" s="189" t="s">
        <v>630</v>
      </c>
      <c r="B1194" s="189"/>
      <c r="C1194" s="189" t="s">
        <v>617</v>
      </c>
      <c r="D1194" s="189" t="s">
        <v>498</v>
      </c>
      <c r="E1194" s="189" t="s">
        <v>629</v>
      </c>
      <c r="F1194" s="189"/>
      <c r="G1194" s="247">
        <v>290</v>
      </c>
      <c r="H1194" s="247">
        <v>290</v>
      </c>
      <c r="I1194" s="248">
        <f t="shared" si="129"/>
        <v>0</v>
      </c>
      <c r="J1194" s="191">
        <v>290</v>
      </c>
      <c r="K1194" s="247">
        <v>290</v>
      </c>
      <c r="L1194" s="287">
        <f t="shared" si="130"/>
        <v>0</v>
      </c>
    </row>
    <row r="1195" spans="1:12" x14ac:dyDescent="0.2">
      <c r="A1195" s="189" t="s">
        <v>628</v>
      </c>
      <c r="B1195" s="189"/>
      <c r="C1195" s="189" t="s">
        <v>617</v>
      </c>
      <c r="D1195" s="189" t="s">
        <v>498</v>
      </c>
      <c r="E1195" s="189" t="s">
        <v>627</v>
      </c>
      <c r="F1195" s="189"/>
      <c r="G1195" s="247">
        <v>290</v>
      </c>
      <c r="H1195" s="247">
        <v>290</v>
      </c>
      <c r="I1195" s="248">
        <f t="shared" si="129"/>
        <v>0</v>
      </c>
      <c r="J1195" s="191">
        <v>290</v>
      </c>
      <c r="K1195" s="247">
        <v>290</v>
      </c>
      <c r="L1195" s="287">
        <f t="shared" si="130"/>
        <v>0</v>
      </c>
    </row>
    <row r="1196" spans="1:12" ht="24" x14ac:dyDescent="0.2">
      <c r="A1196" s="189" t="s">
        <v>1347</v>
      </c>
      <c r="B1196" s="189"/>
      <c r="C1196" s="189" t="s">
        <v>617</v>
      </c>
      <c r="D1196" s="189" t="s">
        <v>498</v>
      </c>
      <c r="E1196" s="189" t="s">
        <v>627</v>
      </c>
      <c r="F1196" s="189" t="s">
        <v>535</v>
      </c>
      <c r="G1196" s="247">
        <v>25</v>
      </c>
      <c r="H1196" s="247">
        <v>25</v>
      </c>
      <c r="I1196" s="248">
        <f t="shared" si="129"/>
        <v>0</v>
      </c>
      <c r="J1196" s="191">
        <v>25</v>
      </c>
      <c r="K1196" s="247">
        <v>25</v>
      </c>
      <c r="L1196" s="287">
        <f t="shared" si="130"/>
        <v>0</v>
      </c>
    </row>
    <row r="1197" spans="1:12" ht="24" x14ac:dyDescent="0.2">
      <c r="A1197" s="189" t="s">
        <v>534</v>
      </c>
      <c r="B1197" s="189"/>
      <c r="C1197" s="189" t="s">
        <v>617</v>
      </c>
      <c r="D1197" s="189" t="s">
        <v>498</v>
      </c>
      <c r="E1197" s="189" t="s">
        <v>627</v>
      </c>
      <c r="F1197" s="189" t="s">
        <v>529</v>
      </c>
      <c r="G1197" s="247">
        <v>25</v>
      </c>
      <c r="H1197" s="247">
        <v>25</v>
      </c>
      <c r="I1197" s="248">
        <f t="shared" si="129"/>
        <v>0</v>
      </c>
      <c r="J1197" s="191">
        <v>25</v>
      </c>
      <c r="K1197" s="247">
        <v>25</v>
      </c>
      <c r="L1197" s="287">
        <f t="shared" si="130"/>
        <v>0</v>
      </c>
    </row>
    <row r="1198" spans="1:12" x14ac:dyDescent="0.2">
      <c r="A1198" s="189" t="s">
        <v>553</v>
      </c>
      <c r="B1198" s="189"/>
      <c r="C1198" s="189" t="s">
        <v>617</v>
      </c>
      <c r="D1198" s="189" t="s">
        <v>498</v>
      </c>
      <c r="E1198" s="189" t="s">
        <v>627</v>
      </c>
      <c r="F1198" s="189" t="s">
        <v>552</v>
      </c>
      <c r="G1198" s="247">
        <v>265</v>
      </c>
      <c r="H1198" s="247">
        <v>265</v>
      </c>
      <c r="I1198" s="248">
        <f t="shared" si="129"/>
        <v>0</v>
      </c>
      <c r="J1198" s="191">
        <v>265</v>
      </c>
      <c r="K1198" s="247">
        <v>265</v>
      </c>
      <c r="L1198" s="287">
        <f t="shared" si="130"/>
        <v>0</v>
      </c>
    </row>
    <row r="1199" spans="1:12" x14ac:dyDescent="0.2">
      <c r="A1199" s="189" t="s">
        <v>621</v>
      </c>
      <c r="B1199" s="189"/>
      <c r="C1199" s="189" t="s">
        <v>617</v>
      </c>
      <c r="D1199" s="189" t="s">
        <v>498</v>
      </c>
      <c r="E1199" s="189" t="s">
        <v>627</v>
      </c>
      <c r="F1199" s="189" t="s">
        <v>619</v>
      </c>
      <c r="G1199" s="247">
        <v>265</v>
      </c>
      <c r="H1199" s="247">
        <v>265</v>
      </c>
      <c r="I1199" s="248">
        <f t="shared" si="129"/>
        <v>0</v>
      </c>
      <c r="J1199" s="191">
        <v>265</v>
      </c>
      <c r="K1199" s="247">
        <v>265</v>
      </c>
      <c r="L1199" s="287">
        <f t="shared" si="130"/>
        <v>0</v>
      </c>
    </row>
    <row r="1200" spans="1:12" ht="24" x14ac:dyDescent="0.2">
      <c r="A1200" s="189" t="s">
        <v>1357</v>
      </c>
      <c r="B1200" s="189"/>
      <c r="C1200" s="189" t="s">
        <v>617</v>
      </c>
      <c r="D1200" s="189" t="s">
        <v>498</v>
      </c>
      <c r="E1200" s="189" t="s">
        <v>1358</v>
      </c>
      <c r="F1200" s="189"/>
      <c r="G1200" s="247">
        <v>254534</v>
      </c>
      <c r="H1200" s="247">
        <v>254534</v>
      </c>
      <c r="I1200" s="248">
        <f t="shared" si="129"/>
        <v>0</v>
      </c>
      <c r="J1200" s="191">
        <v>254534</v>
      </c>
      <c r="K1200" s="247">
        <v>254534</v>
      </c>
      <c r="L1200" s="287">
        <f t="shared" si="130"/>
        <v>0</v>
      </c>
    </row>
    <row r="1201" spans="1:12" ht="24" x14ac:dyDescent="0.2">
      <c r="A1201" s="189" t="s">
        <v>625</v>
      </c>
      <c r="B1201" s="189"/>
      <c r="C1201" s="189" t="s">
        <v>617</v>
      </c>
      <c r="D1201" s="189" t="s">
        <v>498</v>
      </c>
      <c r="E1201" s="189" t="s">
        <v>1359</v>
      </c>
      <c r="F1201" s="189"/>
      <c r="G1201" s="247">
        <v>254534</v>
      </c>
      <c r="H1201" s="247">
        <v>254534</v>
      </c>
      <c r="I1201" s="248">
        <f t="shared" si="129"/>
        <v>0</v>
      </c>
      <c r="J1201" s="191">
        <v>254534</v>
      </c>
      <c r="K1201" s="247">
        <v>254534</v>
      </c>
      <c r="L1201" s="287">
        <f t="shared" si="130"/>
        <v>0</v>
      </c>
    </row>
    <row r="1202" spans="1:12" ht="24" x14ac:dyDescent="0.2">
      <c r="A1202" s="189" t="s">
        <v>547</v>
      </c>
      <c r="B1202" s="189"/>
      <c r="C1202" s="189" t="s">
        <v>617</v>
      </c>
      <c r="D1202" s="189" t="s">
        <v>498</v>
      </c>
      <c r="E1202" s="189" t="s">
        <v>1359</v>
      </c>
      <c r="F1202" s="189" t="s">
        <v>519</v>
      </c>
      <c r="G1202" s="247">
        <v>254534</v>
      </c>
      <c r="H1202" s="247">
        <v>254534</v>
      </c>
      <c r="I1202" s="248">
        <f t="shared" si="129"/>
        <v>0</v>
      </c>
      <c r="J1202" s="191">
        <v>254534</v>
      </c>
      <c r="K1202" s="247">
        <v>254534</v>
      </c>
      <c r="L1202" s="287">
        <f t="shared" si="130"/>
        <v>0</v>
      </c>
    </row>
    <row r="1203" spans="1:12" x14ac:dyDescent="0.2">
      <c r="A1203" s="189" t="s">
        <v>571</v>
      </c>
      <c r="B1203" s="189"/>
      <c r="C1203" s="189" t="s">
        <v>617</v>
      </c>
      <c r="D1203" s="189" t="s">
        <v>498</v>
      </c>
      <c r="E1203" s="189" t="s">
        <v>1359</v>
      </c>
      <c r="F1203" s="189" t="s">
        <v>522</v>
      </c>
      <c r="G1203" s="247">
        <v>178063</v>
      </c>
      <c r="H1203" s="247">
        <v>178063</v>
      </c>
      <c r="I1203" s="248">
        <f t="shared" si="129"/>
        <v>0</v>
      </c>
      <c r="J1203" s="191">
        <v>178063</v>
      </c>
      <c r="K1203" s="247">
        <v>178063</v>
      </c>
      <c r="L1203" s="287">
        <f t="shared" si="130"/>
        <v>0</v>
      </c>
    </row>
    <row r="1204" spans="1:12" x14ac:dyDescent="0.2">
      <c r="A1204" s="189" t="s">
        <v>546</v>
      </c>
      <c r="B1204" s="189"/>
      <c r="C1204" s="189" t="s">
        <v>617</v>
      </c>
      <c r="D1204" s="189" t="s">
        <v>498</v>
      </c>
      <c r="E1204" s="189" t="s">
        <v>1359</v>
      </c>
      <c r="F1204" s="189" t="s">
        <v>544</v>
      </c>
      <c r="G1204" s="247">
        <v>76471</v>
      </c>
      <c r="H1204" s="247">
        <v>76471</v>
      </c>
      <c r="I1204" s="248">
        <f t="shared" si="129"/>
        <v>0</v>
      </c>
      <c r="J1204" s="191">
        <v>76471</v>
      </c>
      <c r="K1204" s="247">
        <v>76471</v>
      </c>
      <c r="L1204" s="287">
        <f t="shared" si="130"/>
        <v>0</v>
      </c>
    </row>
    <row r="1205" spans="1:12" x14ac:dyDescent="0.2">
      <c r="A1205" s="189" t="s">
        <v>602</v>
      </c>
      <c r="B1205" s="189"/>
      <c r="C1205" s="189" t="s">
        <v>617</v>
      </c>
      <c r="D1205" s="189" t="s">
        <v>498</v>
      </c>
      <c r="E1205" s="189" t="s">
        <v>624</v>
      </c>
      <c r="F1205" s="189"/>
      <c r="G1205" s="247">
        <f>G1206</f>
        <v>4310</v>
      </c>
      <c r="H1205" s="247">
        <f>H1206</f>
        <v>4310</v>
      </c>
      <c r="I1205" s="248">
        <f t="shared" si="129"/>
        <v>0</v>
      </c>
      <c r="J1205" s="191">
        <f>J1206</f>
        <v>4310</v>
      </c>
      <c r="K1205" s="247">
        <f>K1206</f>
        <v>4310</v>
      </c>
      <c r="L1205" s="287">
        <f t="shared" si="130"/>
        <v>0</v>
      </c>
    </row>
    <row r="1206" spans="1:12" ht="24" x14ac:dyDescent="0.2">
      <c r="A1206" s="189" t="s">
        <v>600</v>
      </c>
      <c r="B1206" s="189"/>
      <c r="C1206" s="189" t="s">
        <v>617</v>
      </c>
      <c r="D1206" s="189" t="s">
        <v>498</v>
      </c>
      <c r="E1206" s="189" t="s">
        <v>623</v>
      </c>
      <c r="F1206" s="189"/>
      <c r="G1206" s="247">
        <f>G1207</f>
        <v>4310</v>
      </c>
      <c r="H1206" s="247">
        <f>H1207</f>
        <v>4310</v>
      </c>
      <c r="I1206" s="248">
        <f t="shared" si="129"/>
        <v>0</v>
      </c>
      <c r="J1206" s="191">
        <f>J1207</f>
        <v>4310</v>
      </c>
      <c r="K1206" s="247">
        <f>K1207</f>
        <v>4310</v>
      </c>
      <c r="L1206" s="287">
        <f t="shared" si="130"/>
        <v>0</v>
      </c>
    </row>
    <row r="1207" spans="1:12" x14ac:dyDescent="0.2">
      <c r="A1207" s="189" t="s">
        <v>622</v>
      </c>
      <c r="B1207" s="189"/>
      <c r="C1207" s="189" t="s">
        <v>617</v>
      </c>
      <c r="D1207" s="189" t="s">
        <v>498</v>
      </c>
      <c r="E1207" s="189" t="s">
        <v>620</v>
      </c>
      <c r="F1207" s="189"/>
      <c r="G1207" s="247">
        <f>G1208+G1210</f>
        <v>4310</v>
      </c>
      <c r="H1207" s="247">
        <f>H1208+H1210</f>
        <v>4310</v>
      </c>
      <c r="I1207" s="248">
        <f t="shared" si="129"/>
        <v>0</v>
      </c>
      <c r="J1207" s="191">
        <f>J1208+J1210</f>
        <v>4310</v>
      </c>
      <c r="K1207" s="247">
        <f>K1208+K1210</f>
        <v>4310</v>
      </c>
      <c r="L1207" s="287">
        <f t="shared" si="130"/>
        <v>0</v>
      </c>
    </row>
    <row r="1208" spans="1:12" ht="24" x14ac:dyDescent="0.2">
      <c r="A1208" s="189" t="s">
        <v>1347</v>
      </c>
      <c r="B1208" s="189"/>
      <c r="C1208" s="189" t="s">
        <v>617</v>
      </c>
      <c r="D1208" s="189" t="s">
        <v>498</v>
      </c>
      <c r="E1208" s="189" t="s">
        <v>620</v>
      </c>
      <c r="F1208" s="189" t="s">
        <v>535</v>
      </c>
      <c r="G1208" s="247">
        <f>G1209</f>
        <v>1950</v>
      </c>
      <c r="H1208" s="247">
        <f>H1209</f>
        <v>1950</v>
      </c>
      <c r="I1208" s="248">
        <f t="shared" si="129"/>
        <v>0</v>
      </c>
      <c r="J1208" s="191">
        <f>J1209</f>
        <v>1950</v>
      </c>
      <c r="K1208" s="247">
        <f>K1209</f>
        <v>1950</v>
      </c>
      <c r="L1208" s="287">
        <f t="shared" si="130"/>
        <v>0</v>
      </c>
    </row>
    <row r="1209" spans="1:12" ht="24" x14ac:dyDescent="0.2">
      <c r="A1209" s="189" t="s">
        <v>534</v>
      </c>
      <c r="B1209" s="189"/>
      <c r="C1209" s="189" t="s">
        <v>617</v>
      </c>
      <c r="D1209" s="189" t="s">
        <v>498</v>
      </c>
      <c r="E1209" s="189" t="s">
        <v>620</v>
      </c>
      <c r="F1209" s="189" t="s">
        <v>529</v>
      </c>
      <c r="G1209" s="247">
        <f>2350-400</f>
        <v>1950</v>
      </c>
      <c r="H1209" s="247">
        <f>2350-400</f>
        <v>1950</v>
      </c>
      <c r="I1209" s="248">
        <f t="shared" si="129"/>
        <v>0</v>
      </c>
      <c r="J1209" s="191">
        <f>2350-400</f>
        <v>1950</v>
      </c>
      <c r="K1209" s="247">
        <f>2350-400</f>
        <v>1950</v>
      </c>
      <c r="L1209" s="287">
        <f t="shared" si="130"/>
        <v>0</v>
      </c>
    </row>
    <row r="1210" spans="1:12" x14ac:dyDescent="0.2">
      <c r="A1210" s="189" t="s">
        <v>553</v>
      </c>
      <c r="B1210" s="189"/>
      <c r="C1210" s="189" t="s">
        <v>617</v>
      </c>
      <c r="D1210" s="189" t="s">
        <v>498</v>
      </c>
      <c r="E1210" s="189" t="s">
        <v>620</v>
      </c>
      <c r="F1210" s="189" t="s">
        <v>552</v>
      </c>
      <c r="G1210" s="247">
        <v>2360</v>
      </c>
      <c r="H1210" s="247">
        <v>2360</v>
      </c>
      <c r="I1210" s="248">
        <f t="shared" si="129"/>
        <v>0</v>
      </c>
      <c r="J1210" s="191">
        <v>2360</v>
      </c>
      <c r="K1210" s="247">
        <v>2360</v>
      </c>
      <c r="L1210" s="287">
        <f t="shared" si="130"/>
        <v>0</v>
      </c>
    </row>
    <row r="1211" spans="1:12" x14ac:dyDescent="0.2">
      <c r="A1211" s="189" t="s">
        <v>621</v>
      </c>
      <c r="B1211" s="189"/>
      <c r="C1211" s="189" t="s">
        <v>617</v>
      </c>
      <c r="D1211" s="189" t="s">
        <v>498</v>
      </c>
      <c r="E1211" s="189" t="s">
        <v>620</v>
      </c>
      <c r="F1211" s="189" t="s">
        <v>619</v>
      </c>
      <c r="G1211" s="247">
        <v>2360</v>
      </c>
      <c r="H1211" s="247">
        <v>2360</v>
      </c>
      <c r="I1211" s="248">
        <f t="shared" si="129"/>
        <v>0</v>
      </c>
      <c r="J1211" s="191">
        <v>2360</v>
      </c>
      <c r="K1211" s="247">
        <v>2360</v>
      </c>
      <c r="L1211" s="287">
        <f t="shared" si="130"/>
        <v>0</v>
      </c>
    </row>
    <row r="1212" spans="1:12" x14ac:dyDescent="0.2">
      <c r="A1212" s="189" t="s">
        <v>568</v>
      </c>
      <c r="B1212" s="189"/>
      <c r="C1212" s="189" t="s">
        <v>617</v>
      </c>
      <c r="D1212" s="189" t="s">
        <v>498</v>
      </c>
      <c r="E1212" s="189" t="s">
        <v>567</v>
      </c>
      <c r="F1212" s="189"/>
      <c r="G1212" s="247">
        <f>G1213</f>
        <v>350</v>
      </c>
      <c r="H1212" s="247">
        <f>H1213</f>
        <v>350</v>
      </c>
      <c r="I1212" s="248">
        <f t="shared" si="129"/>
        <v>0</v>
      </c>
      <c r="J1212" s="191">
        <f>J1213</f>
        <v>350</v>
      </c>
      <c r="K1212" s="247">
        <f>K1213</f>
        <v>350</v>
      </c>
      <c r="L1212" s="287">
        <f t="shared" si="130"/>
        <v>0</v>
      </c>
    </row>
    <row r="1213" spans="1:12" x14ac:dyDescent="0.2">
      <c r="A1213" s="189" t="s">
        <v>566</v>
      </c>
      <c r="B1213" s="189"/>
      <c r="C1213" s="189" t="s">
        <v>617</v>
      </c>
      <c r="D1213" s="189" t="s">
        <v>498</v>
      </c>
      <c r="E1213" s="189" t="s">
        <v>565</v>
      </c>
      <c r="F1213" s="189"/>
      <c r="G1213" s="247">
        <f>G1214+G1218</f>
        <v>350</v>
      </c>
      <c r="H1213" s="247">
        <f>H1214+H1218</f>
        <v>350</v>
      </c>
      <c r="I1213" s="248">
        <f t="shared" si="129"/>
        <v>0</v>
      </c>
      <c r="J1213" s="191">
        <f>J1214+J1218</f>
        <v>350</v>
      </c>
      <c r="K1213" s="247">
        <f>K1214+K1218</f>
        <v>350</v>
      </c>
      <c r="L1213" s="287">
        <f t="shared" si="130"/>
        <v>0</v>
      </c>
    </row>
    <row r="1214" spans="1:12" ht="26.25" customHeight="1" x14ac:dyDescent="0.2">
      <c r="A1214" s="189" t="s">
        <v>1387</v>
      </c>
      <c r="B1214" s="189"/>
      <c r="C1214" s="189" t="s">
        <v>617</v>
      </c>
      <c r="D1214" s="189" t="s">
        <v>498</v>
      </c>
      <c r="E1214" s="189" t="s">
        <v>578</v>
      </c>
      <c r="F1214" s="189"/>
      <c r="G1214" s="247">
        <f t="shared" ref="G1214:H1216" si="133">G1215</f>
        <v>300</v>
      </c>
      <c r="H1214" s="247">
        <f t="shared" si="133"/>
        <v>300</v>
      </c>
      <c r="I1214" s="248">
        <f t="shared" si="129"/>
        <v>0</v>
      </c>
      <c r="J1214" s="191">
        <f t="shared" ref="J1214:K1216" si="134">J1215</f>
        <v>300</v>
      </c>
      <c r="K1214" s="247">
        <f t="shared" si="134"/>
        <v>300</v>
      </c>
      <c r="L1214" s="287">
        <f t="shared" si="130"/>
        <v>0</v>
      </c>
    </row>
    <row r="1215" spans="1:12" ht="37.5" customHeight="1" x14ac:dyDescent="0.2">
      <c r="A1215" s="189" t="s">
        <v>1388</v>
      </c>
      <c r="B1215" s="189"/>
      <c r="C1215" s="189" t="s">
        <v>617</v>
      </c>
      <c r="D1215" s="189" t="s">
        <v>498</v>
      </c>
      <c r="E1215" s="189" t="s">
        <v>577</v>
      </c>
      <c r="F1215" s="189"/>
      <c r="G1215" s="247">
        <f t="shared" si="133"/>
        <v>300</v>
      </c>
      <c r="H1215" s="247">
        <f t="shared" si="133"/>
        <v>300</v>
      </c>
      <c r="I1215" s="248">
        <f t="shared" si="129"/>
        <v>0</v>
      </c>
      <c r="J1215" s="191">
        <f t="shared" si="134"/>
        <v>300</v>
      </c>
      <c r="K1215" s="247">
        <f t="shared" si="134"/>
        <v>300</v>
      </c>
      <c r="L1215" s="287">
        <f t="shared" si="130"/>
        <v>0</v>
      </c>
    </row>
    <row r="1216" spans="1:12" ht="24" x14ac:dyDescent="0.2">
      <c r="A1216" s="189" t="s">
        <v>547</v>
      </c>
      <c r="B1216" s="189"/>
      <c r="C1216" s="189" t="s">
        <v>617</v>
      </c>
      <c r="D1216" s="189" t="s">
        <v>498</v>
      </c>
      <c r="E1216" s="189" t="s">
        <v>577</v>
      </c>
      <c r="F1216" s="189" t="s">
        <v>519</v>
      </c>
      <c r="G1216" s="247">
        <f t="shared" si="133"/>
        <v>300</v>
      </c>
      <c r="H1216" s="247">
        <f t="shared" si="133"/>
        <v>300</v>
      </c>
      <c r="I1216" s="248">
        <f t="shared" si="129"/>
        <v>0</v>
      </c>
      <c r="J1216" s="191">
        <f t="shared" si="134"/>
        <v>300</v>
      </c>
      <c r="K1216" s="247">
        <f t="shared" si="134"/>
        <v>300</v>
      </c>
      <c r="L1216" s="287">
        <f t="shared" si="130"/>
        <v>0</v>
      </c>
    </row>
    <row r="1217" spans="1:12" s="303" customFormat="1" x14ac:dyDescent="0.2">
      <c r="A1217" s="189" t="s">
        <v>546</v>
      </c>
      <c r="B1217" s="189"/>
      <c r="C1217" s="189" t="s">
        <v>617</v>
      </c>
      <c r="D1217" s="189" t="s">
        <v>498</v>
      </c>
      <c r="E1217" s="189" t="s">
        <v>577</v>
      </c>
      <c r="F1217" s="189">
        <v>620</v>
      </c>
      <c r="G1217" s="247">
        <v>300</v>
      </c>
      <c r="H1217" s="247">
        <v>300</v>
      </c>
      <c r="I1217" s="248">
        <f t="shared" si="129"/>
        <v>0</v>
      </c>
      <c r="J1217" s="191">
        <v>300</v>
      </c>
      <c r="K1217" s="247">
        <v>300</v>
      </c>
      <c r="L1217" s="287">
        <f t="shared" si="130"/>
        <v>0</v>
      </c>
    </row>
    <row r="1218" spans="1:12" ht="36" x14ac:dyDescent="0.2">
      <c r="A1218" s="189" t="s">
        <v>564</v>
      </c>
      <c r="B1218" s="189"/>
      <c r="C1218" s="189" t="s">
        <v>617</v>
      </c>
      <c r="D1218" s="189" t="s">
        <v>498</v>
      </c>
      <c r="E1218" s="189" t="s">
        <v>563</v>
      </c>
      <c r="F1218" s="189"/>
      <c r="G1218" s="247">
        <f t="shared" ref="G1218:H1220" si="135">G1219</f>
        <v>50</v>
      </c>
      <c r="H1218" s="247">
        <f t="shared" si="135"/>
        <v>50</v>
      </c>
      <c r="I1218" s="248">
        <f t="shared" si="129"/>
        <v>0</v>
      </c>
      <c r="J1218" s="191">
        <f t="shared" ref="J1218:K1220" si="136">J1219</f>
        <v>50</v>
      </c>
      <c r="K1218" s="247">
        <f t="shared" si="136"/>
        <v>50</v>
      </c>
      <c r="L1218" s="287">
        <f t="shared" si="130"/>
        <v>0</v>
      </c>
    </row>
    <row r="1219" spans="1:12" ht="36" x14ac:dyDescent="0.2">
      <c r="A1219" s="189" t="s">
        <v>562</v>
      </c>
      <c r="B1219" s="189"/>
      <c r="C1219" s="189" t="s">
        <v>617</v>
      </c>
      <c r="D1219" s="189" t="s">
        <v>498</v>
      </c>
      <c r="E1219" s="189" t="s">
        <v>561</v>
      </c>
      <c r="F1219" s="189"/>
      <c r="G1219" s="247">
        <f t="shared" si="135"/>
        <v>50</v>
      </c>
      <c r="H1219" s="247">
        <f t="shared" si="135"/>
        <v>50</v>
      </c>
      <c r="I1219" s="248">
        <f t="shared" si="129"/>
        <v>0</v>
      </c>
      <c r="J1219" s="191">
        <f t="shared" si="136"/>
        <v>50</v>
      </c>
      <c r="K1219" s="247">
        <f t="shared" si="136"/>
        <v>50</v>
      </c>
      <c r="L1219" s="287">
        <f t="shared" si="130"/>
        <v>0</v>
      </c>
    </row>
    <row r="1220" spans="1:12" ht="24" x14ac:dyDescent="0.2">
      <c r="A1220" s="189" t="s">
        <v>547</v>
      </c>
      <c r="B1220" s="189"/>
      <c r="C1220" s="189" t="s">
        <v>617</v>
      </c>
      <c r="D1220" s="189" t="s">
        <v>498</v>
      </c>
      <c r="E1220" s="189" t="s">
        <v>561</v>
      </c>
      <c r="F1220" s="189" t="s">
        <v>519</v>
      </c>
      <c r="G1220" s="247">
        <f t="shared" si="135"/>
        <v>50</v>
      </c>
      <c r="H1220" s="247">
        <f t="shared" si="135"/>
        <v>50</v>
      </c>
      <c r="I1220" s="248">
        <f t="shared" si="129"/>
        <v>0</v>
      </c>
      <c r="J1220" s="191">
        <f t="shared" si="136"/>
        <v>50</v>
      </c>
      <c r="K1220" s="247">
        <f t="shared" si="136"/>
        <v>50</v>
      </c>
      <c r="L1220" s="287">
        <f t="shared" si="130"/>
        <v>0</v>
      </c>
    </row>
    <row r="1221" spans="1:12" s="303" customFormat="1" x14ac:dyDescent="0.2">
      <c r="A1221" s="189" t="s">
        <v>546</v>
      </c>
      <c r="B1221" s="189"/>
      <c r="C1221" s="189" t="s">
        <v>617</v>
      </c>
      <c r="D1221" s="189" t="s">
        <v>498</v>
      </c>
      <c r="E1221" s="189" t="s">
        <v>561</v>
      </c>
      <c r="F1221" s="189">
        <v>620</v>
      </c>
      <c r="G1221" s="247">
        <v>50</v>
      </c>
      <c r="H1221" s="247">
        <v>50</v>
      </c>
      <c r="I1221" s="248">
        <f t="shared" si="129"/>
        <v>0</v>
      </c>
      <c r="J1221" s="191">
        <v>50</v>
      </c>
      <c r="K1221" s="247">
        <v>50</v>
      </c>
      <c r="L1221" s="287">
        <f t="shared" si="130"/>
        <v>0</v>
      </c>
    </row>
    <row r="1222" spans="1:12" ht="24" x14ac:dyDescent="0.2">
      <c r="A1222" s="181" t="s">
        <v>616</v>
      </c>
      <c r="B1222" s="181" t="s">
        <v>610</v>
      </c>
      <c r="C1222" s="181"/>
      <c r="D1222" s="181"/>
      <c r="E1222" s="181"/>
      <c r="F1222" s="181"/>
      <c r="G1222" s="243">
        <f>G1223+G1238+G1247</f>
        <v>72444.599999999991</v>
      </c>
      <c r="H1222" s="243">
        <f>H1223+H1238+H1247</f>
        <v>72444.599999999991</v>
      </c>
      <c r="I1222" s="244">
        <f t="shared" si="129"/>
        <v>0</v>
      </c>
      <c r="J1222" s="183">
        <f>J1223+J1238+J1247</f>
        <v>72944.599999999991</v>
      </c>
      <c r="K1222" s="243">
        <f>K1223+K1238+K1247</f>
        <v>72944.599999999991</v>
      </c>
      <c r="L1222" s="288">
        <f t="shared" si="130"/>
        <v>0</v>
      </c>
    </row>
    <row r="1223" spans="1:12" s="78" customFormat="1" x14ac:dyDescent="0.2">
      <c r="A1223" s="185" t="s">
        <v>606</v>
      </c>
      <c r="B1223" s="185"/>
      <c r="C1223" s="185" t="s">
        <v>498</v>
      </c>
      <c r="D1223" s="185"/>
      <c r="E1223" s="185"/>
      <c r="F1223" s="185"/>
      <c r="G1223" s="245">
        <v>735.4</v>
      </c>
      <c r="H1223" s="245">
        <v>735.4</v>
      </c>
      <c r="I1223" s="246">
        <f t="shared" ref="I1223:I1286" si="137">H1223-G1223</f>
        <v>0</v>
      </c>
      <c r="J1223" s="187">
        <v>1235.4000000000001</v>
      </c>
      <c r="K1223" s="245">
        <v>1235.4000000000001</v>
      </c>
      <c r="L1223" s="286">
        <f t="shared" ref="L1223:L1286" si="138">K1223-J1223</f>
        <v>0</v>
      </c>
    </row>
    <row r="1224" spans="1:12" ht="36" x14ac:dyDescent="0.2">
      <c r="A1224" s="189" t="s">
        <v>605</v>
      </c>
      <c r="B1224" s="189"/>
      <c r="C1224" s="189" t="s">
        <v>498</v>
      </c>
      <c r="D1224" s="189" t="s">
        <v>507</v>
      </c>
      <c r="E1224" s="189"/>
      <c r="F1224" s="189"/>
      <c r="G1224" s="247">
        <v>735.4</v>
      </c>
      <c r="H1224" s="247">
        <v>735.4</v>
      </c>
      <c r="I1224" s="248">
        <f t="shared" si="137"/>
        <v>0</v>
      </c>
      <c r="J1224" s="191">
        <v>735.4</v>
      </c>
      <c r="K1224" s="247">
        <v>735.4</v>
      </c>
      <c r="L1224" s="287">
        <f t="shared" si="138"/>
        <v>0</v>
      </c>
    </row>
    <row r="1225" spans="1:12" ht="24" x14ac:dyDescent="0.2">
      <c r="A1225" s="189" t="s">
        <v>604</v>
      </c>
      <c r="B1225" s="189"/>
      <c r="C1225" s="189" t="s">
        <v>498</v>
      </c>
      <c r="D1225" s="189" t="s">
        <v>507</v>
      </c>
      <c r="E1225" s="189" t="s">
        <v>603</v>
      </c>
      <c r="F1225" s="189"/>
      <c r="G1225" s="247">
        <v>735.4</v>
      </c>
      <c r="H1225" s="247">
        <v>735.4</v>
      </c>
      <c r="I1225" s="248">
        <f t="shared" si="137"/>
        <v>0</v>
      </c>
      <c r="J1225" s="191">
        <v>735.4</v>
      </c>
      <c r="K1225" s="247">
        <v>735.4</v>
      </c>
      <c r="L1225" s="287">
        <f t="shared" si="138"/>
        <v>0</v>
      </c>
    </row>
    <row r="1226" spans="1:12" x14ac:dyDescent="0.2">
      <c r="A1226" s="189" t="s">
        <v>602</v>
      </c>
      <c r="B1226" s="189"/>
      <c r="C1226" s="189" t="s">
        <v>498</v>
      </c>
      <c r="D1226" s="189" t="s">
        <v>507</v>
      </c>
      <c r="E1226" s="189" t="s">
        <v>601</v>
      </c>
      <c r="F1226" s="189"/>
      <c r="G1226" s="247">
        <v>735.4</v>
      </c>
      <c r="H1226" s="247">
        <v>735.4</v>
      </c>
      <c r="I1226" s="248">
        <f t="shared" si="137"/>
        <v>0</v>
      </c>
      <c r="J1226" s="191">
        <v>735.4</v>
      </c>
      <c r="K1226" s="247">
        <v>735.4</v>
      </c>
      <c r="L1226" s="287">
        <f t="shared" si="138"/>
        <v>0</v>
      </c>
    </row>
    <row r="1227" spans="1:12" ht="24" x14ac:dyDescent="0.2">
      <c r="A1227" s="189" t="s">
        <v>600</v>
      </c>
      <c r="B1227" s="189"/>
      <c r="C1227" s="189" t="s">
        <v>498</v>
      </c>
      <c r="D1227" s="189" t="s">
        <v>507</v>
      </c>
      <c r="E1227" s="189" t="s">
        <v>599</v>
      </c>
      <c r="F1227" s="189"/>
      <c r="G1227" s="247">
        <v>735.4</v>
      </c>
      <c r="H1227" s="247">
        <v>735.4</v>
      </c>
      <c r="I1227" s="248">
        <f t="shared" si="137"/>
        <v>0</v>
      </c>
      <c r="J1227" s="191">
        <v>735.4</v>
      </c>
      <c r="K1227" s="247">
        <v>735.4</v>
      </c>
      <c r="L1227" s="287">
        <f t="shared" si="138"/>
        <v>0</v>
      </c>
    </row>
    <row r="1228" spans="1:12" x14ac:dyDescent="0.2">
      <c r="A1228" s="189" t="s">
        <v>598</v>
      </c>
      <c r="B1228" s="189"/>
      <c r="C1228" s="189" t="s">
        <v>498</v>
      </c>
      <c r="D1228" s="189" t="s">
        <v>507</v>
      </c>
      <c r="E1228" s="189" t="s">
        <v>597</v>
      </c>
      <c r="F1228" s="189"/>
      <c r="G1228" s="247">
        <v>735.4</v>
      </c>
      <c r="H1228" s="247">
        <v>735.4</v>
      </c>
      <c r="I1228" s="248">
        <f t="shared" si="137"/>
        <v>0</v>
      </c>
      <c r="J1228" s="191">
        <v>735.4</v>
      </c>
      <c r="K1228" s="247">
        <v>735.4</v>
      </c>
      <c r="L1228" s="287">
        <f t="shared" si="138"/>
        <v>0</v>
      </c>
    </row>
    <row r="1229" spans="1:12" ht="24" x14ac:dyDescent="0.2">
      <c r="A1229" s="189" t="s">
        <v>1347</v>
      </c>
      <c r="B1229" s="189"/>
      <c r="C1229" s="189" t="s">
        <v>498</v>
      </c>
      <c r="D1229" s="189" t="s">
        <v>507</v>
      </c>
      <c r="E1229" s="189" t="s">
        <v>597</v>
      </c>
      <c r="F1229" s="189" t="s">
        <v>535</v>
      </c>
      <c r="G1229" s="247">
        <v>732.2</v>
      </c>
      <c r="H1229" s="247">
        <v>732.2</v>
      </c>
      <c r="I1229" s="248">
        <f t="shared" si="137"/>
        <v>0</v>
      </c>
      <c r="J1229" s="191">
        <v>732.2</v>
      </c>
      <c r="K1229" s="247">
        <v>732.2</v>
      </c>
      <c r="L1229" s="287">
        <f t="shared" si="138"/>
        <v>0</v>
      </c>
    </row>
    <row r="1230" spans="1:12" ht="24" x14ac:dyDescent="0.2">
      <c r="A1230" s="189" t="s">
        <v>534</v>
      </c>
      <c r="B1230" s="189"/>
      <c r="C1230" s="189" t="s">
        <v>498</v>
      </c>
      <c r="D1230" s="189" t="s">
        <v>507</v>
      </c>
      <c r="E1230" s="189" t="s">
        <v>597</v>
      </c>
      <c r="F1230" s="189" t="s">
        <v>529</v>
      </c>
      <c r="G1230" s="247">
        <v>732.2</v>
      </c>
      <c r="H1230" s="247">
        <v>732.2</v>
      </c>
      <c r="I1230" s="248">
        <f t="shared" si="137"/>
        <v>0</v>
      </c>
      <c r="J1230" s="191">
        <v>732.2</v>
      </c>
      <c r="K1230" s="247">
        <v>732.2</v>
      </c>
      <c r="L1230" s="287">
        <f t="shared" si="138"/>
        <v>0</v>
      </c>
    </row>
    <row r="1231" spans="1:12" x14ac:dyDescent="0.2">
      <c r="A1231" s="189" t="s">
        <v>615</v>
      </c>
      <c r="B1231" s="189"/>
      <c r="C1231" s="189" t="s">
        <v>498</v>
      </c>
      <c r="D1231" s="189" t="s">
        <v>507</v>
      </c>
      <c r="E1231" s="189" t="s">
        <v>597</v>
      </c>
      <c r="F1231" s="189" t="s">
        <v>509</v>
      </c>
      <c r="G1231" s="247">
        <v>3.2</v>
      </c>
      <c r="H1231" s="247">
        <v>3.2</v>
      </c>
      <c r="I1231" s="248">
        <f t="shared" si="137"/>
        <v>0</v>
      </c>
      <c r="J1231" s="191">
        <v>3.2</v>
      </c>
      <c r="K1231" s="247">
        <v>3.2</v>
      </c>
      <c r="L1231" s="287">
        <f t="shared" si="138"/>
        <v>0</v>
      </c>
    </row>
    <row r="1232" spans="1:12" x14ac:dyDescent="0.2">
      <c r="A1232" s="189" t="s">
        <v>614</v>
      </c>
      <c r="B1232" s="189"/>
      <c r="C1232" s="189" t="s">
        <v>498</v>
      </c>
      <c r="D1232" s="189" t="s">
        <v>507</v>
      </c>
      <c r="E1232" s="189" t="s">
        <v>597</v>
      </c>
      <c r="F1232" s="189" t="s">
        <v>613</v>
      </c>
      <c r="G1232" s="247">
        <v>3.2</v>
      </c>
      <c r="H1232" s="247">
        <v>3.2</v>
      </c>
      <c r="I1232" s="248">
        <f t="shared" si="137"/>
        <v>0</v>
      </c>
      <c r="J1232" s="191">
        <v>3.2</v>
      </c>
      <c r="K1232" s="247">
        <v>3.2</v>
      </c>
      <c r="L1232" s="287">
        <f t="shared" si="138"/>
        <v>0</v>
      </c>
    </row>
    <row r="1233" spans="1:12" x14ac:dyDescent="0.2">
      <c r="A1233" s="189" t="s">
        <v>596</v>
      </c>
      <c r="B1233" s="189"/>
      <c r="C1233" s="189" t="s">
        <v>498</v>
      </c>
      <c r="D1233" s="189" t="s">
        <v>592</v>
      </c>
      <c r="E1233" s="189"/>
      <c r="F1233" s="189"/>
      <c r="G1233" s="247">
        <v>0</v>
      </c>
      <c r="H1233" s="247">
        <v>0</v>
      </c>
      <c r="I1233" s="248">
        <f t="shared" si="137"/>
        <v>0</v>
      </c>
      <c r="J1233" s="191">
        <v>500</v>
      </c>
      <c r="K1233" s="247">
        <v>500</v>
      </c>
      <c r="L1233" s="287">
        <f t="shared" si="138"/>
        <v>0</v>
      </c>
    </row>
    <row r="1234" spans="1:12" x14ac:dyDescent="0.2">
      <c r="A1234" s="189" t="s">
        <v>595</v>
      </c>
      <c r="B1234" s="189"/>
      <c r="C1234" s="189" t="s">
        <v>498</v>
      </c>
      <c r="D1234" s="189" t="s">
        <v>592</v>
      </c>
      <c r="E1234" s="189" t="s">
        <v>594</v>
      </c>
      <c r="F1234" s="189"/>
      <c r="G1234" s="247">
        <v>0</v>
      </c>
      <c r="H1234" s="247">
        <v>0</v>
      </c>
      <c r="I1234" s="248">
        <f t="shared" si="137"/>
        <v>0</v>
      </c>
      <c r="J1234" s="191">
        <v>500</v>
      </c>
      <c r="K1234" s="247">
        <v>500</v>
      </c>
      <c r="L1234" s="287">
        <f t="shared" si="138"/>
        <v>0</v>
      </c>
    </row>
    <row r="1235" spans="1:12" ht="24" x14ac:dyDescent="0.2">
      <c r="A1235" s="189" t="s">
        <v>593</v>
      </c>
      <c r="B1235" s="189"/>
      <c r="C1235" s="189" t="s">
        <v>498</v>
      </c>
      <c r="D1235" s="189" t="s">
        <v>592</v>
      </c>
      <c r="E1235" s="189" t="s">
        <v>591</v>
      </c>
      <c r="F1235" s="189"/>
      <c r="G1235" s="247">
        <v>0</v>
      </c>
      <c r="H1235" s="247">
        <v>0</v>
      </c>
      <c r="I1235" s="248">
        <f t="shared" si="137"/>
        <v>0</v>
      </c>
      <c r="J1235" s="191">
        <v>500</v>
      </c>
      <c r="K1235" s="247">
        <v>500</v>
      </c>
      <c r="L1235" s="287">
        <f t="shared" si="138"/>
        <v>0</v>
      </c>
    </row>
    <row r="1236" spans="1:12" ht="24" x14ac:dyDescent="0.2">
      <c r="A1236" s="189" t="s">
        <v>1347</v>
      </c>
      <c r="B1236" s="189"/>
      <c r="C1236" s="189" t="s">
        <v>498</v>
      </c>
      <c r="D1236" s="189" t="s">
        <v>592</v>
      </c>
      <c r="E1236" s="189" t="s">
        <v>591</v>
      </c>
      <c r="F1236" s="189" t="s">
        <v>535</v>
      </c>
      <c r="G1236" s="247">
        <v>0</v>
      </c>
      <c r="H1236" s="247">
        <v>0</v>
      </c>
      <c r="I1236" s="248">
        <f t="shared" si="137"/>
        <v>0</v>
      </c>
      <c r="J1236" s="191">
        <v>500</v>
      </c>
      <c r="K1236" s="247">
        <v>500</v>
      </c>
      <c r="L1236" s="287">
        <f t="shared" si="138"/>
        <v>0</v>
      </c>
    </row>
    <row r="1237" spans="1:12" ht="24" x14ac:dyDescent="0.2">
      <c r="A1237" s="189" t="s">
        <v>534</v>
      </c>
      <c r="B1237" s="189"/>
      <c r="C1237" s="189" t="s">
        <v>498</v>
      </c>
      <c r="D1237" s="189" t="s">
        <v>592</v>
      </c>
      <c r="E1237" s="189" t="s">
        <v>591</v>
      </c>
      <c r="F1237" s="189" t="s">
        <v>529</v>
      </c>
      <c r="G1237" s="247">
        <v>0</v>
      </c>
      <c r="H1237" s="247">
        <v>0</v>
      </c>
      <c r="I1237" s="248">
        <f t="shared" si="137"/>
        <v>0</v>
      </c>
      <c r="J1237" s="191">
        <v>500</v>
      </c>
      <c r="K1237" s="247">
        <v>500</v>
      </c>
      <c r="L1237" s="287">
        <f t="shared" si="138"/>
        <v>0</v>
      </c>
    </row>
    <row r="1238" spans="1:12" s="78" customFormat="1" x14ac:dyDescent="0.2">
      <c r="A1238" s="185" t="s">
        <v>590</v>
      </c>
      <c r="B1238" s="185"/>
      <c r="C1238" s="185" t="s">
        <v>507</v>
      </c>
      <c r="D1238" s="185"/>
      <c r="E1238" s="185"/>
      <c r="F1238" s="185"/>
      <c r="G1238" s="245">
        <v>471.5</v>
      </c>
      <c r="H1238" s="245">
        <v>471.5</v>
      </c>
      <c r="I1238" s="246">
        <f t="shared" si="137"/>
        <v>0</v>
      </c>
      <c r="J1238" s="187">
        <v>471.5</v>
      </c>
      <c r="K1238" s="245">
        <v>471.5</v>
      </c>
      <c r="L1238" s="286">
        <f t="shared" si="138"/>
        <v>0</v>
      </c>
    </row>
    <row r="1239" spans="1:12" x14ac:dyDescent="0.2">
      <c r="A1239" s="189" t="s">
        <v>589</v>
      </c>
      <c r="B1239" s="189"/>
      <c r="C1239" s="189" t="s">
        <v>507</v>
      </c>
      <c r="D1239" s="189" t="s">
        <v>498</v>
      </c>
      <c r="E1239" s="189"/>
      <c r="F1239" s="189"/>
      <c r="G1239" s="247">
        <v>471.5</v>
      </c>
      <c r="H1239" s="247">
        <v>471.5</v>
      </c>
      <c r="I1239" s="248">
        <f t="shared" si="137"/>
        <v>0</v>
      </c>
      <c r="J1239" s="191">
        <v>471.5</v>
      </c>
      <c r="K1239" s="247">
        <v>471.5</v>
      </c>
      <c r="L1239" s="287">
        <f t="shared" si="138"/>
        <v>0</v>
      </c>
    </row>
    <row r="1240" spans="1:12" ht="36" x14ac:dyDescent="0.2">
      <c r="A1240" s="189" t="s">
        <v>588</v>
      </c>
      <c r="B1240" s="189"/>
      <c r="C1240" s="189" t="s">
        <v>507</v>
      </c>
      <c r="D1240" s="189" t="s">
        <v>498</v>
      </c>
      <c r="E1240" s="189" t="s">
        <v>587</v>
      </c>
      <c r="F1240" s="189"/>
      <c r="G1240" s="247">
        <v>471.5</v>
      </c>
      <c r="H1240" s="247">
        <v>471.5</v>
      </c>
      <c r="I1240" s="248">
        <f t="shared" si="137"/>
        <v>0</v>
      </c>
      <c r="J1240" s="191">
        <v>471.5</v>
      </c>
      <c r="K1240" s="247">
        <v>471.5</v>
      </c>
      <c r="L1240" s="287">
        <f t="shared" si="138"/>
        <v>0</v>
      </c>
    </row>
    <row r="1241" spans="1:12" x14ac:dyDescent="0.2">
      <c r="A1241" s="189" t="s">
        <v>586</v>
      </c>
      <c r="B1241" s="189"/>
      <c r="C1241" s="189" t="s">
        <v>507</v>
      </c>
      <c r="D1241" s="189" t="s">
        <v>498</v>
      </c>
      <c r="E1241" s="189" t="s">
        <v>585</v>
      </c>
      <c r="F1241" s="189"/>
      <c r="G1241" s="247">
        <v>471.5</v>
      </c>
      <c r="H1241" s="247">
        <v>471.5</v>
      </c>
      <c r="I1241" s="248">
        <f t="shared" si="137"/>
        <v>0</v>
      </c>
      <c r="J1241" s="191">
        <v>471.5</v>
      </c>
      <c r="K1241" s="247">
        <v>471.5</v>
      </c>
      <c r="L1241" s="287">
        <f t="shared" si="138"/>
        <v>0</v>
      </c>
    </row>
    <row r="1242" spans="1:12" ht="48" x14ac:dyDescent="0.2">
      <c r="A1242" s="189" t="s">
        <v>584</v>
      </c>
      <c r="B1242" s="189"/>
      <c r="C1242" s="189" t="s">
        <v>507</v>
      </c>
      <c r="D1242" s="189" t="s">
        <v>498</v>
      </c>
      <c r="E1242" s="189" t="s">
        <v>583</v>
      </c>
      <c r="F1242" s="189"/>
      <c r="G1242" s="247">
        <v>471.5</v>
      </c>
      <c r="H1242" s="247">
        <v>471.5</v>
      </c>
      <c r="I1242" s="248">
        <f t="shared" si="137"/>
        <v>0</v>
      </c>
      <c r="J1242" s="191">
        <v>471.5</v>
      </c>
      <c r="K1242" s="247">
        <v>471.5</v>
      </c>
      <c r="L1242" s="287">
        <f t="shared" si="138"/>
        <v>0</v>
      </c>
    </row>
    <row r="1243" spans="1:12" ht="24" x14ac:dyDescent="0.2">
      <c r="A1243" s="189" t="s">
        <v>582</v>
      </c>
      <c r="B1243" s="189"/>
      <c r="C1243" s="189" t="s">
        <v>507</v>
      </c>
      <c r="D1243" s="189" t="s">
        <v>498</v>
      </c>
      <c r="E1243" s="189" t="s">
        <v>581</v>
      </c>
      <c r="F1243" s="189"/>
      <c r="G1243" s="247">
        <v>471.5</v>
      </c>
      <c r="H1243" s="247">
        <v>471.5</v>
      </c>
      <c r="I1243" s="248">
        <f t="shared" si="137"/>
        <v>0</v>
      </c>
      <c r="J1243" s="191">
        <v>471.5</v>
      </c>
      <c r="K1243" s="247">
        <v>471.5</v>
      </c>
      <c r="L1243" s="287">
        <f t="shared" si="138"/>
        <v>0</v>
      </c>
    </row>
    <row r="1244" spans="1:12" ht="24" x14ac:dyDescent="0.2">
      <c r="A1244" s="189" t="s">
        <v>547</v>
      </c>
      <c r="B1244" s="189"/>
      <c r="C1244" s="189" t="s">
        <v>507</v>
      </c>
      <c r="D1244" s="189" t="s">
        <v>498</v>
      </c>
      <c r="E1244" s="189" t="s">
        <v>581</v>
      </c>
      <c r="F1244" s="189" t="s">
        <v>519</v>
      </c>
      <c r="G1244" s="247">
        <v>471.5</v>
      </c>
      <c r="H1244" s="247">
        <v>471.5</v>
      </c>
      <c r="I1244" s="248">
        <f t="shared" si="137"/>
        <v>0</v>
      </c>
      <c r="J1244" s="191">
        <v>471.5</v>
      </c>
      <c r="K1244" s="247">
        <v>471.5</v>
      </c>
      <c r="L1244" s="287">
        <f t="shared" si="138"/>
        <v>0</v>
      </c>
    </row>
    <row r="1245" spans="1:12" x14ac:dyDescent="0.2">
      <c r="A1245" s="189" t="s">
        <v>571</v>
      </c>
      <c r="B1245" s="189"/>
      <c r="C1245" s="189" t="s">
        <v>507</v>
      </c>
      <c r="D1245" s="189" t="s">
        <v>498</v>
      </c>
      <c r="E1245" s="189" t="s">
        <v>581</v>
      </c>
      <c r="F1245" s="189" t="s">
        <v>522</v>
      </c>
      <c r="G1245" s="247">
        <v>314.3</v>
      </c>
      <c r="H1245" s="247">
        <v>314.3</v>
      </c>
      <c r="I1245" s="248">
        <f t="shared" si="137"/>
        <v>0</v>
      </c>
      <c r="J1245" s="191">
        <v>314.3</v>
      </c>
      <c r="K1245" s="247">
        <v>314.3</v>
      </c>
      <c r="L1245" s="287">
        <f t="shared" si="138"/>
        <v>0</v>
      </c>
    </row>
    <row r="1246" spans="1:12" x14ac:dyDescent="0.2">
      <c r="A1246" s="189" t="s">
        <v>546</v>
      </c>
      <c r="B1246" s="189"/>
      <c r="C1246" s="189" t="s">
        <v>507</v>
      </c>
      <c r="D1246" s="189" t="s">
        <v>498</v>
      </c>
      <c r="E1246" s="189" t="s">
        <v>581</v>
      </c>
      <c r="F1246" s="189" t="s">
        <v>544</v>
      </c>
      <c r="G1246" s="247">
        <v>157.19999999999999</v>
      </c>
      <c r="H1246" s="247">
        <v>157.19999999999999</v>
      </c>
      <c r="I1246" s="248">
        <f t="shared" si="137"/>
        <v>0</v>
      </c>
      <c r="J1246" s="191">
        <v>157.19999999999999</v>
      </c>
      <c r="K1246" s="247">
        <v>157.19999999999999</v>
      </c>
      <c r="L1246" s="287">
        <f t="shared" si="138"/>
        <v>0</v>
      </c>
    </row>
    <row r="1247" spans="1:12" s="78" customFormat="1" x14ac:dyDescent="0.2">
      <c r="A1247" s="185" t="s">
        <v>612</v>
      </c>
      <c r="B1247" s="185"/>
      <c r="C1247" s="185" t="s">
        <v>609</v>
      </c>
      <c r="D1247" s="185"/>
      <c r="E1247" s="185"/>
      <c r="F1247" s="185"/>
      <c r="G1247" s="245">
        <v>71237.7</v>
      </c>
      <c r="H1247" s="245">
        <v>71237.7</v>
      </c>
      <c r="I1247" s="246">
        <f t="shared" si="137"/>
        <v>0</v>
      </c>
      <c r="J1247" s="187">
        <v>71237.7</v>
      </c>
      <c r="K1247" s="245">
        <v>71237.7</v>
      </c>
      <c r="L1247" s="286">
        <f t="shared" si="138"/>
        <v>0</v>
      </c>
    </row>
    <row r="1248" spans="1:12" x14ac:dyDescent="0.2">
      <c r="A1248" s="189" t="s">
        <v>1356</v>
      </c>
      <c r="B1248" s="189"/>
      <c r="C1248" s="189" t="s">
        <v>609</v>
      </c>
      <c r="D1248" s="189" t="s">
        <v>609</v>
      </c>
      <c r="E1248" s="189"/>
      <c r="F1248" s="189"/>
      <c r="G1248" s="247">
        <v>71237.7</v>
      </c>
      <c r="H1248" s="247">
        <v>71237.7</v>
      </c>
      <c r="I1248" s="248">
        <f t="shared" si="137"/>
        <v>0</v>
      </c>
      <c r="J1248" s="191">
        <v>71237.7</v>
      </c>
      <c r="K1248" s="247">
        <v>71237.7</v>
      </c>
      <c r="L1248" s="287">
        <f t="shared" si="138"/>
        <v>0</v>
      </c>
    </row>
    <row r="1249" spans="1:12" x14ac:dyDescent="0.2">
      <c r="A1249" s="189" t="s">
        <v>568</v>
      </c>
      <c r="B1249" s="189"/>
      <c r="C1249" s="189" t="s">
        <v>609</v>
      </c>
      <c r="D1249" s="189" t="s">
        <v>609</v>
      </c>
      <c r="E1249" s="189" t="s">
        <v>567</v>
      </c>
      <c r="F1249" s="189"/>
      <c r="G1249" s="247">
        <v>60</v>
      </c>
      <c r="H1249" s="247">
        <v>60</v>
      </c>
      <c r="I1249" s="248">
        <f t="shared" si="137"/>
        <v>0</v>
      </c>
      <c r="J1249" s="191">
        <v>60</v>
      </c>
      <c r="K1249" s="247">
        <v>60</v>
      </c>
      <c r="L1249" s="287">
        <f t="shared" si="138"/>
        <v>0</v>
      </c>
    </row>
    <row r="1250" spans="1:12" x14ac:dyDescent="0.2">
      <c r="A1250" s="189" t="s">
        <v>566</v>
      </c>
      <c r="B1250" s="189"/>
      <c r="C1250" s="189" t="s">
        <v>609</v>
      </c>
      <c r="D1250" s="189" t="s">
        <v>609</v>
      </c>
      <c r="E1250" s="189" t="s">
        <v>565</v>
      </c>
      <c r="F1250" s="189"/>
      <c r="G1250" s="247">
        <v>60</v>
      </c>
      <c r="H1250" s="247">
        <v>60</v>
      </c>
      <c r="I1250" s="248">
        <f t="shared" si="137"/>
        <v>0</v>
      </c>
      <c r="J1250" s="191">
        <v>60</v>
      </c>
      <c r="K1250" s="247">
        <v>60</v>
      </c>
      <c r="L1250" s="287">
        <f t="shared" si="138"/>
        <v>0</v>
      </c>
    </row>
    <row r="1251" spans="1:12" ht="24" customHeight="1" x14ac:dyDescent="0.2">
      <c r="A1251" s="189" t="s">
        <v>1387</v>
      </c>
      <c r="B1251" s="189"/>
      <c r="C1251" s="189" t="s">
        <v>609</v>
      </c>
      <c r="D1251" s="189" t="s">
        <v>609</v>
      </c>
      <c r="E1251" s="189" t="s">
        <v>578</v>
      </c>
      <c r="F1251" s="189"/>
      <c r="G1251" s="247">
        <v>60</v>
      </c>
      <c r="H1251" s="247">
        <v>60</v>
      </c>
      <c r="I1251" s="248">
        <f t="shared" si="137"/>
        <v>0</v>
      </c>
      <c r="J1251" s="191">
        <v>60</v>
      </c>
      <c r="K1251" s="247">
        <v>60</v>
      </c>
      <c r="L1251" s="287">
        <f t="shared" si="138"/>
        <v>0</v>
      </c>
    </row>
    <row r="1252" spans="1:12" ht="48" x14ac:dyDescent="0.2">
      <c r="A1252" s="189" t="s">
        <v>1388</v>
      </c>
      <c r="B1252" s="189"/>
      <c r="C1252" s="189" t="s">
        <v>609</v>
      </c>
      <c r="D1252" s="189" t="s">
        <v>609</v>
      </c>
      <c r="E1252" s="189" t="s">
        <v>577</v>
      </c>
      <c r="F1252" s="189"/>
      <c r="G1252" s="247">
        <v>60</v>
      </c>
      <c r="H1252" s="247">
        <v>60</v>
      </c>
      <c r="I1252" s="248">
        <f t="shared" si="137"/>
        <v>0</v>
      </c>
      <c r="J1252" s="191">
        <v>60</v>
      </c>
      <c r="K1252" s="247">
        <v>60</v>
      </c>
      <c r="L1252" s="287">
        <f t="shared" si="138"/>
        <v>0</v>
      </c>
    </row>
    <row r="1253" spans="1:12" ht="24" x14ac:dyDescent="0.2">
      <c r="A1253" s="189" t="s">
        <v>547</v>
      </c>
      <c r="B1253" s="189"/>
      <c r="C1253" s="189" t="s">
        <v>609</v>
      </c>
      <c r="D1253" s="189" t="s">
        <v>609</v>
      </c>
      <c r="E1253" s="189" t="s">
        <v>577</v>
      </c>
      <c r="F1253" s="189" t="s">
        <v>519</v>
      </c>
      <c r="G1253" s="247">
        <v>60</v>
      </c>
      <c r="H1253" s="247">
        <v>60</v>
      </c>
      <c r="I1253" s="248">
        <f t="shared" si="137"/>
        <v>0</v>
      </c>
      <c r="J1253" s="191">
        <v>60</v>
      </c>
      <c r="K1253" s="247">
        <v>60</v>
      </c>
      <c r="L1253" s="287">
        <f t="shared" si="138"/>
        <v>0</v>
      </c>
    </row>
    <row r="1254" spans="1:12" x14ac:dyDescent="0.2">
      <c r="A1254" s="189" t="s">
        <v>571</v>
      </c>
      <c r="B1254" s="189"/>
      <c r="C1254" s="189" t="s">
        <v>609</v>
      </c>
      <c r="D1254" s="189" t="s">
        <v>609</v>
      </c>
      <c r="E1254" s="189" t="s">
        <v>577</v>
      </c>
      <c r="F1254" s="189" t="s">
        <v>522</v>
      </c>
      <c r="G1254" s="247">
        <v>60</v>
      </c>
      <c r="H1254" s="247">
        <v>60</v>
      </c>
      <c r="I1254" s="248">
        <f t="shared" si="137"/>
        <v>0</v>
      </c>
      <c r="J1254" s="191">
        <v>60</v>
      </c>
      <c r="K1254" s="247">
        <v>60</v>
      </c>
      <c r="L1254" s="287">
        <f t="shared" si="138"/>
        <v>0</v>
      </c>
    </row>
    <row r="1255" spans="1:12" ht="36" x14ac:dyDescent="0.2">
      <c r="A1255" s="189" t="s">
        <v>588</v>
      </c>
      <c r="B1255" s="189"/>
      <c r="C1255" s="189" t="s">
        <v>609</v>
      </c>
      <c r="D1255" s="189" t="s">
        <v>609</v>
      </c>
      <c r="E1255" s="189" t="s">
        <v>587</v>
      </c>
      <c r="F1255" s="189"/>
      <c r="G1255" s="247">
        <v>71177.7</v>
      </c>
      <c r="H1255" s="247">
        <v>71177.7</v>
      </c>
      <c r="I1255" s="248">
        <f t="shared" si="137"/>
        <v>0</v>
      </c>
      <c r="J1255" s="191">
        <v>71177.7</v>
      </c>
      <c r="K1255" s="247">
        <v>71177.7</v>
      </c>
      <c r="L1255" s="287">
        <f t="shared" si="138"/>
        <v>0</v>
      </c>
    </row>
    <row r="1256" spans="1:12" x14ac:dyDescent="0.2">
      <c r="A1256" s="189" t="s">
        <v>586</v>
      </c>
      <c r="B1256" s="189"/>
      <c r="C1256" s="189" t="s">
        <v>609</v>
      </c>
      <c r="D1256" s="189" t="s">
        <v>609</v>
      </c>
      <c r="E1256" s="189" t="s">
        <v>585</v>
      </c>
      <c r="F1256" s="189"/>
      <c r="G1256" s="247">
        <v>71177.7</v>
      </c>
      <c r="H1256" s="247">
        <v>71177.7</v>
      </c>
      <c r="I1256" s="248">
        <f t="shared" si="137"/>
        <v>0</v>
      </c>
      <c r="J1256" s="191">
        <v>71177.7</v>
      </c>
      <c r="K1256" s="247">
        <v>71177.7</v>
      </c>
      <c r="L1256" s="287">
        <f t="shared" si="138"/>
        <v>0</v>
      </c>
    </row>
    <row r="1257" spans="1:12" ht="48" x14ac:dyDescent="0.2">
      <c r="A1257" s="189" t="s">
        <v>584</v>
      </c>
      <c r="B1257" s="189"/>
      <c r="C1257" s="189" t="s">
        <v>609</v>
      </c>
      <c r="D1257" s="189" t="s">
        <v>609</v>
      </c>
      <c r="E1257" s="189" t="s">
        <v>583</v>
      </c>
      <c r="F1257" s="189"/>
      <c r="G1257" s="247">
        <v>71177.7</v>
      </c>
      <c r="H1257" s="247">
        <v>71177.7</v>
      </c>
      <c r="I1257" s="248">
        <f t="shared" si="137"/>
        <v>0</v>
      </c>
      <c r="J1257" s="191">
        <v>71177.7</v>
      </c>
      <c r="K1257" s="247">
        <v>71177.7</v>
      </c>
      <c r="L1257" s="287">
        <f t="shared" si="138"/>
        <v>0</v>
      </c>
    </row>
    <row r="1258" spans="1:12" ht="24" x14ac:dyDescent="0.2">
      <c r="A1258" s="189" t="s">
        <v>582</v>
      </c>
      <c r="B1258" s="189"/>
      <c r="C1258" s="189" t="s">
        <v>609</v>
      </c>
      <c r="D1258" s="189" t="s">
        <v>609</v>
      </c>
      <c r="E1258" s="189" t="s">
        <v>581</v>
      </c>
      <c r="F1258" s="189"/>
      <c r="G1258" s="247">
        <v>2172.9</v>
      </c>
      <c r="H1258" s="247">
        <v>2172.9</v>
      </c>
      <c r="I1258" s="248">
        <f t="shared" si="137"/>
        <v>0</v>
      </c>
      <c r="J1258" s="191">
        <v>2172.9</v>
      </c>
      <c r="K1258" s="247">
        <v>2172.9</v>
      </c>
      <c r="L1258" s="287">
        <f t="shared" si="138"/>
        <v>0</v>
      </c>
    </row>
    <row r="1259" spans="1:12" ht="24" x14ac:dyDescent="0.2">
      <c r="A1259" s="189" t="s">
        <v>1347</v>
      </c>
      <c r="B1259" s="189"/>
      <c r="C1259" s="189" t="s">
        <v>609</v>
      </c>
      <c r="D1259" s="189" t="s">
        <v>609</v>
      </c>
      <c r="E1259" s="189" t="s">
        <v>581</v>
      </c>
      <c r="F1259" s="189" t="s">
        <v>535</v>
      </c>
      <c r="G1259" s="247">
        <v>1592.9</v>
      </c>
      <c r="H1259" s="247">
        <v>1592.9</v>
      </c>
      <c r="I1259" s="248">
        <f t="shared" si="137"/>
        <v>0</v>
      </c>
      <c r="J1259" s="191">
        <v>1592.9</v>
      </c>
      <c r="K1259" s="247">
        <v>1592.9</v>
      </c>
      <c r="L1259" s="287">
        <f t="shared" si="138"/>
        <v>0</v>
      </c>
    </row>
    <row r="1260" spans="1:12" ht="24" x14ac:dyDescent="0.2">
      <c r="A1260" s="189" t="s">
        <v>534</v>
      </c>
      <c r="B1260" s="189"/>
      <c r="C1260" s="189" t="s">
        <v>609</v>
      </c>
      <c r="D1260" s="189" t="s">
        <v>609</v>
      </c>
      <c r="E1260" s="189" t="s">
        <v>581</v>
      </c>
      <c r="F1260" s="189" t="s">
        <v>529</v>
      </c>
      <c r="G1260" s="247">
        <v>1592.9</v>
      </c>
      <c r="H1260" s="247">
        <v>1592.9</v>
      </c>
      <c r="I1260" s="248">
        <f t="shared" si="137"/>
        <v>0</v>
      </c>
      <c r="J1260" s="191">
        <v>1592.9</v>
      </c>
      <c r="K1260" s="247">
        <v>1592.9</v>
      </c>
      <c r="L1260" s="287">
        <f t="shared" si="138"/>
        <v>0</v>
      </c>
    </row>
    <row r="1261" spans="1:12" ht="24" x14ac:dyDescent="0.2">
      <c r="A1261" s="189" t="s">
        <v>547</v>
      </c>
      <c r="B1261" s="189"/>
      <c r="C1261" s="189" t="s">
        <v>609</v>
      </c>
      <c r="D1261" s="189" t="s">
        <v>609</v>
      </c>
      <c r="E1261" s="189" t="s">
        <v>581</v>
      </c>
      <c r="F1261" s="189" t="s">
        <v>519</v>
      </c>
      <c r="G1261" s="247">
        <v>580</v>
      </c>
      <c r="H1261" s="247">
        <v>580</v>
      </c>
      <c r="I1261" s="248">
        <f t="shared" si="137"/>
        <v>0</v>
      </c>
      <c r="J1261" s="191">
        <v>580</v>
      </c>
      <c r="K1261" s="247">
        <v>580</v>
      </c>
      <c r="L1261" s="287">
        <f t="shared" si="138"/>
        <v>0</v>
      </c>
    </row>
    <row r="1262" spans="1:12" x14ac:dyDescent="0.2">
      <c r="A1262" s="189" t="s">
        <v>571</v>
      </c>
      <c r="B1262" s="189"/>
      <c r="C1262" s="189" t="s">
        <v>609</v>
      </c>
      <c r="D1262" s="189" t="s">
        <v>609</v>
      </c>
      <c r="E1262" s="189" t="s">
        <v>581</v>
      </c>
      <c r="F1262" s="189" t="s">
        <v>522</v>
      </c>
      <c r="G1262" s="247">
        <v>500</v>
      </c>
      <c r="H1262" s="247">
        <v>500</v>
      </c>
      <c r="I1262" s="248">
        <f t="shared" si="137"/>
        <v>0</v>
      </c>
      <c r="J1262" s="191">
        <v>500</v>
      </c>
      <c r="K1262" s="247">
        <v>500</v>
      </c>
      <c r="L1262" s="287">
        <f t="shared" si="138"/>
        <v>0</v>
      </c>
    </row>
    <row r="1263" spans="1:12" x14ac:dyDescent="0.2">
      <c r="A1263" s="189" t="s">
        <v>546</v>
      </c>
      <c r="B1263" s="189"/>
      <c r="C1263" s="189" t="s">
        <v>609</v>
      </c>
      <c r="D1263" s="189" t="s">
        <v>609</v>
      </c>
      <c r="E1263" s="189" t="s">
        <v>581</v>
      </c>
      <c r="F1263" s="189" t="s">
        <v>544</v>
      </c>
      <c r="G1263" s="247">
        <v>80</v>
      </c>
      <c r="H1263" s="247">
        <v>80</v>
      </c>
      <c r="I1263" s="248">
        <f t="shared" si="137"/>
        <v>0</v>
      </c>
      <c r="J1263" s="191">
        <v>80</v>
      </c>
      <c r="K1263" s="247">
        <v>80</v>
      </c>
      <c r="L1263" s="287">
        <f t="shared" si="138"/>
        <v>0</v>
      </c>
    </row>
    <row r="1264" spans="1:12" ht="24" x14ac:dyDescent="0.2">
      <c r="A1264" s="189" t="s">
        <v>611</v>
      </c>
      <c r="B1264" s="189"/>
      <c r="C1264" s="189" t="s">
        <v>609</v>
      </c>
      <c r="D1264" s="189" t="s">
        <v>609</v>
      </c>
      <c r="E1264" s="189" t="s">
        <v>608</v>
      </c>
      <c r="F1264" s="189"/>
      <c r="G1264" s="247">
        <v>69004.800000000003</v>
      </c>
      <c r="H1264" s="247">
        <v>69004.800000000003</v>
      </c>
      <c r="I1264" s="248">
        <f t="shared" si="137"/>
        <v>0</v>
      </c>
      <c r="J1264" s="191">
        <v>69004.800000000003</v>
      </c>
      <c r="K1264" s="247">
        <v>69004.800000000003</v>
      </c>
      <c r="L1264" s="287">
        <f t="shared" si="138"/>
        <v>0</v>
      </c>
    </row>
    <row r="1265" spans="1:12" ht="24" x14ac:dyDescent="0.2">
      <c r="A1265" s="189" t="s">
        <v>547</v>
      </c>
      <c r="B1265" s="189"/>
      <c r="C1265" s="189" t="s">
        <v>609</v>
      </c>
      <c r="D1265" s="189" t="s">
        <v>609</v>
      </c>
      <c r="E1265" s="189" t="s">
        <v>608</v>
      </c>
      <c r="F1265" s="189" t="s">
        <v>519</v>
      </c>
      <c r="G1265" s="247">
        <v>69004.800000000003</v>
      </c>
      <c r="H1265" s="247">
        <v>69004.800000000003</v>
      </c>
      <c r="I1265" s="248">
        <f t="shared" si="137"/>
        <v>0</v>
      </c>
      <c r="J1265" s="191">
        <v>69004.800000000003</v>
      </c>
      <c r="K1265" s="247">
        <v>69004.800000000003</v>
      </c>
      <c r="L1265" s="287">
        <f t="shared" si="138"/>
        <v>0</v>
      </c>
    </row>
    <row r="1266" spans="1:12" x14ac:dyDescent="0.2">
      <c r="A1266" s="189" t="s">
        <v>571</v>
      </c>
      <c r="B1266" s="189"/>
      <c r="C1266" s="189" t="s">
        <v>609</v>
      </c>
      <c r="D1266" s="189" t="s">
        <v>609</v>
      </c>
      <c r="E1266" s="189" t="s">
        <v>608</v>
      </c>
      <c r="F1266" s="189" t="s">
        <v>522</v>
      </c>
      <c r="G1266" s="247">
        <v>44527.9</v>
      </c>
      <c r="H1266" s="247">
        <v>44527.9</v>
      </c>
      <c r="I1266" s="248">
        <f t="shared" si="137"/>
        <v>0</v>
      </c>
      <c r="J1266" s="191">
        <v>44527.9</v>
      </c>
      <c r="K1266" s="247">
        <v>44527.9</v>
      </c>
      <c r="L1266" s="287">
        <f t="shared" si="138"/>
        <v>0</v>
      </c>
    </row>
    <row r="1267" spans="1:12" x14ac:dyDescent="0.2">
      <c r="A1267" s="189" t="s">
        <v>546</v>
      </c>
      <c r="B1267" s="189"/>
      <c r="C1267" s="189" t="s">
        <v>609</v>
      </c>
      <c r="D1267" s="189" t="s">
        <v>609</v>
      </c>
      <c r="E1267" s="189" t="s">
        <v>608</v>
      </c>
      <c r="F1267" s="189" t="s">
        <v>544</v>
      </c>
      <c r="G1267" s="247">
        <v>24476.9</v>
      </c>
      <c r="H1267" s="247">
        <v>24476.9</v>
      </c>
      <c r="I1267" s="248">
        <f t="shared" si="137"/>
        <v>0</v>
      </c>
      <c r="J1267" s="191">
        <v>24476.9</v>
      </c>
      <c r="K1267" s="247">
        <v>24476.9</v>
      </c>
      <c r="L1267" s="287">
        <f t="shared" si="138"/>
        <v>0</v>
      </c>
    </row>
    <row r="1268" spans="1:12" ht="24" x14ac:dyDescent="0.2">
      <c r="A1268" s="181" t="s">
        <v>607</v>
      </c>
      <c r="B1268" s="181" t="s">
        <v>533</v>
      </c>
      <c r="C1268" s="181"/>
      <c r="D1268" s="181"/>
      <c r="E1268" s="181"/>
      <c r="F1268" s="181"/>
      <c r="G1268" s="243">
        <f>G1269+G1282+G1291</f>
        <v>436372.7</v>
      </c>
      <c r="H1268" s="243">
        <f>H1269+H1282+H1291</f>
        <v>436372.7</v>
      </c>
      <c r="I1268" s="244">
        <f t="shared" si="137"/>
        <v>0</v>
      </c>
      <c r="J1268" s="183">
        <f>J1269+J1282+J1291</f>
        <v>436872.7</v>
      </c>
      <c r="K1268" s="243">
        <f>K1269+K1282+K1291</f>
        <v>436872.7</v>
      </c>
      <c r="L1268" s="288">
        <f t="shared" si="138"/>
        <v>0</v>
      </c>
    </row>
    <row r="1269" spans="1:12" s="78" customFormat="1" x14ac:dyDescent="0.2">
      <c r="A1269" s="185" t="s">
        <v>606</v>
      </c>
      <c r="B1269" s="185"/>
      <c r="C1269" s="185" t="s">
        <v>498</v>
      </c>
      <c r="D1269" s="185"/>
      <c r="E1269" s="185"/>
      <c r="F1269" s="185"/>
      <c r="G1269" s="245">
        <v>849.3</v>
      </c>
      <c r="H1269" s="245">
        <v>849.3</v>
      </c>
      <c r="I1269" s="246">
        <f t="shared" si="137"/>
        <v>0</v>
      </c>
      <c r="J1269" s="187">
        <v>1349.3</v>
      </c>
      <c r="K1269" s="245">
        <v>1349.3</v>
      </c>
      <c r="L1269" s="286">
        <f t="shared" si="138"/>
        <v>0</v>
      </c>
    </row>
    <row r="1270" spans="1:12" ht="36" x14ac:dyDescent="0.2">
      <c r="A1270" s="189" t="s">
        <v>605</v>
      </c>
      <c r="B1270" s="189"/>
      <c r="C1270" s="189" t="s">
        <v>498</v>
      </c>
      <c r="D1270" s="189" t="s">
        <v>507</v>
      </c>
      <c r="E1270" s="189"/>
      <c r="F1270" s="189"/>
      <c r="G1270" s="247">
        <v>849.3</v>
      </c>
      <c r="H1270" s="247">
        <v>849.3</v>
      </c>
      <c r="I1270" s="248">
        <f t="shared" si="137"/>
        <v>0</v>
      </c>
      <c r="J1270" s="191">
        <v>849.3</v>
      </c>
      <c r="K1270" s="247">
        <v>849.3</v>
      </c>
      <c r="L1270" s="287">
        <f t="shared" si="138"/>
        <v>0</v>
      </c>
    </row>
    <row r="1271" spans="1:12" ht="24" x14ac:dyDescent="0.2">
      <c r="A1271" s="189" t="s">
        <v>604</v>
      </c>
      <c r="B1271" s="189"/>
      <c r="C1271" s="189" t="s">
        <v>498</v>
      </c>
      <c r="D1271" s="189" t="s">
        <v>507</v>
      </c>
      <c r="E1271" s="189" t="s">
        <v>603</v>
      </c>
      <c r="F1271" s="189"/>
      <c r="G1271" s="247">
        <v>849.3</v>
      </c>
      <c r="H1271" s="247">
        <v>849.3</v>
      </c>
      <c r="I1271" s="248">
        <f t="shared" si="137"/>
        <v>0</v>
      </c>
      <c r="J1271" s="191">
        <v>849.3</v>
      </c>
      <c r="K1271" s="247">
        <v>849.3</v>
      </c>
      <c r="L1271" s="287">
        <f t="shared" si="138"/>
        <v>0</v>
      </c>
    </row>
    <row r="1272" spans="1:12" x14ac:dyDescent="0.2">
      <c r="A1272" s="189" t="s">
        <v>602</v>
      </c>
      <c r="B1272" s="189"/>
      <c r="C1272" s="189" t="s">
        <v>498</v>
      </c>
      <c r="D1272" s="189" t="s">
        <v>507</v>
      </c>
      <c r="E1272" s="189" t="s">
        <v>601</v>
      </c>
      <c r="F1272" s="189"/>
      <c r="G1272" s="247">
        <v>849.3</v>
      </c>
      <c r="H1272" s="247">
        <v>849.3</v>
      </c>
      <c r="I1272" s="248">
        <f t="shared" si="137"/>
        <v>0</v>
      </c>
      <c r="J1272" s="191">
        <v>849.3</v>
      </c>
      <c r="K1272" s="247">
        <v>849.3</v>
      </c>
      <c r="L1272" s="287">
        <f t="shared" si="138"/>
        <v>0</v>
      </c>
    </row>
    <row r="1273" spans="1:12" ht="24" x14ac:dyDescent="0.2">
      <c r="A1273" s="189" t="s">
        <v>600</v>
      </c>
      <c r="B1273" s="189"/>
      <c r="C1273" s="189" t="s">
        <v>498</v>
      </c>
      <c r="D1273" s="189" t="s">
        <v>507</v>
      </c>
      <c r="E1273" s="189" t="s">
        <v>599</v>
      </c>
      <c r="F1273" s="189"/>
      <c r="G1273" s="247">
        <v>849.3</v>
      </c>
      <c r="H1273" s="247">
        <v>849.3</v>
      </c>
      <c r="I1273" s="248">
        <f t="shared" si="137"/>
        <v>0</v>
      </c>
      <c r="J1273" s="191">
        <v>849.3</v>
      </c>
      <c r="K1273" s="247">
        <v>849.3</v>
      </c>
      <c r="L1273" s="287">
        <f t="shared" si="138"/>
        <v>0</v>
      </c>
    </row>
    <row r="1274" spans="1:12" x14ac:dyDescent="0.2">
      <c r="A1274" s="189" t="s">
        <v>598</v>
      </c>
      <c r="B1274" s="189"/>
      <c r="C1274" s="189" t="s">
        <v>498</v>
      </c>
      <c r="D1274" s="189" t="s">
        <v>507</v>
      </c>
      <c r="E1274" s="189" t="s">
        <v>597</v>
      </c>
      <c r="F1274" s="189"/>
      <c r="G1274" s="247">
        <v>849.3</v>
      </c>
      <c r="H1274" s="247">
        <v>849.3</v>
      </c>
      <c r="I1274" s="248">
        <f t="shared" si="137"/>
        <v>0</v>
      </c>
      <c r="J1274" s="191">
        <v>849.3</v>
      </c>
      <c r="K1274" s="247">
        <v>849.3</v>
      </c>
      <c r="L1274" s="287">
        <f t="shared" si="138"/>
        <v>0</v>
      </c>
    </row>
    <row r="1275" spans="1:12" ht="24" x14ac:dyDescent="0.2">
      <c r="A1275" s="189" t="s">
        <v>1347</v>
      </c>
      <c r="B1275" s="189"/>
      <c r="C1275" s="189" t="s">
        <v>498</v>
      </c>
      <c r="D1275" s="189" t="s">
        <v>507</v>
      </c>
      <c r="E1275" s="189" t="s">
        <v>597</v>
      </c>
      <c r="F1275" s="189" t="s">
        <v>535</v>
      </c>
      <c r="G1275" s="247">
        <v>849.3</v>
      </c>
      <c r="H1275" s="247">
        <v>849.3</v>
      </c>
      <c r="I1275" s="248">
        <f t="shared" si="137"/>
        <v>0</v>
      </c>
      <c r="J1275" s="191">
        <v>849.3</v>
      </c>
      <c r="K1275" s="247">
        <v>849.3</v>
      </c>
      <c r="L1275" s="287">
        <f t="shared" si="138"/>
        <v>0</v>
      </c>
    </row>
    <row r="1276" spans="1:12" ht="24" x14ac:dyDescent="0.2">
      <c r="A1276" s="189" t="s">
        <v>534</v>
      </c>
      <c r="B1276" s="189"/>
      <c r="C1276" s="189" t="s">
        <v>498</v>
      </c>
      <c r="D1276" s="189" t="s">
        <v>507</v>
      </c>
      <c r="E1276" s="189" t="s">
        <v>597</v>
      </c>
      <c r="F1276" s="189" t="s">
        <v>529</v>
      </c>
      <c r="G1276" s="247">
        <v>849.3</v>
      </c>
      <c r="H1276" s="247">
        <v>849.3</v>
      </c>
      <c r="I1276" s="248">
        <f t="shared" si="137"/>
        <v>0</v>
      </c>
      <c r="J1276" s="191">
        <v>849.3</v>
      </c>
      <c r="K1276" s="247">
        <v>849.3</v>
      </c>
      <c r="L1276" s="287">
        <f t="shared" si="138"/>
        <v>0</v>
      </c>
    </row>
    <row r="1277" spans="1:12" x14ac:dyDescent="0.2">
      <c r="A1277" s="189" t="s">
        <v>596</v>
      </c>
      <c r="B1277" s="189"/>
      <c r="C1277" s="189" t="s">
        <v>498</v>
      </c>
      <c r="D1277" s="189" t="s">
        <v>592</v>
      </c>
      <c r="E1277" s="189"/>
      <c r="F1277" s="189"/>
      <c r="G1277" s="247">
        <v>0</v>
      </c>
      <c r="H1277" s="247">
        <v>0</v>
      </c>
      <c r="I1277" s="248">
        <f t="shared" si="137"/>
        <v>0</v>
      </c>
      <c r="J1277" s="191">
        <v>500</v>
      </c>
      <c r="K1277" s="247">
        <v>500</v>
      </c>
      <c r="L1277" s="287">
        <f t="shared" si="138"/>
        <v>0</v>
      </c>
    </row>
    <row r="1278" spans="1:12" x14ac:dyDescent="0.2">
      <c r="A1278" s="189" t="s">
        <v>595</v>
      </c>
      <c r="B1278" s="189"/>
      <c r="C1278" s="189" t="s">
        <v>498</v>
      </c>
      <c r="D1278" s="189" t="s">
        <v>592</v>
      </c>
      <c r="E1278" s="189" t="s">
        <v>594</v>
      </c>
      <c r="F1278" s="189"/>
      <c r="G1278" s="247">
        <v>0</v>
      </c>
      <c r="H1278" s="247">
        <v>0</v>
      </c>
      <c r="I1278" s="248">
        <f t="shared" si="137"/>
        <v>0</v>
      </c>
      <c r="J1278" s="191">
        <v>500</v>
      </c>
      <c r="K1278" s="247">
        <v>500</v>
      </c>
      <c r="L1278" s="287">
        <f t="shared" si="138"/>
        <v>0</v>
      </c>
    </row>
    <row r="1279" spans="1:12" ht="24" x14ac:dyDescent="0.2">
      <c r="A1279" s="189" t="s">
        <v>593</v>
      </c>
      <c r="B1279" s="189"/>
      <c r="C1279" s="189" t="s">
        <v>498</v>
      </c>
      <c r="D1279" s="189" t="s">
        <v>592</v>
      </c>
      <c r="E1279" s="189" t="s">
        <v>591</v>
      </c>
      <c r="F1279" s="189"/>
      <c r="G1279" s="247">
        <v>0</v>
      </c>
      <c r="H1279" s="247">
        <v>0</v>
      </c>
      <c r="I1279" s="248">
        <f t="shared" si="137"/>
        <v>0</v>
      </c>
      <c r="J1279" s="191">
        <v>500</v>
      </c>
      <c r="K1279" s="247">
        <v>500</v>
      </c>
      <c r="L1279" s="287">
        <f t="shared" si="138"/>
        <v>0</v>
      </c>
    </row>
    <row r="1280" spans="1:12" ht="24" x14ac:dyDescent="0.2">
      <c r="A1280" s="189" t="s">
        <v>1347</v>
      </c>
      <c r="B1280" s="189"/>
      <c r="C1280" s="189" t="s">
        <v>498</v>
      </c>
      <c r="D1280" s="189" t="s">
        <v>592</v>
      </c>
      <c r="E1280" s="189" t="s">
        <v>591</v>
      </c>
      <c r="F1280" s="189" t="s">
        <v>535</v>
      </c>
      <c r="G1280" s="247">
        <v>0</v>
      </c>
      <c r="H1280" s="247">
        <v>0</v>
      </c>
      <c r="I1280" s="248">
        <f t="shared" si="137"/>
        <v>0</v>
      </c>
      <c r="J1280" s="191">
        <v>500</v>
      </c>
      <c r="K1280" s="247">
        <v>500</v>
      </c>
      <c r="L1280" s="287">
        <f t="shared" si="138"/>
        <v>0</v>
      </c>
    </row>
    <row r="1281" spans="1:12" ht="24" x14ac:dyDescent="0.2">
      <c r="A1281" s="189" t="s">
        <v>534</v>
      </c>
      <c r="B1281" s="189"/>
      <c r="C1281" s="189" t="s">
        <v>498</v>
      </c>
      <c r="D1281" s="189" t="s">
        <v>592</v>
      </c>
      <c r="E1281" s="189" t="s">
        <v>591</v>
      </c>
      <c r="F1281" s="189" t="s">
        <v>529</v>
      </c>
      <c r="G1281" s="247">
        <v>0</v>
      </c>
      <c r="H1281" s="247">
        <v>0</v>
      </c>
      <c r="I1281" s="248">
        <f t="shared" si="137"/>
        <v>0</v>
      </c>
      <c r="J1281" s="191">
        <v>500</v>
      </c>
      <c r="K1281" s="247">
        <v>500</v>
      </c>
      <c r="L1281" s="287">
        <f t="shared" si="138"/>
        <v>0</v>
      </c>
    </row>
    <row r="1282" spans="1:12" s="78" customFormat="1" x14ac:dyDescent="0.2">
      <c r="A1282" s="185" t="s">
        <v>590</v>
      </c>
      <c r="B1282" s="185"/>
      <c r="C1282" s="185" t="s">
        <v>507</v>
      </c>
      <c r="D1282" s="185"/>
      <c r="E1282" s="185"/>
      <c r="F1282" s="185"/>
      <c r="G1282" s="245">
        <v>508.4</v>
      </c>
      <c r="H1282" s="245">
        <v>508.4</v>
      </c>
      <c r="I1282" s="246">
        <f t="shared" si="137"/>
        <v>0</v>
      </c>
      <c r="J1282" s="187">
        <v>508.4</v>
      </c>
      <c r="K1282" s="245">
        <v>508.4</v>
      </c>
      <c r="L1282" s="286">
        <f t="shared" si="138"/>
        <v>0</v>
      </c>
    </row>
    <row r="1283" spans="1:12" x14ac:dyDescent="0.2">
      <c r="A1283" s="189" t="s">
        <v>589</v>
      </c>
      <c r="B1283" s="189"/>
      <c r="C1283" s="189" t="s">
        <v>507</v>
      </c>
      <c r="D1283" s="189" t="s">
        <v>498</v>
      </c>
      <c r="E1283" s="189"/>
      <c r="F1283" s="189"/>
      <c r="G1283" s="247">
        <v>508.4</v>
      </c>
      <c r="H1283" s="247">
        <v>508.4</v>
      </c>
      <c r="I1283" s="248">
        <f t="shared" si="137"/>
        <v>0</v>
      </c>
      <c r="J1283" s="191">
        <v>508.4</v>
      </c>
      <c r="K1283" s="247">
        <v>508.4</v>
      </c>
      <c r="L1283" s="287">
        <f t="shared" si="138"/>
        <v>0</v>
      </c>
    </row>
    <row r="1284" spans="1:12" ht="36" x14ac:dyDescent="0.2">
      <c r="A1284" s="189" t="s">
        <v>588</v>
      </c>
      <c r="B1284" s="189"/>
      <c r="C1284" s="189" t="s">
        <v>507</v>
      </c>
      <c r="D1284" s="189" t="s">
        <v>498</v>
      </c>
      <c r="E1284" s="189" t="s">
        <v>587</v>
      </c>
      <c r="F1284" s="189"/>
      <c r="G1284" s="247">
        <v>508.4</v>
      </c>
      <c r="H1284" s="247">
        <v>508.4</v>
      </c>
      <c r="I1284" s="248">
        <f t="shared" si="137"/>
        <v>0</v>
      </c>
      <c r="J1284" s="191">
        <v>508.4</v>
      </c>
      <c r="K1284" s="247">
        <v>508.4</v>
      </c>
      <c r="L1284" s="287">
        <f t="shared" si="138"/>
        <v>0</v>
      </c>
    </row>
    <row r="1285" spans="1:12" x14ac:dyDescent="0.2">
      <c r="A1285" s="189" t="s">
        <v>586</v>
      </c>
      <c r="B1285" s="189"/>
      <c r="C1285" s="189" t="s">
        <v>507</v>
      </c>
      <c r="D1285" s="189" t="s">
        <v>498</v>
      </c>
      <c r="E1285" s="189" t="s">
        <v>585</v>
      </c>
      <c r="F1285" s="189"/>
      <c r="G1285" s="247">
        <v>508.4</v>
      </c>
      <c r="H1285" s="247">
        <v>508.4</v>
      </c>
      <c r="I1285" s="248">
        <f t="shared" si="137"/>
        <v>0</v>
      </c>
      <c r="J1285" s="191">
        <v>508.4</v>
      </c>
      <c r="K1285" s="247">
        <v>508.4</v>
      </c>
      <c r="L1285" s="287">
        <f t="shared" si="138"/>
        <v>0</v>
      </c>
    </row>
    <row r="1286" spans="1:12" ht="48" x14ac:dyDescent="0.2">
      <c r="A1286" s="189" t="s">
        <v>584</v>
      </c>
      <c r="B1286" s="189"/>
      <c r="C1286" s="189" t="s">
        <v>507</v>
      </c>
      <c r="D1286" s="189" t="s">
        <v>498</v>
      </c>
      <c r="E1286" s="189" t="s">
        <v>583</v>
      </c>
      <c r="F1286" s="189"/>
      <c r="G1286" s="247">
        <v>508.4</v>
      </c>
      <c r="H1286" s="247">
        <v>508.4</v>
      </c>
      <c r="I1286" s="248">
        <f t="shared" si="137"/>
        <v>0</v>
      </c>
      <c r="J1286" s="191">
        <v>508.4</v>
      </c>
      <c r="K1286" s="247">
        <v>508.4</v>
      </c>
      <c r="L1286" s="287">
        <f t="shared" si="138"/>
        <v>0</v>
      </c>
    </row>
    <row r="1287" spans="1:12" ht="24" x14ac:dyDescent="0.2">
      <c r="A1287" s="189" t="s">
        <v>582</v>
      </c>
      <c r="B1287" s="189"/>
      <c r="C1287" s="189" t="s">
        <v>507</v>
      </c>
      <c r="D1287" s="189" t="s">
        <v>498</v>
      </c>
      <c r="E1287" s="189" t="s">
        <v>581</v>
      </c>
      <c r="F1287" s="189"/>
      <c r="G1287" s="247">
        <v>508.4</v>
      </c>
      <c r="H1287" s="247">
        <v>508.4</v>
      </c>
      <c r="I1287" s="248">
        <f t="shared" ref="I1287:I1338" si="139">H1287-G1287</f>
        <v>0</v>
      </c>
      <c r="J1287" s="191">
        <v>508.4</v>
      </c>
      <c r="K1287" s="247">
        <v>508.4</v>
      </c>
      <c r="L1287" s="287">
        <f t="shared" ref="L1287:L1338" si="140">K1287-J1287</f>
        <v>0</v>
      </c>
    </row>
    <row r="1288" spans="1:12" ht="24" x14ac:dyDescent="0.2">
      <c r="A1288" s="189" t="s">
        <v>547</v>
      </c>
      <c r="B1288" s="189"/>
      <c r="C1288" s="189" t="s">
        <v>507</v>
      </c>
      <c r="D1288" s="189" t="s">
        <v>498</v>
      </c>
      <c r="E1288" s="189" t="s">
        <v>581</v>
      </c>
      <c r="F1288" s="189" t="s">
        <v>519</v>
      </c>
      <c r="G1288" s="247">
        <v>508.4</v>
      </c>
      <c r="H1288" s="247">
        <v>508.4</v>
      </c>
      <c r="I1288" s="248">
        <f t="shared" si="139"/>
        <v>0</v>
      </c>
      <c r="J1288" s="191">
        <v>508.4</v>
      </c>
      <c r="K1288" s="247">
        <v>508.4</v>
      </c>
      <c r="L1288" s="287">
        <f t="shared" si="140"/>
        <v>0</v>
      </c>
    </row>
    <row r="1289" spans="1:12" x14ac:dyDescent="0.2">
      <c r="A1289" s="189" t="s">
        <v>571</v>
      </c>
      <c r="B1289" s="189"/>
      <c r="C1289" s="189" t="s">
        <v>507</v>
      </c>
      <c r="D1289" s="189" t="s">
        <v>498</v>
      </c>
      <c r="E1289" s="189" t="s">
        <v>581</v>
      </c>
      <c r="F1289" s="189" t="s">
        <v>522</v>
      </c>
      <c r="G1289" s="247">
        <v>138.69999999999999</v>
      </c>
      <c r="H1289" s="247">
        <v>138.69999999999999</v>
      </c>
      <c r="I1289" s="248">
        <f t="shared" si="139"/>
        <v>0</v>
      </c>
      <c r="J1289" s="191">
        <v>138.69999999999999</v>
      </c>
      <c r="K1289" s="247">
        <v>138.69999999999999</v>
      </c>
      <c r="L1289" s="287">
        <f t="shared" si="140"/>
        <v>0</v>
      </c>
    </row>
    <row r="1290" spans="1:12" x14ac:dyDescent="0.2">
      <c r="A1290" s="189" t="s">
        <v>546</v>
      </c>
      <c r="B1290" s="189"/>
      <c r="C1290" s="189" t="s">
        <v>507</v>
      </c>
      <c r="D1290" s="189" t="s">
        <v>498</v>
      </c>
      <c r="E1290" s="189" t="s">
        <v>581</v>
      </c>
      <c r="F1290" s="189" t="s">
        <v>544</v>
      </c>
      <c r="G1290" s="247">
        <v>369.7</v>
      </c>
      <c r="H1290" s="247">
        <v>369.7</v>
      </c>
      <c r="I1290" s="248">
        <f t="shared" si="139"/>
        <v>0</v>
      </c>
      <c r="J1290" s="191">
        <v>369.7</v>
      </c>
      <c r="K1290" s="247">
        <v>369.7</v>
      </c>
      <c r="L1290" s="287">
        <f t="shared" si="140"/>
        <v>0</v>
      </c>
    </row>
    <row r="1291" spans="1:12" s="78" customFormat="1" x14ac:dyDescent="0.2">
      <c r="A1291" s="185" t="s">
        <v>580</v>
      </c>
      <c r="B1291" s="185"/>
      <c r="C1291" s="185" t="s">
        <v>532</v>
      </c>
      <c r="D1291" s="185"/>
      <c r="E1291" s="185"/>
      <c r="F1291" s="185"/>
      <c r="G1291" s="245">
        <v>435015</v>
      </c>
      <c r="H1291" s="245">
        <v>435015</v>
      </c>
      <c r="I1291" s="246">
        <f t="shared" si="139"/>
        <v>0</v>
      </c>
      <c r="J1291" s="187">
        <v>435015</v>
      </c>
      <c r="K1291" s="245">
        <v>435015</v>
      </c>
      <c r="L1291" s="286">
        <f t="shared" si="140"/>
        <v>0</v>
      </c>
    </row>
    <row r="1292" spans="1:12" x14ac:dyDescent="0.2">
      <c r="A1292" s="189" t="s">
        <v>579</v>
      </c>
      <c r="B1292" s="189"/>
      <c r="C1292" s="189" t="s">
        <v>532</v>
      </c>
      <c r="D1292" s="189" t="s">
        <v>498</v>
      </c>
      <c r="E1292" s="189"/>
      <c r="F1292" s="189"/>
      <c r="G1292" s="247">
        <v>388535</v>
      </c>
      <c r="H1292" s="247">
        <v>388535</v>
      </c>
      <c r="I1292" s="248">
        <f t="shared" si="139"/>
        <v>0</v>
      </c>
      <c r="J1292" s="191">
        <v>388535</v>
      </c>
      <c r="K1292" s="247">
        <v>388535</v>
      </c>
      <c r="L1292" s="287">
        <f t="shared" si="140"/>
        <v>0</v>
      </c>
    </row>
    <row r="1293" spans="1:12" x14ac:dyDescent="0.2">
      <c r="A1293" s="189" t="s">
        <v>568</v>
      </c>
      <c r="B1293" s="189"/>
      <c r="C1293" s="189" t="s">
        <v>532</v>
      </c>
      <c r="D1293" s="189" t="s">
        <v>498</v>
      </c>
      <c r="E1293" s="189" t="s">
        <v>567</v>
      </c>
      <c r="F1293" s="189"/>
      <c r="G1293" s="247">
        <v>500</v>
      </c>
      <c r="H1293" s="247">
        <v>500</v>
      </c>
      <c r="I1293" s="248">
        <f t="shared" si="139"/>
        <v>0</v>
      </c>
      <c r="J1293" s="191">
        <v>500</v>
      </c>
      <c r="K1293" s="247">
        <v>500</v>
      </c>
      <c r="L1293" s="287">
        <f t="shared" si="140"/>
        <v>0</v>
      </c>
    </row>
    <row r="1294" spans="1:12" x14ac:dyDescent="0.2">
      <c r="A1294" s="189" t="s">
        <v>566</v>
      </c>
      <c r="B1294" s="189"/>
      <c r="C1294" s="189" t="s">
        <v>532</v>
      </c>
      <c r="D1294" s="189" t="s">
        <v>498</v>
      </c>
      <c r="E1294" s="189" t="s">
        <v>565</v>
      </c>
      <c r="F1294" s="189"/>
      <c r="G1294" s="247">
        <v>500</v>
      </c>
      <c r="H1294" s="247">
        <v>500</v>
      </c>
      <c r="I1294" s="248">
        <f t="shared" si="139"/>
        <v>0</v>
      </c>
      <c r="J1294" s="191">
        <v>500</v>
      </c>
      <c r="K1294" s="247">
        <v>500</v>
      </c>
      <c r="L1294" s="287">
        <f t="shared" si="140"/>
        <v>0</v>
      </c>
    </row>
    <row r="1295" spans="1:12" ht="27.75" customHeight="1" x14ac:dyDescent="0.2">
      <c r="A1295" s="189" t="s">
        <v>1387</v>
      </c>
      <c r="B1295" s="189"/>
      <c r="C1295" s="189" t="s">
        <v>532</v>
      </c>
      <c r="D1295" s="189" t="s">
        <v>498</v>
      </c>
      <c r="E1295" s="189" t="s">
        <v>578</v>
      </c>
      <c r="F1295" s="189"/>
      <c r="G1295" s="247">
        <v>500</v>
      </c>
      <c r="H1295" s="247">
        <v>500</v>
      </c>
      <c r="I1295" s="248">
        <f t="shared" si="139"/>
        <v>0</v>
      </c>
      <c r="J1295" s="191">
        <v>500</v>
      </c>
      <c r="K1295" s="247">
        <v>500</v>
      </c>
      <c r="L1295" s="287">
        <f t="shared" si="140"/>
        <v>0</v>
      </c>
    </row>
    <row r="1296" spans="1:12" ht="36" customHeight="1" x14ac:dyDescent="0.2">
      <c r="A1296" s="189" t="s">
        <v>1388</v>
      </c>
      <c r="B1296" s="189"/>
      <c r="C1296" s="189" t="s">
        <v>532</v>
      </c>
      <c r="D1296" s="189" t="s">
        <v>498</v>
      </c>
      <c r="E1296" s="189" t="s">
        <v>577</v>
      </c>
      <c r="F1296" s="189"/>
      <c r="G1296" s="247">
        <v>500</v>
      </c>
      <c r="H1296" s="247">
        <v>500</v>
      </c>
      <c r="I1296" s="248">
        <f t="shared" si="139"/>
        <v>0</v>
      </c>
      <c r="J1296" s="191">
        <v>500</v>
      </c>
      <c r="K1296" s="247">
        <v>500</v>
      </c>
      <c r="L1296" s="287">
        <f t="shared" si="140"/>
        <v>0</v>
      </c>
    </row>
    <row r="1297" spans="1:12" ht="24" x14ac:dyDescent="0.2">
      <c r="A1297" s="189" t="s">
        <v>547</v>
      </c>
      <c r="B1297" s="189"/>
      <c r="C1297" s="189" t="s">
        <v>532</v>
      </c>
      <c r="D1297" s="189" t="s">
        <v>498</v>
      </c>
      <c r="E1297" s="189" t="s">
        <v>577</v>
      </c>
      <c r="F1297" s="189" t="s">
        <v>519</v>
      </c>
      <c r="G1297" s="247">
        <v>500</v>
      </c>
      <c r="H1297" s="247">
        <v>500</v>
      </c>
      <c r="I1297" s="248">
        <f t="shared" si="139"/>
        <v>0</v>
      </c>
      <c r="J1297" s="191">
        <v>500</v>
      </c>
      <c r="K1297" s="247">
        <v>500</v>
      </c>
      <c r="L1297" s="287">
        <f t="shared" si="140"/>
        <v>0</v>
      </c>
    </row>
    <row r="1298" spans="1:12" x14ac:dyDescent="0.2">
      <c r="A1298" s="189" t="s">
        <v>571</v>
      </c>
      <c r="B1298" s="189"/>
      <c r="C1298" s="189" t="s">
        <v>532</v>
      </c>
      <c r="D1298" s="189" t="s">
        <v>498</v>
      </c>
      <c r="E1298" s="189" t="s">
        <v>577</v>
      </c>
      <c r="F1298" s="189" t="s">
        <v>522</v>
      </c>
      <c r="G1298" s="247">
        <v>50</v>
      </c>
      <c r="H1298" s="247">
        <v>50</v>
      </c>
      <c r="I1298" s="248">
        <f t="shared" si="139"/>
        <v>0</v>
      </c>
      <c r="J1298" s="191">
        <v>50</v>
      </c>
      <c r="K1298" s="247">
        <v>50</v>
      </c>
      <c r="L1298" s="287">
        <f t="shared" si="140"/>
        <v>0</v>
      </c>
    </row>
    <row r="1299" spans="1:12" x14ac:dyDescent="0.2">
      <c r="A1299" s="189" t="s">
        <v>546</v>
      </c>
      <c r="B1299" s="189"/>
      <c r="C1299" s="189" t="s">
        <v>532</v>
      </c>
      <c r="D1299" s="189" t="s">
        <v>498</v>
      </c>
      <c r="E1299" s="189" t="s">
        <v>577</v>
      </c>
      <c r="F1299" s="189" t="s">
        <v>544</v>
      </c>
      <c r="G1299" s="247">
        <v>450</v>
      </c>
      <c r="H1299" s="247">
        <v>450</v>
      </c>
      <c r="I1299" s="248">
        <f t="shared" si="139"/>
        <v>0</v>
      </c>
      <c r="J1299" s="191">
        <v>450</v>
      </c>
      <c r="K1299" s="247">
        <v>450</v>
      </c>
      <c r="L1299" s="287">
        <f t="shared" si="140"/>
        <v>0</v>
      </c>
    </row>
    <row r="1300" spans="1:12" x14ac:dyDescent="0.2">
      <c r="A1300" s="189" t="s">
        <v>542</v>
      </c>
      <c r="B1300" s="189"/>
      <c r="C1300" s="189" t="s">
        <v>532</v>
      </c>
      <c r="D1300" s="189" t="s">
        <v>498</v>
      </c>
      <c r="E1300" s="189" t="s">
        <v>541</v>
      </c>
      <c r="F1300" s="189"/>
      <c r="G1300" s="247">
        <v>388035</v>
      </c>
      <c r="H1300" s="247">
        <v>388035</v>
      </c>
      <c r="I1300" s="248">
        <f t="shared" si="139"/>
        <v>0</v>
      </c>
      <c r="J1300" s="191">
        <v>388035</v>
      </c>
      <c r="K1300" s="247">
        <v>388035</v>
      </c>
      <c r="L1300" s="287">
        <f t="shared" si="140"/>
        <v>0</v>
      </c>
    </row>
    <row r="1301" spans="1:12" x14ac:dyDescent="0.2">
      <c r="A1301" s="189" t="s">
        <v>560</v>
      </c>
      <c r="B1301" s="189"/>
      <c r="C1301" s="189" t="s">
        <v>532</v>
      </c>
      <c r="D1301" s="189" t="s">
        <v>498</v>
      </c>
      <c r="E1301" s="189" t="s">
        <v>559</v>
      </c>
      <c r="F1301" s="189"/>
      <c r="G1301" s="247">
        <v>206335</v>
      </c>
      <c r="H1301" s="247">
        <v>206335</v>
      </c>
      <c r="I1301" s="248">
        <f t="shared" si="139"/>
        <v>0</v>
      </c>
      <c r="J1301" s="191">
        <v>206335</v>
      </c>
      <c r="K1301" s="247">
        <v>206335</v>
      </c>
      <c r="L1301" s="287">
        <f t="shared" si="140"/>
        <v>0</v>
      </c>
    </row>
    <row r="1302" spans="1:12" ht="36" x14ac:dyDescent="0.2">
      <c r="A1302" s="189" t="s">
        <v>558</v>
      </c>
      <c r="B1302" s="189"/>
      <c r="C1302" s="189" t="s">
        <v>532</v>
      </c>
      <c r="D1302" s="189" t="s">
        <v>498</v>
      </c>
      <c r="E1302" s="189" t="s">
        <v>557</v>
      </c>
      <c r="F1302" s="189"/>
      <c r="G1302" s="247">
        <v>206335</v>
      </c>
      <c r="H1302" s="247">
        <v>206335</v>
      </c>
      <c r="I1302" s="248">
        <f t="shared" si="139"/>
        <v>0</v>
      </c>
      <c r="J1302" s="191">
        <v>206335</v>
      </c>
      <c r="K1302" s="247">
        <v>206335</v>
      </c>
      <c r="L1302" s="287">
        <f t="shared" si="140"/>
        <v>0</v>
      </c>
    </row>
    <row r="1303" spans="1:12" ht="24" x14ac:dyDescent="0.2">
      <c r="A1303" s="189" t="s">
        <v>576</v>
      </c>
      <c r="B1303" s="189"/>
      <c r="C1303" s="189" t="s">
        <v>532</v>
      </c>
      <c r="D1303" s="189" t="s">
        <v>498</v>
      </c>
      <c r="E1303" s="189" t="s">
        <v>575</v>
      </c>
      <c r="F1303" s="189"/>
      <c r="G1303" s="247">
        <v>4335</v>
      </c>
      <c r="H1303" s="247">
        <v>4335</v>
      </c>
      <c r="I1303" s="248">
        <f t="shared" si="139"/>
        <v>0</v>
      </c>
      <c r="J1303" s="191">
        <v>4335</v>
      </c>
      <c r="K1303" s="247">
        <v>4335</v>
      </c>
      <c r="L1303" s="287">
        <f t="shared" si="140"/>
        <v>0</v>
      </c>
    </row>
    <row r="1304" spans="1:12" ht="24" x14ac:dyDescent="0.2">
      <c r="A1304" s="189" t="s">
        <v>547</v>
      </c>
      <c r="B1304" s="189"/>
      <c r="C1304" s="189" t="s">
        <v>532</v>
      </c>
      <c r="D1304" s="189" t="s">
        <v>498</v>
      </c>
      <c r="E1304" s="189" t="s">
        <v>575</v>
      </c>
      <c r="F1304" s="189" t="s">
        <v>519</v>
      </c>
      <c r="G1304" s="247">
        <v>4335</v>
      </c>
      <c r="H1304" s="247">
        <v>4335</v>
      </c>
      <c r="I1304" s="248">
        <f t="shared" si="139"/>
        <v>0</v>
      </c>
      <c r="J1304" s="191">
        <v>4335</v>
      </c>
      <c r="K1304" s="247">
        <v>4335</v>
      </c>
      <c r="L1304" s="287">
        <f t="shared" si="140"/>
        <v>0</v>
      </c>
    </row>
    <row r="1305" spans="1:12" x14ac:dyDescent="0.2">
      <c r="A1305" s="189" t="s">
        <v>546</v>
      </c>
      <c r="B1305" s="189"/>
      <c r="C1305" s="189" t="s">
        <v>532</v>
      </c>
      <c r="D1305" s="189" t="s">
        <v>498</v>
      </c>
      <c r="E1305" s="189" t="s">
        <v>575</v>
      </c>
      <c r="F1305" s="189" t="s">
        <v>544</v>
      </c>
      <c r="G1305" s="247">
        <v>4335</v>
      </c>
      <c r="H1305" s="247">
        <v>4335</v>
      </c>
      <c r="I1305" s="248">
        <f t="shared" si="139"/>
        <v>0</v>
      </c>
      <c r="J1305" s="191">
        <v>4335</v>
      </c>
      <c r="K1305" s="247">
        <v>4335</v>
      </c>
      <c r="L1305" s="287">
        <f t="shared" si="140"/>
        <v>0</v>
      </c>
    </row>
    <row r="1306" spans="1:12" ht="24" x14ac:dyDescent="0.2">
      <c r="A1306" s="189" t="s">
        <v>548</v>
      </c>
      <c r="B1306" s="189"/>
      <c r="C1306" s="189" t="s">
        <v>532</v>
      </c>
      <c r="D1306" s="189" t="s">
        <v>498</v>
      </c>
      <c r="E1306" s="189" t="s">
        <v>545</v>
      </c>
      <c r="F1306" s="189"/>
      <c r="G1306" s="247">
        <v>202000</v>
      </c>
      <c r="H1306" s="247">
        <v>202000</v>
      </c>
      <c r="I1306" s="248">
        <f t="shared" si="139"/>
        <v>0</v>
      </c>
      <c r="J1306" s="191">
        <v>202000</v>
      </c>
      <c r="K1306" s="247">
        <v>202000</v>
      </c>
      <c r="L1306" s="287">
        <f t="shared" si="140"/>
        <v>0</v>
      </c>
    </row>
    <row r="1307" spans="1:12" ht="24" x14ac:dyDescent="0.2">
      <c r="A1307" s="189" t="s">
        <v>547</v>
      </c>
      <c r="B1307" s="189"/>
      <c r="C1307" s="189" t="s">
        <v>532</v>
      </c>
      <c r="D1307" s="189" t="s">
        <v>498</v>
      </c>
      <c r="E1307" s="189" t="s">
        <v>545</v>
      </c>
      <c r="F1307" s="189" t="s">
        <v>519</v>
      </c>
      <c r="G1307" s="247">
        <v>202000</v>
      </c>
      <c r="H1307" s="247">
        <v>202000</v>
      </c>
      <c r="I1307" s="248">
        <f t="shared" si="139"/>
        <v>0</v>
      </c>
      <c r="J1307" s="191">
        <v>202000</v>
      </c>
      <c r="K1307" s="247">
        <v>202000</v>
      </c>
      <c r="L1307" s="287">
        <f t="shared" si="140"/>
        <v>0</v>
      </c>
    </row>
    <row r="1308" spans="1:12" x14ac:dyDescent="0.2">
      <c r="A1308" s="189" t="s">
        <v>571</v>
      </c>
      <c r="B1308" s="189"/>
      <c r="C1308" s="189" t="s">
        <v>532</v>
      </c>
      <c r="D1308" s="189" t="s">
        <v>498</v>
      </c>
      <c r="E1308" s="189" t="s">
        <v>545</v>
      </c>
      <c r="F1308" s="189" t="s">
        <v>522</v>
      </c>
      <c r="G1308" s="247">
        <v>15000</v>
      </c>
      <c r="H1308" s="247">
        <v>15000</v>
      </c>
      <c r="I1308" s="248">
        <f t="shared" si="139"/>
        <v>0</v>
      </c>
      <c r="J1308" s="191">
        <v>15000</v>
      </c>
      <c r="K1308" s="247">
        <v>15000</v>
      </c>
      <c r="L1308" s="287">
        <f t="shared" si="140"/>
        <v>0</v>
      </c>
    </row>
    <row r="1309" spans="1:12" x14ac:dyDescent="0.2">
      <c r="A1309" s="189" t="s">
        <v>546</v>
      </c>
      <c r="B1309" s="189"/>
      <c r="C1309" s="189" t="s">
        <v>532</v>
      </c>
      <c r="D1309" s="189" t="s">
        <v>498</v>
      </c>
      <c r="E1309" s="189" t="s">
        <v>545</v>
      </c>
      <c r="F1309" s="189" t="s">
        <v>544</v>
      </c>
      <c r="G1309" s="247">
        <v>187000</v>
      </c>
      <c r="H1309" s="247">
        <v>187000</v>
      </c>
      <c r="I1309" s="248">
        <f t="shared" si="139"/>
        <v>0</v>
      </c>
      <c r="J1309" s="191">
        <v>187000</v>
      </c>
      <c r="K1309" s="247">
        <v>187000</v>
      </c>
      <c r="L1309" s="287">
        <f t="shared" si="140"/>
        <v>0</v>
      </c>
    </row>
    <row r="1310" spans="1:12" x14ac:dyDescent="0.2">
      <c r="A1310" s="189" t="s">
        <v>540</v>
      </c>
      <c r="B1310" s="189"/>
      <c r="C1310" s="189" t="s">
        <v>532</v>
      </c>
      <c r="D1310" s="189" t="s">
        <v>498</v>
      </c>
      <c r="E1310" s="189" t="s">
        <v>539</v>
      </c>
      <c r="F1310" s="189"/>
      <c r="G1310" s="247">
        <v>181700</v>
      </c>
      <c r="H1310" s="247">
        <v>181700</v>
      </c>
      <c r="I1310" s="248">
        <f t="shared" si="139"/>
        <v>0</v>
      </c>
      <c r="J1310" s="191">
        <v>181700</v>
      </c>
      <c r="K1310" s="247">
        <v>181700</v>
      </c>
      <c r="L1310" s="287">
        <f t="shared" si="140"/>
        <v>0</v>
      </c>
    </row>
    <row r="1311" spans="1:12" x14ac:dyDescent="0.2">
      <c r="A1311" s="189" t="s">
        <v>574</v>
      </c>
      <c r="B1311" s="189"/>
      <c r="C1311" s="189" t="s">
        <v>532</v>
      </c>
      <c r="D1311" s="189" t="s">
        <v>498</v>
      </c>
      <c r="E1311" s="189" t="s">
        <v>573</v>
      </c>
      <c r="F1311" s="189"/>
      <c r="G1311" s="247">
        <v>181700</v>
      </c>
      <c r="H1311" s="247">
        <v>181700</v>
      </c>
      <c r="I1311" s="248">
        <f t="shared" si="139"/>
        <v>0</v>
      </c>
      <c r="J1311" s="191">
        <v>181700</v>
      </c>
      <c r="K1311" s="247">
        <v>181700</v>
      </c>
      <c r="L1311" s="287">
        <f t="shared" si="140"/>
        <v>0</v>
      </c>
    </row>
    <row r="1312" spans="1:12" ht="24" x14ac:dyDescent="0.2">
      <c r="A1312" s="189" t="s">
        <v>572</v>
      </c>
      <c r="B1312" s="189"/>
      <c r="C1312" s="189" t="s">
        <v>532</v>
      </c>
      <c r="D1312" s="189" t="s">
        <v>498</v>
      </c>
      <c r="E1312" s="189" t="s">
        <v>570</v>
      </c>
      <c r="F1312" s="189"/>
      <c r="G1312" s="247">
        <v>181700</v>
      </c>
      <c r="H1312" s="247">
        <v>181700</v>
      </c>
      <c r="I1312" s="248">
        <f t="shared" si="139"/>
        <v>0</v>
      </c>
      <c r="J1312" s="191">
        <v>181700</v>
      </c>
      <c r="K1312" s="247">
        <v>181700</v>
      </c>
      <c r="L1312" s="287">
        <f t="shared" si="140"/>
        <v>0</v>
      </c>
    </row>
    <row r="1313" spans="1:12" ht="24" x14ac:dyDescent="0.2">
      <c r="A1313" s="189" t="s">
        <v>547</v>
      </c>
      <c r="B1313" s="189"/>
      <c r="C1313" s="189" t="s">
        <v>532</v>
      </c>
      <c r="D1313" s="189" t="s">
        <v>498</v>
      </c>
      <c r="E1313" s="189" t="s">
        <v>570</v>
      </c>
      <c r="F1313" s="189" t="s">
        <v>519</v>
      </c>
      <c r="G1313" s="247">
        <v>181700</v>
      </c>
      <c r="H1313" s="247">
        <v>181700</v>
      </c>
      <c r="I1313" s="248">
        <f t="shared" si="139"/>
        <v>0</v>
      </c>
      <c r="J1313" s="191">
        <v>181700</v>
      </c>
      <c r="K1313" s="247">
        <v>181700</v>
      </c>
      <c r="L1313" s="287">
        <f t="shared" si="140"/>
        <v>0</v>
      </c>
    </row>
    <row r="1314" spans="1:12" x14ac:dyDescent="0.2">
      <c r="A1314" s="189" t="s">
        <v>571</v>
      </c>
      <c r="B1314" s="189"/>
      <c r="C1314" s="189" t="s">
        <v>532</v>
      </c>
      <c r="D1314" s="189" t="s">
        <v>498</v>
      </c>
      <c r="E1314" s="189" t="s">
        <v>570</v>
      </c>
      <c r="F1314" s="189" t="s">
        <v>522</v>
      </c>
      <c r="G1314" s="247">
        <v>129000</v>
      </c>
      <c r="H1314" s="247">
        <v>129000</v>
      </c>
      <c r="I1314" s="248">
        <f t="shared" si="139"/>
        <v>0</v>
      </c>
      <c r="J1314" s="191">
        <v>129000</v>
      </c>
      <c r="K1314" s="247">
        <v>129000</v>
      </c>
      <c r="L1314" s="287">
        <f t="shared" si="140"/>
        <v>0</v>
      </c>
    </row>
    <row r="1315" spans="1:12" x14ac:dyDescent="0.2">
      <c r="A1315" s="189" t="s">
        <v>546</v>
      </c>
      <c r="B1315" s="189"/>
      <c r="C1315" s="189" t="s">
        <v>532</v>
      </c>
      <c r="D1315" s="189" t="s">
        <v>498</v>
      </c>
      <c r="E1315" s="189" t="s">
        <v>570</v>
      </c>
      <c r="F1315" s="189" t="s">
        <v>544</v>
      </c>
      <c r="G1315" s="247">
        <v>52700</v>
      </c>
      <c r="H1315" s="247">
        <v>52700</v>
      </c>
      <c r="I1315" s="248">
        <f t="shared" si="139"/>
        <v>0</v>
      </c>
      <c r="J1315" s="191">
        <v>52700</v>
      </c>
      <c r="K1315" s="247">
        <v>52700</v>
      </c>
      <c r="L1315" s="287">
        <f t="shared" si="140"/>
        <v>0</v>
      </c>
    </row>
    <row r="1316" spans="1:12" x14ac:dyDescent="0.2">
      <c r="A1316" s="189" t="s">
        <v>569</v>
      </c>
      <c r="B1316" s="189"/>
      <c r="C1316" s="189" t="s">
        <v>532</v>
      </c>
      <c r="D1316" s="189" t="s">
        <v>502</v>
      </c>
      <c r="E1316" s="189"/>
      <c r="F1316" s="189"/>
      <c r="G1316" s="247">
        <v>46480</v>
      </c>
      <c r="H1316" s="247">
        <v>46480</v>
      </c>
      <c r="I1316" s="248">
        <f t="shared" si="139"/>
        <v>0</v>
      </c>
      <c r="J1316" s="191">
        <v>46480</v>
      </c>
      <c r="K1316" s="247">
        <v>46480</v>
      </c>
      <c r="L1316" s="287">
        <f t="shared" si="140"/>
        <v>0</v>
      </c>
    </row>
    <row r="1317" spans="1:12" x14ac:dyDescent="0.2">
      <c r="A1317" s="189" t="s">
        <v>568</v>
      </c>
      <c r="B1317" s="189"/>
      <c r="C1317" s="189" t="s">
        <v>532</v>
      </c>
      <c r="D1317" s="189" t="s">
        <v>502</v>
      </c>
      <c r="E1317" s="189" t="s">
        <v>567</v>
      </c>
      <c r="F1317" s="189"/>
      <c r="G1317" s="247">
        <v>315</v>
      </c>
      <c r="H1317" s="247">
        <v>315</v>
      </c>
      <c r="I1317" s="248">
        <f t="shared" si="139"/>
        <v>0</v>
      </c>
      <c r="J1317" s="191">
        <v>315</v>
      </c>
      <c r="K1317" s="247">
        <v>315</v>
      </c>
      <c r="L1317" s="287">
        <f t="shared" si="140"/>
        <v>0</v>
      </c>
    </row>
    <row r="1318" spans="1:12" x14ac:dyDescent="0.2">
      <c r="A1318" s="189" t="s">
        <v>566</v>
      </c>
      <c r="B1318" s="189"/>
      <c r="C1318" s="189" t="s">
        <v>532</v>
      </c>
      <c r="D1318" s="189" t="s">
        <v>502</v>
      </c>
      <c r="E1318" s="189" t="s">
        <v>565</v>
      </c>
      <c r="F1318" s="189"/>
      <c r="G1318" s="247">
        <v>315</v>
      </c>
      <c r="H1318" s="247">
        <v>315</v>
      </c>
      <c r="I1318" s="248">
        <f t="shared" si="139"/>
        <v>0</v>
      </c>
      <c r="J1318" s="191">
        <v>315</v>
      </c>
      <c r="K1318" s="247">
        <v>315</v>
      </c>
      <c r="L1318" s="287">
        <f t="shared" si="140"/>
        <v>0</v>
      </c>
    </row>
    <row r="1319" spans="1:12" ht="36" x14ac:dyDescent="0.2">
      <c r="A1319" s="189" t="s">
        <v>564</v>
      </c>
      <c r="B1319" s="189"/>
      <c r="C1319" s="189" t="s">
        <v>532</v>
      </c>
      <c r="D1319" s="189" t="s">
        <v>502</v>
      </c>
      <c r="E1319" s="189" t="s">
        <v>563</v>
      </c>
      <c r="F1319" s="189"/>
      <c r="G1319" s="247">
        <v>315</v>
      </c>
      <c r="H1319" s="247">
        <v>315</v>
      </c>
      <c r="I1319" s="248">
        <f t="shared" si="139"/>
        <v>0</v>
      </c>
      <c r="J1319" s="191">
        <v>315</v>
      </c>
      <c r="K1319" s="247">
        <v>315</v>
      </c>
      <c r="L1319" s="287">
        <f t="shared" si="140"/>
        <v>0</v>
      </c>
    </row>
    <row r="1320" spans="1:12" ht="36" x14ac:dyDescent="0.2">
      <c r="A1320" s="189" t="s">
        <v>562</v>
      </c>
      <c r="B1320" s="189"/>
      <c r="C1320" s="189" t="s">
        <v>532</v>
      </c>
      <c r="D1320" s="189" t="s">
        <v>502</v>
      </c>
      <c r="E1320" s="189" t="s">
        <v>561</v>
      </c>
      <c r="F1320" s="189"/>
      <c r="G1320" s="247">
        <v>315</v>
      </c>
      <c r="H1320" s="247">
        <v>315</v>
      </c>
      <c r="I1320" s="248">
        <f t="shared" si="139"/>
        <v>0</v>
      </c>
      <c r="J1320" s="191">
        <v>315</v>
      </c>
      <c r="K1320" s="247">
        <v>315</v>
      </c>
      <c r="L1320" s="287">
        <f t="shared" si="140"/>
        <v>0</v>
      </c>
    </row>
    <row r="1321" spans="1:12" ht="36" x14ac:dyDescent="0.2">
      <c r="A1321" s="189" t="s">
        <v>1348</v>
      </c>
      <c r="B1321" s="189"/>
      <c r="C1321" s="189" t="s">
        <v>532</v>
      </c>
      <c r="D1321" s="189" t="s">
        <v>502</v>
      </c>
      <c r="E1321" s="189" t="s">
        <v>561</v>
      </c>
      <c r="F1321" s="189" t="s">
        <v>556</v>
      </c>
      <c r="G1321" s="247">
        <v>135</v>
      </c>
      <c r="H1321" s="247">
        <v>135</v>
      </c>
      <c r="I1321" s="248">
        <f t="shared" si="139"/>
        <v>0</v>
      </c>
      <c r="J1321" s="191">
        <v>135</v>
      </c>
      <c r="K1321" s="247">
        <v>135</v>
      </c>
      <c r="L1321" s="287">
        <f t="shared" si="140"/>
        <v>0</v>
      </c>
    </row>
    <row r="1322" spans="1:12" x14ac:dyDescent="0.2">
      <c r="A1322" s="189" t="s">
        <v>555</v>
      </c>
      <c r="B1322" s="189"/>
      <c r="C1322" s="189" t="s">
        <v>532</v>
      </c>
      <c r="D1322" s="189" t="s">
        <v>502</v>
      </c>
      <c r="E1322" s="189" t="s">
        <v>561</v>
      </c>
      <c r="F1322" s="189" t="s">
        <v>554</v>
      </c>
      <c r="G1322" s="247">
        <v>135</v>
      </c>
      <c r="H1322" s="247">
        <v>135</v>
      </c>
      <c r="I1322" s="248">
        <f t="shared" si="139"/>
        <v>0</v>
      </c>
      <c r="J1322" s="191">
        <v>135</v>
      </c>
      <c r="K1322" s="247">
        <v>135</v>
      </c>
      <c r="L1322" s="287">
        <f t="shared" si="140"/>
        <v>0</v>
      </c>
    </row>
    <row r="1323" spans="1:12" ht="24" x14ac:dyDescent="0.2">
      <c r="A1323" s="189" t="s">
        <v>1347</v>
      </c>
      <c r="B1323" s="189"/>
      <c r="C1323" s="189" t="s">
        <v>532</v>
      </c>
      <c r="D1323" s="189" t="s">
        <v>502</v>
      </c>
      <c r="E1323" s="189" t="s">
        <v>561</v>
      </c>
      <c r="F1323" s="189" t="s">
        <v>535</v>
      </c>
      <c r="G1323" s="247">
        <v>180</v>
      </c>
      <c r="H1323" s="247">
        <v>180</v>
      </c>
      <c r="I1323" s="248">
        <f t="shared" si="139"/>
        <v>0</v>
      </c>
      <c r="J1323" s="191">
        <v>180</v>
      </c>
      <c r="K1323" s="247">
        <v>180</v>
      </c>
      <c r="L1323" s="287">
        <f t="shared" si="140"/>
        <v>0</v>
      </c>
    </row>
    <row r="1324" spans="1:12" ht="24" x14ac:dyDescent="0.2">
      <c r="A1324" s="189" t="s">
        <v>534</v>
      </c>
      <c r="B1324" s="189"/>
      <c r="C1324" s="189" t="s">
        <v>532</v>
      </c>
      <c r="D1324" s="189" t="s">
        <v>502</v>
      </c>
      <c r="E1324" s="189" t="s">
        <v>561</v>
      </c>
      <c r="F1324" s="189" t="s">
        <v>529</v>
      </c>
      <c r="G1324" s="247">
        <v>180</v>
      </c>
      <c r="H1324" s="247">
        <v>180</v>
      </c>
      <c r="I1324" s="248">
        <f t="shared" si="139"/>
        <v>0</v>
      </c>
      <c r="J1324" s="191">
        <v>180</v>
      </c>
      <c r="K1324" s="247">
        <v>180</v>
      </c>
      <c r="L1324" s="287">
        <f t="shared" si="140"/>
        <v>0</v>
      </c>
    </row>
    <row r="1325" spans="1:12" x14ac:dyDescent="0.2">
      <c r="A1325" s="189" t="s">
        <v>542</v>
      </c>
      <c r="B1325" s="189"/>
      <c r="C1325" s="189" t="s">
        <v>532</v>
      </c>
      <c r="D1325" s="189" t="s">
        <v>502</v>
      </c>
      <c r="E1325" s="189" t="s">
        <v>541</v>
      </c>
      <c r="F1325" s="189"/>
      <c r="G1325" s="247">
        <v>46165</v>
      </c>
      <c r="H1325" s="247">
        <v>46165</v>
      </c>
      <c r="I1325" s="248">
        <f t="shared" si="139"/>
        <v>0</v>
      </c>
      <c r="J1325" s="191">
        <v>46165</v>
      </c>
      <c r="K1325" s="247">
        <v>46165</v>
      </c>
      <c r="L1325" s="287">
        <f t="shared" si="140"/>
        <v>0</v>
      </c>
    </row>
    <row r="1326" spans="1:12" x14ac:dyDescent="0.2">
      <c r="A1326" s="189" t="s">
        <v>560</v>
      </c>
      <c r="B1326" s="189"/>
      <c r="C1326" s="189" t="s">
        <v>532</v>
      </c>
      <c r="D1326" s="189" t="s">
        <v>502</v>
      </c>
      <c r="E1326" s="189" t="s">
        <v>559</v>
      </c>
      <c r="F1326" s="189"/>
      <c r="G1326" s="247">
        <v>46165</v>
      </c>
      <c r="H1326" s="247">
        <v>46165</v>
      </c>
      <c r="I1326" s="248">
        <f t="shared" si="139"/>
        <v>0</v>
      </c>
      <c r="J1326" s="191">
        <v>46165</v>
      </c>
      <c r="K1326" s="247">
        <v>46165</v>
      </c>
      <c r="L1326" s="287">
        <f t="shared" si="140"/>
        <v>0</v>
      </c>
    </row>
    <row r="1327" spans="1:12" ht="36" x14ac:dyDescent="0.2">
      <c r="A1327" s="189" t="s">
        <v>558</v>
      </c>
      <c r="B1327" s="189"/>
      <c r="C1327" s="189" t="s">
        <v>532</v>
      </c>
      <c r="D1327" s="189" t="s">
        <v>502</v>
      </c>
      <c r="E1327" s="189" t="s">
        <v>557</v>
      </c>
      <c r="F1327" s="189"/>
      <c r="G1327" s="247">
        <v>46165</v>
      </c>
      <c r="H1327" s="247">
        <v>46165</v>
      </c>
      <c r="I1327" s="248">
        <f t="shared" si="139"/>
        <v>0</v>
      </c>
      <c r="J1327" s="191">
        <v>46165</v>
      </c>
      <c r="K1327" s="247">
        <v>46165</v>
      </c>
      <c r="L1327" s="287">
        <f t="shared" si="140"/>
        <v>0</v>
      </c>
    </row>
    <row r="1328" spans="1:12" ht="24" x14ac:dyDescent="0.2">
      <c r="A1328" s="189" t="s">
        <v>1641</v>
      </c>
      <c r="B1328" s="189"/>
      <c r="C1328" s="189" t="s">
        <v>532</v>
      </c>
      <c r="D1328" s="189" t="s">
        <v>502</v>
      </c>
      <c r="E1328" s="189" t="s">
        <v>550</v>
      </c>
      <c r="F1328" s="189"/>
      <c r="G1328" s="247">
        <v>3465</v>
      </c>
      <c r="H1328" s="247">
        <v>3465</v>
      </c>
      <c r="I1328" s="248">
        <f t="shared" si="139"/>
        <v>0</v>
      </c>
      <c r="J1328" s="191">
        <v>3465</v>
      </c>
      <c r="K1328" s="247">
        <v>3465</v>
      </c>
      <c r="L1328" s="287">
        <f t="shared" si="140"/>
        <v>0</v>
      </c>
    </row>
    <row r="1329" spans="1:12" ht="36" x14ac:dyDescent="0.2">
      <c r="A1329" s="189" t="s">
        <v>1348</v>
      </c>
      <c r="B1329" s="189"/>
      <c r="C1329" s="189" t="s">
        <v>532</v>
      </c>
      <c r="D1329" s="189" t="s">
        <v>502</v>
      </c>
      <c r="E1329" s="189" t="s">
        <v>550</v>
      </c>
      <c r="F1329" s="189" t="s">
        <v>556</v>
      </c>
      <c r="G1329" s="247">
        <v>1015</v>
      </c>
      <c r="H1329" s="247">
        <v>1015</v>
      </c>
      <c r="I1329" s="248">
        <f t="shared" si="139"/>
        <v>0</v>
      </c>
      <c r="J1329" s="191">
        <v>1015</v>
      </c>
      <c r="K1329" s="247">
        <v>1015</v>
      </c>
      <c r="L1329" s="287">
        <f t="shared" si="140"/>
        <v>0</v>
      </c>
    </row>
    <row r="1330" spans="1:12" x14ac:dyDescent="0.2">
      <c r="A1330" s="189" t="s">
        <v>555</v>
      </c>
      <c r="B1330" s="189"/>
      <c r="C1330" s="189" t="s">
        <v>532</v>
      </c>
      <c r="D1330" s="189" t="s">
        <v>502</v>
      </c>
      <c r="E1330" s="189" t="s">
        <v>550</v>
      </c>
      <c r="F1330" s="189" t="s">
        <v>554</v>
      </c>
      <c r="G1330" s="247">
        <v>1015</v>
      </c>
      <c r="H1330" s="247">
        <v>1015</v>
      </c>
      <c r="I1330" s="248">
        <f t="shared" si="139"/>
        <v>0</v>
      </c>
      <c r="J1330" s="191">
        <v>1015</v>
      </c>
      <c r="K1330" s="247">
        <v>1015</v>
      </c>
      <c r="L1330" s="287">
        <f t="shared" si="140"/>
        <v>0</v>
      </c>
    </row>
    <row r="1331" spans="1:12" ht="24" x14ac:dyDescent="0.2">
      <c r="A1331" s="189" t="s">
        <v>1347</v>
      </c>
      <c r="B1331" s="189"/>
      <c r="C1331" s="189" t="s">
        <v>532</v>
      </c>
      <c r="D1331" s="189" t="s">
        <v>502</v>
      </c>
      <c r="E1331" s="189" t="s">
        <v>550</v>
      </c>
      <c r="F1331" s="189" t="s">
        <v>535</v>
      </c>
      <c r="G1331" s="247">
        <v>1550</v>
      </c>
      <c r="H1331" s="247">
        <v>1550</v>
      </c>
      <c r="I1331" s="248">
        <f t="shared" si="139"/>
        <v>0</v>
      </c>
      <c r="J1331" s="191">
        <v>1550</v>
      </c>
      <c r="K1331" s="247">
        <v>1550</v>
      </c>
      <c r="L1331" s="287">
        <f t="shared" si="140"/>
        <v>0</v>
      </c>
    </row>
    <row r="1332" spans="1:12" ht="24" x14ac:dyDescent="0.2">
      <c r="A1332" s="189" t="s">
        <v>534</v>
      </c>
      <c r="B1332" s="189"/>
      <c r="C1332" s="189" t="s">
        <v>532</v>
      </c>
      <c r="D1332" s="189" t="s">
        <v>502</v>
      </c>
      <c r="E1332" s="189" t="s">
        <v>550</v>
      </c>
      <c r="F1332" s="189" t="s">
        <v>529</v>
      </c>
      <c r="G1332" s="247">
        <v>1550</v>
      </c>
      <c r="H1332" s="247">
        <v>1550</v>
      </c>
      <c r="I1332" s="248">
        <f t="shared" si="139"/>
        <v>0</v>
      </c>
      <c r="J1332" s="191">
        <v>1550</v>
      </c>
      <c r="K1332" s="247">
        <v>1550</v>
      </c>
      <c r="L1332" s="287">
        <f t="shared" si="140"/>
        <v>0</v>
      </c>
    </row>
    <row r="1333" spans="1:12" x14ac:dyDescent="0.2">
      <c r="A1333" s="189" t="s">
        <v>553</v>
      </c>
      <c r="B1333" s="189"/>
      <c r="C1333" s="189" t="s">
        <v>532</v>
      </c>
      <c r="D1333" s="189" t="s">
        <v>502</v>
      </c>
      <c r="E1333" s="189" t="s">
        <v>550</v>
      </c>
      <c r="F1333" s="189" t="s">
        <v>552</v>
      </c>
      <c r="G1333" s="247">
        <v>900</v>
      </c>
      <c r="H1333" s="247">
        <v>900</v>
      </c>
      <c r="I1333" s="248">
        <f t="shared" si="139"/>
        <v>0</v>
      </c>
      <c r="J1333" s="191">
        <v>900</v>
      </c>
      <c r="K1333" s="247">
        <v>900</v>
      </c>
      <c r="L1333" s="287">
        <f t="shared" si="140"/>
        <v>0</v>
      </c>
    </row>
    <row r="1334" spans="1:12" x14ac:dyDescent="0.2">
      <c r="A1334" s="189" t="s">
        <v>551</v>
      </c>
      <c r="B1334" s="189"/>
      <c r="C1334" s="189" t="s">
        <v>532</v>
      </c>
      <c r="D1334" s="189" t="s">
        <v>502</v>
      </c>
      <c r="E1334" s="189" t="s">
        <v>550</v>
      </c>
      <c r="F1334" s="189" t="s">
        <v>549</v>
      </c>
      <c r="G1334" s="247">
        <v>900</v>
      </c>
      <c r="H1334" s="247">
        <v>900</v>
      </c>
      <c r="I1334" s="248">
        <f t="shared" si="139"/>
        <v>0</v>
      </c>
      <c r="J1334" s="191">
        <v>900</v>
      </c>
      <c r="K1334" s="247">
        <v>900</v>
      </c>
      <c r="L1334" s="287">
        <f t="shared" si="140"/>
        <v>0</v>
      </c>
    </row>
    <row r="1335" spans="1:12" ht="24" x14ac:dyDescent="0.2">
      <c r="A1335" s="189" t="s">
        <v>548</v>
      </c>
      <c r="B1335" s="189"/>
      <c r="C1335" s="189" t="s">
        <v>532</v>
      </c>
      <c r="D1335" s="189" t="s">
        <v>502</v>
      </c>
      <c r="E1335" s="189" t="s">
        <v>545</v>
      </c>
      <c r="F1335" s="189"/>
      <c r="G1335" s="247">
        <v>42700</v>
      </c>
      <c r="H1335" s="247">
        <v>42700</v>
      </c>
      <c r="I1335" s="248">
        <f t="shared" si="139"/>
        <v>0</v>
      </c>
      <c r="J1335" s="191">
        <v>42700</v>
      </c>
      <c r="K1335" s="247">
        <v>42700</v>
      </c>
      <c r="L1335" s="287">
        <f t="shared" si="140"/>
        <v>0</v>
      </c>
    </row>
    <row r="1336" spans="1:12" ht="24" x14ac:dyDescent="0.2">
      <c r="A1336" s="189" t="s">
        <v>547</v>
      </c>
      <c r="B1336" s="189"/>
      <c r="C1336" s="189" t="s">
        <v>532</v>
      </c>
      <c r="D1336" s="189" t="s">
        <v>502</v>
      </c>
      <c r="E1336" s="189" t="s">
        <v>545</v>
      </c>
      <c r="F1336" s="189" t="s">
        <v>519</v>
      </c>
      <c r="G1336" s="247">
        <v>42700</v>
      </c>
      <c r="H1336" s="247">
        <v>42700</v>
      </c>
      <c r="I1336" s="248">
        <f t="shared" si="139"/>
        <v>0</v>
      </c>
      <c r="J1336" s="191">
        <v>42700</v>
      </c>
      <c r="K1336" s="247">
        <v>42700</v>
      </c>
      <c r="L1336" s="287">
        <f t="shared" si="140"/>
        <v>0</v>
      </c>
    </row>
    <row r="1337" spans="1:12" x14ac:dyDescent="0.2">
      <c r="A1337" s="189" t="s">
        <v>546</v>
      </c>
      <c r="B1337" s="189"/>
      <c r="C1337" s="189" t="s">
        <v>532</v>
      </c>
      <c r="D1337" s="189" t="s">
        <v>502</v>
      </c>
      <c r="E1337" s="189" t="s">
        <v>545</v>
      </c>
      <c r="F1337" s="189" t="s">
        <v>544</v>
      </c>
      <c r="G1337" s="247">
        <v>42700</v>
      </c>
      <c r="H1337" s="247">
        <v>42700</v>
      </c>
      <c r="I1337" s="248">
        <f t="shared" si="139"/>
        <v>0</v>
      </c>
      <c r="J1337" s="191">
        <v>42700</v>
      </c>
      <c r="K1337" s="247">
        <v>42700</v>
      </c>
      <c r="L1337" s="287">
        <f t="shared" si="140"/>
        <v>0</v>
      </c>
    </row>
    <row r="1338" spans="1:12" x14ac:dyDescent="0.2">
      <c r="A1338" s="181" t="s">
        <v>528</v>
      </c>
      <c r="B1338" s="181"/>
      <c r="C1338" s="181"/>
      <c r="D1338" s="181"/>
      <c r="E1338" s="181"/>
      <c r="F1338" s="181"/>
      <c r="G1338" s="243">
        <f>G12+G918+G935+G948+G965+G1145+G1222+G1268</f>
        <v>13429030.1</v>
      </c>
      <c r="H1338" s="243">
        <f>H12+H918+H935+H948+H965+H1145+H1222+H1268</f>
        <v>12564747.4</v>
      </c>
      <c r="I1338" s="244">
        <f t="shared" si="139"/>
        <v>-864282.69999999925</v>
      </c>
      <c r="J1338" s="183">
        <f>J12+J918+J935+J948+J965+J1145+J1222+J1268</f>
        <v>13320402.099999998</v>
      </c>
      <c r="K1338" s="243">
        <f>K12+K918+K935+K948+K965+K1145+K1222+K1268</f>
        <v>14535262</v>
      </c>
      <c r="L1338" s="288">
        <f t="shared" si="140"/>
        <v>1214859.9000000022</v>
      </c>
    </row>
    <row r="1341" spans="1:12" x14ac:dyDescent="0.2">
      <c r="A1341" s="75" t="s">
        <v>1279</v>
      </c>
      <c r="G1341" s="82">
        <f>G94+G632+G789+G824+G1144</f>
        <v>120761</v>
      </c>
      <c r="H1341" s="82">
        <f>H94+H632+H789+H824+H1144</f>
        <v>120761</v>
      </c>
      <c r="I1341" s="82">
        <f t="shared" ref="I1341" si="141">H1341-G1341</f>
        <v>0</v>
      </c>
      <c r="J1341" s="82">
        <f>J94+J632+J789+J824+J1144</f>
        <v>123761</v>
      </c>
      <c r="K1341" s="82">
        <f>K94+K632+K789+K824+K1144</f>
        <v>123761</v>
      </c>
      <c r="L1341" s="82">
        <f t="shared" ref="L1341" si="142">K1341-J1341</f>
        <v>0</v>
      </c>
    </row>
  </sheetData>
  <mergeCells count="8">
    <mergeCell ref="I1:L1"/>
    <mergeCell ref="I2:L2"/>
    <mergeCell ref="I3:L3"/>
    <mergeCell ref="A8:C8"/>
    <mergeCell ref="G9:I9"/>
    <mergeCell ref="J9:L9"/>
    <mergeCell ref="K8:L8"/>
    <mergeCell ref="A5:L5"/>
  </mergeCells>
  <pageMargins left="0.78740157480314965" right="0.39370078740157483" top="0.78740157480314965" bottom="0.78740157480314965" header="0" footer="0"/>
  <pageSetup paperSize="9" scale="53" firstPageNumber="46" fitToHeight="0" orientation="portrait" useFirstPageNumber="1" r:id="rId1"/>
  <headerFooter>
    <oddFooter>Страница &amp;P</oddFooter>
    <evenHeader>&amp;LФинансовое управление Администрации городского округа Мытищи</evenHeader>
    <evenFooter>&amp;L 27.10.2017 18:18:48&amp;R&amp;P/&amp;N</evenFooter>
    <firstHeader>&amp;LФинансовое управление Администрации городского округа Мытищи</firstHeader>
    <firstFooter>&amp;L 27.10.2017 18:18:48&amp;R&amp;P/&amp;N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zoomScale="140" zoomScaleNormal="140" workbookViewId="0">
      <selection activeCell="A3" sqref="A3:P3"/>
    </sheetView>
  </sheetViews>
  <sheetFormatPr defaultColWidth="9.140625" defaultRowHeight="12" x14ac:dyDescent="0.2"/>
  <cols>
    <col min="1" max="1" width="117.42578125" style="26" customWidth="1"/>
    <col min="2" max="2" width="15.42578125" style="26" customWidth="1"/>
    <col min="3" max="3" width="15.140625" style="26" hidden="1" customWidth="1"/>
    <col min="4" max="4" width="14" style="26" hidden="1" customWidth="1"/>
    <col min="5" max="5" width="10.28515625" style="26" hidden="1" customWidth="1"/>
    <col min="6" max="9" width="0" style="26" hidden="1" customWidth="1"/>
    <col min="10" max="10" width="13.85546875" style="26" hidden="1" customWidth="1"/>
    <col min="11" max="14" width="0" style="26" hidden="1" customWidth="1"/>
    <col min="15" max="15" width="18.5703125" style="26" customWidth="1"/>
    <col min="16" max="16" width="14.85546875" style="26" customWidth="1"/>
    <col min="17" max="16384" width="9.140625" style="26"/>
  </cols>
  <sheetData>
    <row r="1" spans="1:16" x14ac:dyDescent="0.2">
      <c r="A1" s="475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</row>
    <row r="2" spans="1:16" x14ac:dyDescent="0.2">
      <c r="A2" s="475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</row>
    <row r="3" spans="1:16" x14ac:dyDescent="0.2">
      <c r="A3" s="476" t="s">
        <v>1739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</row>
    <row r="4" spans="1:16" ht="43.5" customHeight="1" x14ac:dyDescent="0.25">
      <c r="A4" s="486" t="s">
        <v>1378</v>
      </c>
      <c r="B4" s="486"/>
      <c r="C4" s="486"/>
      <c r="D4" s="486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</row>
    <row r="5" spans="1:16" ht="15" x14ac:dyDescent="0.2">
      <c r="A5" s="91"/>
      <c r="B5" s="91"/>
      <c r="C5" s="91"/>
      <c r="D5" s="91"/>
      <c r="M5" s="115"/>
      <c r="N5" s="115"/>
      <c r="O5" s="115"/>
      <c r="P5" s="115"/>
    </row>
    <row r="6" spans="1:16" ht="15.75" customHeight="1" x14ac:dyDescent="0.2">
      <c r="A6" s="91"/>
      <c r="B6" s="485" t="s">
        <v>2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</row>
    <row r="7" spans="1:16" ht="12" customHeight="1" x14ac:dyDescent="0.2">
      <c r="A7" s="477" t="s">
        <v>3</v>
      </c>
      <c r="B7" s="477" t="s">
        <v>4</v>
      </c>
      <c r="C7" s="479" t="s">
        <v>5</v>
      </c>
      <c r="D7" s="482" t="s">
        <v>6</v>
      </c>
      <c r="O7" s="477" t="s">
        <v>5</v>
      </c>
      <c r="P7" s="477" t="s">
        <v>6</v>
      </c>
    </row>
    <row r="8" spans="1:16" ht="12" customHeight="1" x14ac:dyDescent="0.2">
      <c r="A8" s="478"/>
      <c r="B8" s="478"/>
      <c r="C8" s="480"/>
      <c r="D8" s="483"/>
      <c r="O8" s="478"/>
      <c r="P8" s="478"/>
    </row>
    <row r="9" spans="1:16" ht="6.6" customHeight="1" x14ac:dyDescent="0.2">
      <c r="A9" s="478"/>
      <c r="B9" s="478"/>
      <c r="C9" s="481"/>
      <c r="D9" s="484"/>
      <c r="O9" s="478"/>
      <c r="P9" s="478"/>
    </row>
    <row r="10" spans="1:16" x14ac:dyDescent="0.2">
      <c r="A10" s="2">
        <v>1</v>
      </c>
      <c r="B10" s="2">
        <v>2</v>
      </c>
      <c r="C10" s="2">
        <v>3</v>
      </c>
      <c r="D10" s="2">
        <v>4</v>
      </c>
      <c r="O10" s="2">
        <v>3</v>
      </c>
      <c r="P10" s="2">
        <v>4</v>
      </c>
    </row>
    <row r="11" spans="1:16" ht="23.1" customHeight="1" x14ac:dyDescent="0.2">
      <c r="A11" s="3" t="s">
        <v>7</v>
      </c>
      <c r="B11" s="4">
        <f>SUM(B12:B32)</f>
        <v>4472322</v>
      </c>
      <c r="C11" s="5" t="e">
        <f>C12+C13+C14+C15+#REF!+#REF!+C23+C16+C17+C18+C19+#REF!+C20+C21+C22+C24+#REF!+#REF!+C30+#REF!+C25</f>
        <v>#REF!</v>
      </c>
      <c r="D11" s="5" t="e">
        <f>C11-B11</f>
        <v>#REF!</v>
      </c>
      <c r="E11" s="92"/>
      <c r="O11" s="4">
        <f>SUM(O12:O34)</f>
        <v>4689170.4000000004</v>
      </c>
      <c r="P11" s="4">
        <f>O11-B11</f>
        <v>216848.40000000037</v>
      </c>
    </row>
    <row r="12" spans="1:16" ht="42.2" customHeight="1" x14ac:dyDescent="0.2">
      <c r="A12" s="22" t="s">
        <v>8</v>
      </c>
      <c r="B12" s="6">
        <v>194</v>
      </c>
      <c r="C12" s="12">
        <v>284</v>
      </c>
      <c r="D12" s="12">
        <f t="shared" ref="D12:D67" si="0">C12-B12</f>
        <v>90</v>
      </c>
      <c r="O12" s="6">
        <v>194</v>
      </c>
      <c r="P12" s="6">
        <f t="shared" ref="P12:P67" si="1">O12-B12</f>
        <v>0</v>
      </c>
    </row>
    <row r="13" spans="1:16" ht="63.6" customHeight="1" x14ac:dyDescent="0.2">
      <c r="A13" s="22" t="s">
        <v>53</v>
      </c>
      <c r="B13" s="23">
        <v>146900</v>
      </c>
      <c r="C13" s="24">
        <f>126867</f>
        <v>126867</v>
      </c>
      <c r="D13" s="24">
        <f t="shared" si="0"/>
        <v>-20033</v>
      </c>
      <c r="O13" s="23">
        <f>146900-60001+35.3</f>
        <v>86934.3</v>
      </c>
      <c r="P13" s="23">
        <f t="shared" si="1"/>
        <v>-59965.7</v>
      </c>
    </row>
    <row r="14" spans="1:16" ht="43.5" customHeight="1" x14ac:dyDescent="0.2">
      <c r="A14" s="22" t="s">
        <v>9</v>
      </c>
      <c r="B14" s="7">
        <v>8325</v>
      </c>
      <c r="C14" s="8">
        <v>8612</v>
      </c>
      <c r="D14" s="8">
        <f t="shared" si="0"/>
        <v>287</v>
      </c>
      <c r="O14" s="7">
        <f>8325+212.4</f>
        <v>8537.4</v>
      </c>
      <c r="P14" s="7">
        <f t="shared" si="1"/>
        <v>212.39999999999964</v>
      </c>
    </row>
    <row r="15" spans="1:16" ht="42.2" customHeight="1" x14ac:dyDescent="0.2">
      <c r="A15" s="9" t="s">
        <v>10</v>
      </c>
      <c r="B15" s="7">
        <v>111276</v>
      </c>
      <c r="C15" s="8">
        <v>82244</v>
      </c>
      <c r="D15" s="8">
        <f t="shared" si="0"/>
        <v>-29032</v>
      </c>
      <c r="O15" s="7">
        <f>111276-17772</f>
        <v>93504</v>
      </c>
      <c r="P15" s="7">
        <f t="shared" si="1"/>
        <v>-17772</v>
      </c>
    </row>
    <row r="16" spans="1:16" ht="79.900000000000006" customHeight="1" x14ac:dyDescent="0.2">
      <c r="A16" s="9" t="s">
        <v>12</v>
      </c>
      <c r="B16" s="7">
        <f>167226-6351</f>
        <v>160875</v>
      </c>
      <c r="C16" s="7">
        <f>110898-9876</f>
        <v>101022</v>
      </c>
      <c r="D16" s="7">
        <f>C16-B16</f>
        <v>-59853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167226-6351+17923</f>
        <v>178798</v>
      </c>
      <c r="P16" s="7">
        <f t="shared" si="1"/>
        <v>17923</v>
      </c>
    </row>
    <row r="17" spans="1:16" ht="20.100000000000001" customHeight="1" x14ac:dyDescent="0.2">
      <c r="A17" s="11" t="s">
        <v>13</v>
      </c>
      <c r="B17" s="6">
        <v>121331</v>
      </c>
      <c r="C17" s="12">
        <v>102149</v>
      </c>
      <c r="D17" s="12">
        <f t="shared" si="0"/>
        <v>-19182</v>
      </c>
      <c r="O17" s="6">
        <v>121331</v>
      </c>
      <c r="P17" s="6">
        <f t="shared" si="1"/>
        <v>0</v>
      </c>
    </row>
    <row r="18" spans="1:16" ht="20.85" customHeight="1" x14ac:dyDescent="0.2">
      <c r="A18" s="11" t="s">
        <v>14</v>
      </c>
      <c r="B18" s="7">
        <v>10658</v>
      </c>
      <c r="C18" s="8">
        <v>9065</v>
      </c>
      <c r="D18" s="8">
        <f t="shared" si="0"/>
        <v>-1593</v>
      </c>
      <c r="O18" s="7">
        <v>10658</v>
      </c>
      <c r="P18" s="7">
        <f t="shared" si="1"/>
        <v>0</v>
      </c>
    </row>
    <row r="19" spans="1:16" ht="84.95" customHeight="1" x14ac:dyDescent="0.2">
      <c r="A19" s="9" t="s">
        <v>15</v>
      </c>
      <c r="B19" s="7">
        <f>2297918-1786</f>
        <v>2296132</v>
      </c>
      <c r="C19" s="8">
        <f>1689490-62850</f>
        <v>1626640</v>
      </c>
      <c r="D19" s="8">
        <f t="shared" si="0"/>
        <v>-669492</v>
      </c>
      <c r="O19" s="7">
        <f>2297918-1786+195422-689+36.7</f>
        <v>2490901.7000000002</v>
      </c>
      <c r="P19" s="7">
        <f t="shared" si="1"/>
        <v>194769.70000000019</v>
      </c>
    </row>
    <row r="20" spans="1:16" ht="44.85" customHeight="1" x14ac:dyDescent="0.2">
      <c r="A20" s="13" t="s">
        <v>16</v>
      </c>
      <c r="B20" s="7">
        <v>29989</v>
      </c>
      <c r="C20" s="8">
        <f>34305-27221</f>
        <v>7084</v>
      </c>
      <c r="D20" s="8">
        <f t="shared" si="0"/>
        <v>-22905</v>
      </c>
      <c r="O20" s="7">
        <f>29989+25568</f>
        <v>55557</v>
      </c>
      <c r="P20" s="7">
        <f t="shared" si="1"/>
        <v>25568</v>
      </c>
    </row>
    <row r="21" spans="1:16" ht="62.25" customHeight="1" x14ac:dyDescent="0.2">
      <c r="A21" s="13" t="s">
        <v>17</v>
      </c>
      <c r="B21" s="14">
        <v>1501775</v>
      </c>
      <c r="C21" s="25">
        <f>1180869+69004+9000</f>
        <v>1258873</v>
      </c>
      <c r="D21" s="25">
        <f t="shared" si="0"/>
        <v>-242902</v>
      </c>
      <c r="O21" s="14">
        <f>1501775-11457</f>
        <v>1490318</v>
      </c>
      <c r="P21" s="14">
        <f t="shared" si="1"/>
        <v>-11457</v>
      </c>
    </row>
    <row r="22" spans="1:16" ht="45.4" customHeight="1" x14ac:dyDescent="0.2">
      <c r="A22" s="9" t="s">
        <v>18</v>
      </c>
      <c r="B22" s="7">
        <v>4277</v>
      </c>
      <c r="C22" s="8">
        <f>2849+620</f>
        <v>3469</v>
      </c>
      <c r="D22" s="8">
        <f t="shared" si="0"/>
        <v>-808</v>
      </c>
      <c r="O22" s="7">
        <v>4277</v>
      </c>
      <c r="P22" s="7">
        <f t="shared" si="1"/>
        <v>0</v>
      </c>
    </row>
    <row r="23" spans="1:16" ht="31.9" customHeight="1" x14ac:dyDescent="0.2">
      <c r="A23" s="10" t="s">
        <v>11</v>
      </c>
      <c r="B23" s="6">
        <v>10805</v>
      </c>
      <c r="C23" s="12">
        <v>12748</v>
      </c>
      <c r="D23" s="12">
        <f>C23-B23</f>
        <v>1943</v>
      </c>
      <c r="O23" s="6">
        <f>10805+1078</f>
        <v>11883</v>
      </c>
      <c r="P23" s="6">
        <f t="shared" si="1"/>
        <v>1078</v>
      </c>
    </row>
    <row r="24" spans="1:16" ht="32.450000000000003" customHeight="1" x14ac:dyDescent="0.2">
      <c r="A24" s="13" t="s">
        <v>19</v>
      </c>
      <c r="B24" s="7">
        <v>39729</v>
      </c>
      <c r="C24" s="8">
        <f>22759+18966</f>
        <v>41725</v>
      </c>
      <c r="D24" s="8">
        <f t="shared" si="0"/>
        <v>1996</v>
      </c>
      <c r="O24" s="7">
        <f>39729-11919</f>
        <v>27810</v>
      </c>
      <c r="P24" s="7">
        <f t="shared" si="1"/>
        <v>-11919</v>
      </c>
    </row>
    <row r="25" spans="1:16" ht="33.200000000000003" customHeight="1" x14ac:dyDescent="0.2">
      <c r="A25" s="13" t="s">
        <v>1607</v>
      </c>
      <c r="B25" s="6">
        <v>3371</v>
      </c>
      <c r="C25" s="12">
        <v>3844</v>
      </c>
      <c r="D25" s="12">
        <f t="shared" si="0"/>
        <v>473</v>
      </c>
      <c r="O25" s="6">
        <f>3371+352</f>
        <v>3723</v>
      </c>
      <c r="P25" s="6">
        <f t="shared" si="1"/>
        <v>352</v>
      </c>
    </row>
    <row r="26" spans="1:16" ht="32.450000000000003" customHeight="1" x14ac:dyDescent="0.2">
      <c r="A26" s="13" t="s">
        <v>21</v>
      </c>
      <c r="B26" s="6">
        <v>632</v>
      </c>
      <c r="C26" s="12"/>
      <c r="D26" s="12"/>
      <c r="O26" s="6">
        <v>632</v>
      </c>
      <c r="P26" s="6">
        <f t="shared" si="1"/>
        <v>0</v>
      </c>
    </row>
    <row r="27" spans="1:16" ht="96" customHeight="1" x14ac:dyDescent="0.2">
      <c r="A27" s="13" t="s">
        <v>57</v>
      </c>
      <c r="B27" s="6">
        <v>3793</v>
      </c>
      <c r="C27" s="12"/>
      <c r="D27" s="12"/>
      <c r="O27" s="6">
        <v>3793</v>
      </c>
      <c r="P27" s="6">
        <f t="shared" si="1"/>
        <v>0</v>
      </c>
    </row>
    <row r="28" spans="1:16" ht="80.45" customHeight="1" x14ac:dyDescent="0.2">
      <c r="A28" s="13" t="s">
        <v>58</v>
      </c>
      <c r="B28" s="6">
        <v>2845</v>
      </c>
      <c r="C28" s="12"/>
      <c r="D28" s="12"/>
      <c r="O28" s="6">
        <v>2845</v>
      </c>
      <c r="P28" s="6">
        <f t="shared" si="1"/>
        <v>0</v>
      </c>
    </row>
    <row r="29" spans="1:16" ht="39" customHeight="1" x14ac:dyDescent="0.2">
      <c r="A29" s="13" t="s">
        <v>59</v>
      </c>
      <c r="B29" s="6">
        <v>6</v>
      </c>
      <c r="C29" s="12"/>
      <c r="D29" s="12"/>
      <c r="O29" s="6">
        <v>6</v>
      </c>
      <c r="P29" s="6">
        <f t="shared" si="1"/>
        <v>0</v>
      </c>
    </row>
    <row r="30" spans="1:16" ht="21.4" customHeight="1" x14ac:dyDescent="0.2">
      <c r="A30" s="13" t="s">
        <v>20</v>
      </c>
      <c r="B30" s="6">
        <v>15290</v>
      </c>
      <c r="C30" s="12">
        <v>13108</v>
      </c>
      <c r="D30" s="12">
        <f>C30-B30</f>
        <v>-2182</v>
      </c>
      <c r="O30" s="6">
        <v>15290</v>
      </c>
      <c r="P30" s="6">
        <f t="shared" si="1"/>
        <v>0</v>
      </c>
    </row>
    <row r="31" spans="1:16" ht="39.6" customHeight="1" x14ac:dyDescent="0.2">
      <c r="A31" s="13" t="s">
        <v>60</v>
      </c>
      <c r="B31" s="6">
        <v>2399</v>
      </c>
      <c r="C31" s="12"/>
      <c r="D31" s="12"/>
      <c r="O31" s="6">
        <v>2399</v>
      </c>
      <c r="P31" s="6">
        <f t="shared" si="1"/>
        <v>0</v>
      </c>
    </row>
    <row r="32" spans="1:16" ht="22.7" customHeight="1" x14ac:dyDescent="0.2">
      <c r="A32" s="13" t="s">
        <v>61</v>
      </c>
      <c r="B32" s="6">
        <v>1720</v>
      </c>
      <c r="C32" s="12"/>
      <c r="D32" s="12"/>
      <c r="O32" s="6">
        <v>1720</v>
      </c>
      <c r="P32" s="6">
        <f t="shared" si="1"/>
        <v>0</v>
      </c>
    </row>
    <row r="33" spans="1:16" ht="93" customHeight="1" x14ac:dyDescent="0.2">
      <c r="A33" s="17" t="s">
        <v>1604</v>
      </c>
      <c r="B33" s="6">
        <v>0</v>
      </c>
      <c r="C33" s="12"/>
      <c r="D33" s="12"/>
      <c r="O33" s="6">
        <v>31457</v>
      </c>
      <c r="P33" s="6">
        <f t="shared" ref="P33:P34" si="2">O33-B33</f>
        <v>31457</v>
      </c>
    </row>
    <row r="34" spans="1:16" ht="77.25" customHeight="1" x14ac:dyDescent="0.2">
      <c r="A34" s="17" t="s">
        <v>1611</v>
      </c>
      <c r="B34" s="6">
        <v>0</v>
      </c>
      <c r="C34" s="12"/>
      <c r="D34" s="12"/>
      <c r="O34" s="6">
        <v>46602</v>
      </c>
      <c r="P34" s="6">
        <f t="shared" si="2"/>
        <v>46602</v>
      </c>
    </row>
    <row r="35" spans="1:16" ht="14.25" x14ac:dyDescent="0.2">
      <c r="A35" s="15" t="s">
        <v>22</v>
      </c>
      <c r="B35" s="16">
        <f>SUM(B36:B55)+B56+B57+B58</f>
        <v>843676.28</v>
      </c>
      <c r="C35" s="12"/>
      <c r="D35" s="12"/>
      <c r="O35" s="16">
        <f>SUM(O36:O55)+O56+O57+O58+O59+O60+O61+O62+O63+O64</f>
        <v>757306.31999999983</v>
      </c>
      <c r="P35" s="16">
        <f t="shared" si="1"/>
        <v>-86369.960000000196</v>
      </c>
    </row>
    <row r="36" spans="1:16" ht="25.9" customHeight="1" x14ac:dyDescent="0.2">
      <c r="A36" s="17" t="s">
        <v>63</v>
      </c>
      <c r="B36" s="6">
        <v>259135.08</v>
      </c>
      <c r="C36" s="12"/>
      <c r="D36" s="12"/>
      <c r="O36" s="6">
        <f>259135.08+177011.04</f>
        <v>436146.12</v>
      </c>
      <c r="P36" s="6">
        <f t="shared" si="1"/>
        <v>177011.04</v>
      </c>
    </row>
    <row r="37" spans="1:16" ht="24.6" customHeight="1" x14ac:dyDescent="0.2">
      <c r="A37" s="17" t="s">
        <v>36</v>
      </c>
      <c r="B37" s="6">
        <f>200103.4+4575</f>
        <v>204678.39999999999</v>
      </c>
      <c r="C37" s="12"/>
      <c r="D37" s="12"/>
      <c r="O37" s="6">
        <f>200103.4+4575-2495-199691.8</f>
        <v>2491.6000000000058</v>
      </c>
      <c r="P37" s="6">
        <f t="shared" si="1"/>
        <v>-202186.8</v>
      </c>
    </row>
    <row r="38" spans="1:16" ht="21.4" customHeight="1" x14ac:dyDescent="0.2">
      <c r="A38" s="17" t="s">
        <v>37</v>
      </c>
      <c r="B38" s="6">
        <f>38475.3+10166+0.4</f>
        <v>48641.700000000004</v>
      </c>
      <c r="C38" s="12"/>
      <c r="D38" s="12"/>
      <c r="O38" s="6">
        <f>38475.3+10166+0.4-48641.7</f>
        <v>0</v>
      </c>
      <c r="P38" s="6">
        <f t="shared" si="1"/>
        <v>-48641.700000000004</v>
      </c>
    </row>
    <row r="39" spans="1:16" ht="33.200000000000003" customHeight="1" x14ac:dyDescent="0.2">
      <c r="A39" s="17" t="s">
        <v>31</v>
      </c>
      <c r="B39" s="6">
        <f>4199-0.4</f>
        <v>4198.6000000000004</v>
      </c>
      <c r="C39" s="12"/>
      <c r="D39" s="12"/>
      <c r="O39" s="6">
        <f>4199-0.4</f>
        <v>4198.6000000000004</v>
      </c>
      <c r="P39" s="6">
        <f t="shared" si="1"/>
        <v>0</v>
      </c>
    </row>
    <row r="40" spans="1:16" ht="24.6" customHeight="1" x14ac:dyDescent="0.2">
      <c r="A40" s="17" t="s">
        <v>64</v>
      </c>
      <c r="B40" s="6">
        <f>11546+650</f>
        <v>12196</v>
      </c>
      <c r="C40" s="12"/>
      <c r="D40" s="12"/>
      <c r="O40" s="6">
        <f>11546+650</f>
        <v>12196</v>
      </c>
      <c r="P40" s="6">
        <f t="shared" si="1"/>
        <v>0</v>
      </c>
    </row>
    <row r="41" spans="1:16" ht="39.6" customHeight="1" x14ac:dyDescent="0.2">
      <c r="A41" s="17" t="s">
        <v>24</v>
      </c>
      <c r="B41" s="6">
        <f>38725-96</f>
        <v>38629</v>
      </c>
      <c r="C41" s="12"/>
      <c r="D41" s="12"/>
      <c r="O41" s="6">
        <f>38725-96</f>
        <v>38629</v>
      </c>
      <c r="P41" s="6">
        <f t="shared" si="1"/>
        <v>0</v>
      </c>
    </row>
    <row r="42" spans="1:16" ht="60.95" customHeight="1" x14ac:dyDescent="0.2">
      <c r="A42" s="17" t="s">
        <v>38</v>
      </c>
      <c r="B42" s="6">
        <v>1203</v>
      </c>
      <c r="C42" s="12"/>
      <c r="D42" s="12"/>
      <c r="O42" s="6">
        <v>1203</v>
      </c>
      <c r="P42" s="6">
        <f t="shared" si="1"/>
        <v>0</v>
      </c>
    </row>
    <row r="43" spans="1:16" ht="20.100000000000001" customHeight="1" x14ac:dyDescent="0.2">
      <c r="A43" s="17" t="s">
        <v>25</v>
      </c>
      <c r="B43" s="6">
        <v>17681.900000000001</v>
      </c>
      <c r="C43" s="12"/>
      <c r="D43" s="12"/>
      <c r="O43" s="6">
        <f>17681.9-7926.6-712.5</f>
        <v>9042.8000000000011</v>
      </c>
      <c r="P43" s="6">
        <f t="shared" si="1"/>
        <v>-8639.1</v>
      </c>
    </row>
    <row r="44" spans="1:16" ht="22.7" customHeight="1" x14ac:dyDescent="0.2">
      <c r="A44" s="17" t="s">
        <v>39</v>
      </c>
      <c r="B44" s="6">
        <f>9744.1-6966.6</f>
        <v>2777.5</v>
      </c>
      <c r="C44" s="12"/>
      <c r="D44" s="12"/>
      <c r="O44" s="6">
        <f>9744.1-6966.6-2777.5</f>
        <v>0</v>
      </c>
      <c r="P44" s="6">
        <f t="shared" si="1"/>
        <v>-2777.5</v>
      </c>
    </row>
    <row r="45" spans="1:16" ht="58.35" customHeight="1" x14ac:dyDescent="0.2">
      <c r="A45" s="17" t="s">
        <v>40</v>
      </c>
      <c r="B45" s="6">
        <f>2503-2503</f>
        <v>0</v>
      </c>
      <c r="C45" s="12"/>
      <c r="D45" s="12"/>
      <c r="O45" s="6">
        <f>2503-2503</f>
        <v>0</v>
      </c>
      <c r="P45" s="6">
        <f t="shared" si="1"/>
        <v>0</v>
      </c>
    </row>
    <row r="46" spans="1:16" ht="33.75" customHeight="1" x14ac:dyDescent="0.2">
      <c r="A46" s="17" t="s">
        <v>41</v>
      </c>
      <c r="B46" s="6">
        <v>1000</v>
      </c>
      <c r="C46" s="12"/>
      <c r="D46" s="12"/>
      <c r="O46" s="6">
        <v>1000</v>
      </c>
      <c r="P46" s="6">
        <f t="shared" si="1"/>
        <v>0</v>
      </c>
    </row>
    <row r="47" spans="1:16" ht="22.7" customHeight="1" x14ac:dyDescent="0.2">
      <c r="A47" s="17" t="s">
        <v>42</v>
      </c>
      <c r="B47" s="6">
        <v>291</v>
      </c>
      <c r="C47" s="12"/>
      <c r="D47" s="12"/>
      <c r="O47" s="6">
        <v>291</v>
      </c>
      <c r="P47" s="6">
        <f t="shared" si="1"/>
        <v>0</v>
      </c>
    </row>
    <row r="48" spans="1:16" ht="31.15" customHeight="1" x14ac:dyDescent="0.2">
      <c r="A48" s="17" t="s">
        <v>43</v>
      </c>
      <c r="B48" s="6">
        <v>77953</v>
      </c>
      <c r="C48" s="12"/>
      <c r="D48" s="12"/>
      <c r="O48" s="6">
        <f>77953-14854</f>
        <v>63099</v>
      </c>
      <c r="P48" s="6">
        <f t="shared" si="1"/>
        <v>-14854</v>
      </c>
    </row>
    <row r="49" spans="1:16" ht="36.4" customHeight="1" x14ac:dyDescent="0.2">
      <c r="A49" s="17" t="s">
        <v>44</v>
      </c>
      <c r="B49" s="6">
        <v>2485</v>
      </c>
      <c r="C49" s="12"/>
      <c r="D49" s="12"/>
      <c r="O49" s="6">
        <v>2485</v>
      </c>
      <c r="P49" s="6">
        <f t="shared" si="1"/>
        <v>0</v>
      </c>
    </row>
    <row r="50" spans="1:16" ht="31.15" customHeight="1" x14ac:dyDescent="0.2">
      <c r="A50" s="17" t="s">
        <v>45</v>
      </c>
      <c r="B50" s="6">
        <v>6777.5</v>
      </c>
      <c r="C50" s="12"/>
      <c r="D50" s="12"/>
      <c r="O50" s="6">
        <v>6777.5</v>
      </c>
      <c r="P50" s="6">
        <f t="shared" si="1"/>
        <v>0</v>
      </c>
    </row>
    <row r="51" spans="1:16" ht="50.65" customHeight="1" x14ac:dyDescent="0.2">
      <c r="A51" s="17" t="s">
        <v>46</v>
      </c>
      <c r="B51" s="6">
        <v>813</v>
      </c>
      <c r="C51" s="12"/>
      <c r="D51" s="12"/>
      <c r="O51" s="6">
        <v>813</v>
      </c>
      <c r="P51" s="6">
        <f t="shared" si="1"/>
        <v>0</v>
      </c>
    </row>
    <row r="52" spans="1:16" ht="29.85" customHeight="1" x14ac:dyDescent="0.2">
      <c r="A52" s="17" t="s">
        <v>47</v>
      </c>
      <c r="B52" s="6">
        <v>6918</v>
      </c>
      <c r="C52" s="12"/>
      <c r="D52" s="12"/>
      <c r="O52" s="6">
        <v>6918</v>
      </c>
      <c r="P52" s="6">
        <f t="shared" si="1"/>
        <v>0</v>
      </c>
    </row>
    <row r="53" spans="1:16" ht="31.9" customHeight="1" x14ac:dyDescent="0.2">
      <c r="A53" s="17" t="s">
        <v>50</v>
      </c>
      <c r="B53" s="6">
        <v>32258</v>
      </c>
      <c r="C53" s="12"/>
      <c r="D53" s="12"/>
      <c r="O53" s="6">
        <f>32258-32258</f>
        <v>0</v>
      </c>
      <c r="P53" s="6">
        <f t="shared" si="1"/>
        <v>-32258</v>
      </c>
    </row>
    <row r="54" spans="1:16" ht="50.65" customHeight="1" x14ac:dyDescent="0.2">
      <c r="A54" s="17" t="s">
        <v>48</v>
      </c>
      <c r="B54" s="6">
        <v>1721</v>
      </c>
      <c r="C54" s="12"/>
      <c r="D54" s="12"/>
      <c r="O54" s="6">
        <f>1721-1721</f>
        <v>0</v>
      </c>
      <c r="P54" s="6">
        <f t="shared" si="1"/>
        <v>-1721</v>
      </c>
    </row>
    <row r="55" spans="1:16" ht="33.75" customHeight="1" x14ac:dyDescent="0.2">
      <c r="A55" s="17" t="s">
        <v>49</v>
      </c>
      <c r="B55" s="6">
        <v>12000</v>
      </c>
      <c r="C55" s="12"/>
      <c r="D55" s="12"/>
      <c r="O55" s="6">
        <f>12000-2793</f>
        <v>9207</v>
      </c>
      <c r="P55" s="6">
        <f t="shared" si="1"/>
        <v>-2793</v>
      </c>
    </row>
    <row r="56" spans="1:16" ht="33.75" customHeight="1" x14ac:dyDescent="0.2">
      <c r="A56" s="17" t="s">
        <v>1399</v>
      </c>
      <c r="B56" s="6">
        <f>3481.8+1498.8</f>
        <v>4980.6000000000004</v>
      </c>
      <c r="C56" s="12"/>
      <c r="D56" s="12"/>
      <c r="O56" s="6">
        <f>3481.8+1498.8</f>
        <v>4980.6000000000004</v>
      </c>
      <c r="P56" s="6">
        <f t="shared" si="1"/>
        <v>0</v>
      </c>
    </row>
    <row r="57" spans="1:16" ht="58.5" customHeight="1" x14ac:dyDescent="0.2">
      <c r="A57" s="17" t="s">
        <v>1406</v>
      </c>
      <c r="B57" s="6">
        <v>12338</v>
      </c>
      <c r="C57" s="12"/>
      <c r="D57" s="12"/>
      <c r="O57" s="6">
        <v>12338</v>
      </c>
      <c r="P57" s="6">
        <f t="shared" si="1"/>
        <v>0</v>
      </c>
    </row>
    <row r="58" spans="1:16" ht="24.75" customHeight="1" x14ac:dyDescent="0.2">
      <c r="A58" s="17" t="s">
        <v>1410</v>
      </c>
      <c r="B58" s="6">
        <f>50675.4+44324.6</f>
        <v>95000</v>
      </c>
      <c r="C58" s="12"/>
      <c r="D58" s="12"/>
      <c r="O58" s="6">
        <f>50675.4+44324.6-95000</f>
        <v>0</v>
      </c>
      <c r="P58" s="6">
        <f t="shared" si="1"/>
        <v>-95000</v>
      </c>
    </row>
    <row r="59" spans="1:16" ht="30.75" customHeight="1" x14ac:dyDescent="0.2">
      <c r="A59" s="17" t="s">
        <v>1605</v>
      </c>
      <c r="B59" s="6">
        <v>0</v>
      </c>
      <c r="C59" s="12"/>
      <c r="D59" s="12"/>
      <c r="O59" s="6">
        <v>3858</v>
      </c>
      <c r="P59" s="6">
        <f t="shared" si="1"/>
        <v>3858</v>
      </c>
    </row>
    <row r="60" spans="1:16" ht="30.75" customHeight="1" x14ac:dyDescent="0.2">
      <c r="A60" s="17" t="s">
        <v>1612</v>
      </c>
      <c r="B60" s="6">
        <v>0</v>
      </c>
      <c r="C60" s="12"/>
      <c r="D60" s="12"/>
      <c r="O60" s="6">
        <v>67903</v>
      </c>
      <c r="P60" s="6">
        <f t="shared" si="1"/>
        <v>67903</v>
      </c>
    </row>
    <row r="61" spans="1:16" ht="24" customHeight="1" x14ac:dyDescent="0.2">
      <c r="A61" s="17" t="s">
        <v>1613</v>
      </c>
      <c r="B61" s="6">
        <v>0</v>
      </c>
      <c r="C61" s="12"/>
      <c r="D61" s="12"/>
      <c r="O61" s="6">
        <v>61790.7</v>
      </c>
      <c r="P61" s="6">
        <f t="shared" si="1"/>
        <v>61790.7</v>
      </c>
    </row>
    <row r="62" spans="1:16" ht="63.75" customHeight="1" x14ac:dyDescent="0.2">
      <c r="A62" s="17" t="s">
        <v>1616</v>
      </c>
      <c r="B62" s="6">
        <v>0</v>
      </c>
      <c r="C62" s="12"/>
      <c r="D62" s="12"/>
      <c r="O62" s="6">
        <v>5795</v>
      </c>
      <c r="P62" s="6">
        <f t="shared" si="1"/>
        <v>5795</v>
      </c>
    </row>
    <row r="63" spans="1:16" ht="26.25" customHeight="1" x14ac:dyDescent="0.2">
      <c r="A63" s="17" t="s">
        <v>1624</v>
      </c>
      <c r="B63" s="6">
        <v>0</v>
      </c>
      <c r="C63" s="12"/>
      <c r="D63" s="12"/>
      <c r="O63" s="6">
        <v>5081.3</v>
      </c>
      <c r="P63" s="6">
        <f t="shared" si="1"/>
        <v>5081.3</v>
      </c>
    </row>
    <row r="64" spans="1:16" ht="26.25" customHeight="1" x14ac:dyDescent="0.2">
      <c r="A64" s="17" t="s">
        <v>1629</v>
      </c>
      <c r="B64" s="6">
        <v>0</v>
      </c>
      <c r="C64" s="12"/>
      <c r="D64" s="12"/>
      <c r="O64" s="6">
        <v>1062.0999999999999</v>
      </c>
      <c r="P64" s="6">
        <f t="shared" si="1"/>
        <v>1062.0999999999999</v>
      </c>
    </row>
    <row r="65" spans="1:16" ht="19.5" customHeight="1" x14ac:dyDescent="0.25">
      <c r="A65" s="15" t="s">
        <v>29</v>
      </c>
      <c r="B65" s="16">
        <f>B66</f>
        <v>0</v>
      </c>
      <c r="C65" s="421"/>
      <c r="D65" s="421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16">
        <f>O66</f>
        <v>1036.7</v>
      </c>
      <c r="P65" s="16">
        <f t="shared" si="1"/>
        <v>1036.7</v>
      </c>
    </row>
    <row r="66" spans="1:16" ht="19.5" customHeight="1" x14ac:dyDescent="0.2">
      <c r="A66" s="17" t="s">
        <v>1621</v>
      </c>
      <c r="B66" s="6">
        <v>0</v>
      </c>
      <c r="C66" s="12"/>
      <c r="D66" s="12"/>
      <c r="O66" s="6">
        <v>1036.7</v>
      </c>
      <c r="P66" s="6">
        <f t="shared" si="1"/>
        <v>1036.7</v>
      </c>
    </row>
    <row r="67" spans="1:16" ht="14.25" x14ac:dyDescent="0.2">
      <c r="A67" s="18" t="s">
        <v>26</v>
      </c>
      <c r="B67" s="19">
        <f>B11+B35</f>
        <v>5315998.28</v>
      </c>
      <c r="C67" s="20" t="e">
        <f>C11+#REF!+#REF!</f>
        <v>#REF!</v>
      </c>
      <c r="D67" s="20" t="e">
        <f t="shared" si="0"/>
        <v>#REF!</v>
      </c>
      <c r="O67" s="19">
        <f>O11+O35+O65</f>
        <v>5447513.4200000009</v>
      </c>
      <c r="P67" s="19">
        <f t="shared" si="1"/>
        <v>131515.1400000006</v>
      </c>
    </row>
  </sheetData>
  <mergeCells count="11">
    <mergeCell ref="A1:P1"/>
    <mergeCell ref="A2:P2"/>
    <mergeCell ref="A3:P3"/>
    <mergeCell ref="A7:A9"/>
    <mergeCell ref="B7:B9"/>
    <mergeCell ref="C7:C9"/>
    <mergeCell ref="D7:D9"/>
    <mergeCell ref="O7:O9"/>
    <mergeCell ref="P7:P9"/>
    <mergeCell ref="B6:P6"/>
    <mergeCell ref="A4:P4"/>
  </mergeCells>
  <pageMargins left="0.78740157480314965" right="0.39370078740157483" top="0.78740157480314965" bottom="0.78740157480314965" header="0" footer="0"/>
  <pageSetup paperSize="9" scale="60" firstPageNumber="68" orientation="portrait" useFirstPageNumber="1" r:id="rId1"/>
  <headerFooter alignWithMargins="0"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="120" zoomScaleNormal="120" workbookViewId="0">
      <selection activeCell="C3" sqref="C3:G3"/>
    </sheetView>
  </sheetViews>
  <sheetFormatPr defaultColWidth="9.140625" defaultRowHeight="12" x14ac:dyDescent="0.2"/>
  <cols>
    <col min="1" max="1" width="82.85546875" style="122" customWidth="1"/>
    <col min="2" max="4" width="15.42578125" style="129" customWidth="1"/>
    <col min="5" max="5" width="16.140625" style="129" customWidth="1"/>
    <col min="6" max="6" width="14.5703125" style="26" customWidth="1"/>
    <col min="7" max="7" width="14.140625" style="26" customWidth="1"/>
    <col min="8" max="9" width="9.140625" style="26"/>
    <col min="10" max="10" width="13.85546875" style="26" customWidth="1"/>
    <col min="11" max="16384" width="9.140625" style="26"/>
  </cols>
  <sheetData>
    <row r="1" spans="1:13" ht="12.75" x14ac:dyDescent="0.2">
      <c r="A1" s="1"/>
      <c r="B1" s="1"/>
      <c r="C1" s="1"/>
      <c r="D1" s="1"/>
      <c r="E1" s="475" t="s">
        <v>27</v>
      </c>
      <c r="F1" s="463"/>
      <c r="G1" s="463"/>
    </row>
    <row r="2" spans="1:13" ht="12.75" x14ac:dyDescent="0.2">
      <c r="A2" s="1"/>
      <c r="B2" s="249"/>
      <c r="C2" s="249"/>
      <c r="D2" s="249"/>
      <c r="E2" s="475" t="s">
        <v>1</v>
      </c>
      <c r="F2" s="463"/>
      <c r="G2" s="463"/>
    </row>
    <row r="3" spans="1:13" ht="12.75" x14ac:dyDescent="0.2">
      <c r="A3" s="1"/>
      <c r="B3" s="249"/>
      <c r="C3" s="476" t="s">
        <v>1739</v>
      </c>
      <c r="D3" s="463"/>
      <c r="E3" s="463"/>
      <c r="F3" s="463"/>
      <c r="G3" s="463"/>
    </row>
    <row r="5" spans="1:13" ht="46.7" customHeight="1" x14ac:dyDescent="0.2">
      <c r="A5" s="498" t="s">
        <v>32</v>
      </c>
      <c r="B5" s="498"/>
      <c r="C5" s="498"/>
      <c r="D5" s="498"/>
      <c r="E5" s="499"/>
      <c r="F5" s="463"/>
      <c r="G5" s="463"/>
    </row>
    <row r="6" spans="1:13" ht="12.75" x14ac:dyDescent="0.2">
      <c r="A6" s="121"/>
      <c r="B6" s="128"/>
      <c r="C6" s="128"/>
      <c r="D6" s="128"/>
    </row>
    <row r="7" spans="1:13" ht="12.75" x14ac:dyDescent="0.2">
      <c r="A7" s="121"/>
      <c r="E7" s="496" t="s">
        <v>2</v>
      </c>
      <c r="F7" s="497"/>
      <c r="G7" s="497"/>
    </row>
    <row r="8" spans="1:13" x14ac:dyDescent="0.2">
      <c r="A8" s="477" t="s">
        <v>3</v>
      </c>
      <c r="B8" s="489" t="s">
        <v>28</v>
      </c>
      <c r="C8" s="490"/>
      <c r="D8" s="491"/>
      <c r="E8" s="489" t="s">
        <v>62</v>
      </c>
      <c r="F8" s="494"/>
      <c r="G8" s="495"/>
    </row>
    <row r="9" spans="1:13" ht="15" x14ac:dyDescent="0.2">
      <c r="A9" s="487"/>
      <c r="B9" s="488" t="s">
        <v>4</v>
      </c>
      <c r="C9" s="492" t="s">
        <v>5</v>
      </c>
      <c r="D9" s="492" t="s">
        <v>6</v>
      </c>
      <c r="E9" s="488" t="s">
        <v>4</v>
      </c>
      <c r="F9" s="492" t="s">
        <v>5</v>
      </c>
      <c r="G9" s="492" t="s">
        <v>6</v>
      </c>
      <c r="K9" s="124"/>
      <c r="L9" s="125"/>
      <c r="M9" s="89"/>
    </row>
    <row r="10" spans="1:13" ht="15" x14ac:dyDescent="0.2">
      <c r="A10" s="487"/>
      <c r="B10" s="488"/>
      <c r="C10" s="493"/>
      <c r="D10" s="493"/>
      <c r="E10" s="488"/>
      <c r="F10" s="493"/>
      <c r="G10" s="493"/>
      <c r="K10" s="126"/>
      <c r="L10" s="125"/>
      <c r="M10" s="89"/>
    </row>
    <row r="11" spans="1:13" ht="15" x14ac:dyDescent="0.2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K11" s="126"/>
      <c r="L11" s="127"/>
      <c r="M11" s="21"/>
    </row>
    <row r="12" spans="1:13" ht="12.75" x14ac:dyDescent="0.2">
      <c r="A12" s="3" t="s">
        <v>7</v>
      </c>
      <c r="B12" s="130">
        <f>SUM(B13:B33)</f>
        <v>4464303</v>
      </c>
      <c r="C12" s="130">
        <f>SUM(C13:C35)</f>
        <v>4525026</v>
      </c>
      <c r="D12" s="130">
        <f>C12-B12</f>
        <v>60723</v>
      </c>
      <c r="E12" s="130">
        <f>SUM(E13:E33)</f>
        <v>4458564</v>
      </c>
      <c r="F12" s="130">
        <f>SUM(F13:F35)</f>
        <v>4519287</v>
      </c>
      <c r="G12" s="130">
        <f>F12-E12</f>
        <v>60723</v>
      </c>
    </row>
    <row r="13" spans="1:13" ht="42.95" customHeight="1" x14ac:dyDescent="0.2">
      <c r="A13" s="22" t="s">
        <v>8</v>
      </c>
      <c r="B13" s="131">
        <v>194</v>
      </c>
      <c r="C13" s="131">
        <v>194</v>
      </c>
      <c r="D13" s="131">
        <f t="shared" ref="D13:D62" si="0">C13-B13</f>
        <v>0</v>
      </c>
      <c r="E13" s="131">
        <v>194</v>
      </c>
      <c r="F13" s="131">
        <v>194</v>
      </c>
      <c r="G13" s="131">
        <f t="shared" ref="G13:G62" si="1">F13-E13</f>
        <v>0</v>
      </c>
    </row>
    <row r="14" spans="1:13" ht="68.25" customHeight="1" x14ac:dyDescent="0.2">
      <c r="A14" s="22" t="s">
        <v>53</v>
      </c>
      <c r="B14" s="132">
        <v>146900</v>
      </c>
      <c r="C14" s="132">
        <f>146900-146900</f>
        <v>0</v>
      </c>
      <c r="D14" s="132">
        <f t="shared" si="0"/>
        <v>-146900</v>
      </c>
      <c r="E14" s="132">
        <v>146900</v>
      </c>
      <c r="F14" s="132">
        <f>146900-146900</f>
        <v>0</v>
      </c>
      <c r="G14" s="132">
        <f t="shared" si="1"/>
        <v>-146900</v>
      </c>
    </row>
    <row r="15" spans="1:13" ht="54.6" customHeight="1" x14ac:dyDescent="0.2">
      <c r="A15" s="22" t="s">
        <v>9</v>
      </c>
      <c r="B15" s="133">
        <v>8310</v>
      </c>
      <c r="C15" s="133">
        <v>8310</v>
      </c>
      <c r="D15" s="133">
        <f t="shared" si="0"/>
        <v>0</v>
      </c>
      <c r="E15" s="133">
        <v>9026</v>
      </c>
      <c r="F15" s="133">
        <v>9026</v>
      </c>
      <c r="G15" s="133">
        <f t="shared" si="1"/>
        <v>0</v>
      </c>
    </row>
    <row r="16" spans="1:13" ht="43.5" customHeight="1" x14ac:dyDescent="0.2">
      <c r="A16" s="9" t="s">
        <v>10</v>
      </c>
      <c r="B16" s="133">
        <v>111276</v>
      </c>
      <c r="C16" s="133">
        <v>111276</v>
      </c>
      <c r="D16" s="133">
        <f t="shared" si="0"/>
        <v>0</v>
      </c>
      <c r="E16" s="133">
        <v>111276</v>
      </c>
      <c r="F16" s="133">
        <v>111276</v>
      </c>
      <c r="G16" s="133">
        <f t="shared" si="1"/>
        <v>0</v>
      </c>
    </row>
    <row r="17" spans="1:7" ht="92.1" customHeight="1" x14ac:dyDescent="0.2">
      <c r="A17" s="9" t="s">
        <v>54</v>
      </c>
      <c r="B17" s="133">
        <f>167226-6351</f>
        <v>160875</v>
      </c>
      <c r="C17" s="133">
        <f>167226-6351</f>
        <v>160875</v>
      </c>
      <c r="D17" s="133">
        <f t="shared" si="0"/>
        <v>0</v>
      </c>
      <c r="E17" s="133">
        <f>167226-6351</f>
        <v>160875</v>
      </c>
      <c r="F17" s="133">
        <f>167226-6351</f>
        <v>160875</v>
      </c>
      <c r="G17" s="133">
        <f t="shared" si="1"/>
        <v>0</v>
      </c>
    </row>
    <row r="18" spans="1:7" ht="31.9" customHeight="1" x14ac:dyDescent="0.2">
      <c r="A18" s="11" t="s">
        <v>13</v>
      </c>
      <c r="B18" s="131">
        <v>130337</v>
      </c>
      <c r="C18" s="131">
        <v>130337</v>
      </c>
      <c r="D18" s="131">
        <f t="shared" si="0"/>
        <v>0</v>
      </c>
      <c r="E18" s="131">
        <v>135811</v>
      </c>
      <c r="F18" s="131">
        <v>135811</v>
      </c>
      <c r="G18" s="131">
        <f t="shared" si="1"/>
        <v>0</v>
      </c>
    </row>
    <row r="19" spans="1:7" ht="35.1" customHeight="1" x14ac:dyDescent="0.2">
      <c r="A19" s="11" t="s">
        <v>14</v>
      </c>
      <c r="B19" s="133">
        <v>10658</v>
      </c>
      <c r="C19" s="133">
        <v>10658</v>
      </c>
      <c r="D19" s="133">
        <f t="shared" si="0"/>
        <v>0</v>
      </c>
      <c r="E19" s="133">
        <v>10658</v>
      </c>
      <c r="F19" s="133">
        <v>10658</v>
      </c>
      <c r="G19" s="133">
        <f t="shared" si="1"/>
        <v>0</v>
      </c>
    </row>
    <row r="20" spans="1:7" ht="110.25" customHeight="1" x14ac:dyDescent="0.2">
      <c r="A20" s="9" t="s">
        <v>15</v>
      </c>
      <c r="B20" s="133">
        <f>2297918-1786</f>
        <v>2296132</v>
      </c>
      <c r="C20" s="133">
        <f>2297918-1786</f>
        <v>2296132</v>
      </c>
      <c r="D20" s="133">
        <f t="shared" si="0"/>
        <v>0</v>
      </c>
      <c r="E20" s="133">
        <f>2297918-1786</f>
        <v>2296132</v>
      </c>
      <c r="F20" s="133">
        <f>2297918-1786</f>
        <v>2296132</v>
      </c>
      <c r="G20" s="133">
        <f t="shared" si="1"/>
        <v>0</v>
      </c>
    </row>
    <row r="21" spans="1:7" ht="75.95" customHeight="1" x14ac:dyDescent="0.2">
      <c r="A21" s="13" t="s">
        <v>16</v>
      </c>
      <c r="B21" s="133">
        <v>29989</v>
      </c>
      <c r="C21" s="133">
        <v>29989</v>
      </c>
      <c r="D21" s="133">
        <f t="shared" si="0"/>
        <v>0</v>
      </c>
      <c r="E21" s="133">
        <v>29989</v>
      </c>
      <c r="F21" s="133">
        <v>29989</v>
      </c>
      <c r="G21" s="133">
        <f t="shared" si="1"/>
        <v>0</v>
      </c>
    </row>
    <row r="22" spans="1:7" ht="80.45" customHeight="1" x14ac:dyDescent="0.2">
      <c r="A22" s="13" t="s">
        <v>17</v>
      </c>
      <c r="B22" s="134">
        <v>1501775</v>
      </c>
      <c r="C22" s="134">
        <v>1501775</v>
      </c>
      <c r="D22" s="134">
        <f t="shared" si="0"/>
        <v>0</v>
      </c>
      <c r="E22" s="134">
        <v>1501775</v>
      </c>
      <c r="F22" s="134">
        <v>1501775</v>
      </c>
      <c r="G22" s="134">
        <f t="shared" si="1"/>
        <v>0</v>
      </c>
    </row>
    <row r="23" spans="1:7" ht="63.6" customHeight="1" x14ac:dyDescent="0.2">
      <c r="A23" s="9" t="s">
        <v>18</v>
      </c>
      <c r="B23" s="133">
        <v>4277</v>
      </c>
      <c r="C23" s="133">
        <v>4277</v>
      </c>
      <c r="D23" s="133">
        <f t="shared" si="0"/>
        <v>0</v>
      </c>
      <c r="E23" s="133">
        <v>4291</v>
      </c>
      <c r="F23" s="133">
        <v>4291</v>
      </c>
      <c r="G23" s="133">
        <f t="shared" si="1"/>
        <v>0</v>
      </c>
    </row>
    <row r="24" spans="1:7" ht="45.4" customHeight="1" x14ac:dyDescent="0.2">
      <c r="A24" s="10" t="s">
        <v>11</v>
      </c>
      <c r="B24" s="131">
        <v>10805</v>
      </c>
      <c r="C24" s="131">
        <v>10805</v>
      </c>
      <c r="D24" s="131">
        <f t="shared" si="0"/>
        <v>0</v>
      </c>
      <c r="E24" s="131">
        <v>10805</v>
      </c>
      <c r="F24" s="131">
        <v>10805</v>
      </c>
      <c r="G24" s="131">
        <f t="shared" si="1"/>
        <v>0</v>
      </c>
    </row>
    <row r="25" spans="1:7" ht="48.6" customHeight="1" x14ac:dyDescent="0.2">
      <c r="A25" s="13" t="s">
        <v>19</v>
      </c>
      <c r="B25" s="133">
        <v>39729</v>
      </c>
      <c r="C25" s="133">
        <v>39729</v>
      </c>
      <c r="D25" s="133">
        <f t="shared" si="0"/>
        <v>0</v>
      </c>
      <c r="E25" s="133">
        <v>23838</v>
      </c>
      <c r="F25" s="133">
        <v>23838</v>
      </c>
      <c r="G25" s="133">
        <f t="shared" si="1"/>
        <v>0</v>
      </c>
    </row>
    <row r="26" spans="1:7" ht="33.75" customHeight="1" x14ac:dyDescent="0.2">
      <c r="A26" s="13" t="s">
        <v>55</v>
      </c>
      <c r="B26" s="133">
        <v>0</v>
      </c>
      <c r="C26" s="133">
        <v>0</v>
      </c>
      <c r="D26" s="133">
        <f t="shared" si="0"/>
        <v>0</v>
      </c>
      <c r="E26" s="133">
        <v>1102</v>
      </c>
      <c r="F26" s="133">
        <v>1102</v>
      </c>
      <c r="G26" s="133">
        <f t="shared" si="1"/>
        <v>0</v>
      </c>
    </row>
    <row r="27" spans="1:7" ht="44.85" customHeight="1" x14ac:dyDescent="0.2">
      <c r="A27" s="13" t="s">
        <v>56</v>
      </c>
      <c r="B27" s="133">
        <v>0</v>
      </c>
      <c r="C27" s="133">
        <v>0</v>
      </c>
      <c r="D27" s="133">
        <f t="shared" si="0"/>
        <v>0</v>
      </c>
      <c r="E27" s="133">
        <v>1102</v>
      </c>
      <c r="F27" s="133">
        <v>1102</v>
      </c>
      <c r="G27" s="133">
        <f t="shared" si="1"/>
        <v>0</v>
      </c>
    </row>
    <row r="28" spans="1:7" ht="35.1" customHeight="1" x14ac:dyDescent="0.2">
      <c r="A28" s="120" t="s">
        <v>21</v>
      </c>
      <c r="B28" s="131">
        <v>632</v>
      </c>
      <c r="C28" s="131">
        <v>632</v>
      </c>
      <c r="D28" s="131">
        <f t="shared" si="0"/>
        <v>0</v>
      </c>
      <c r="E28" s="131">
        <v>632</v>
      </c>
      <c r="F28" s="131">
        <v>632</v>
      </c>
      <c r="G28" s="131">
        <f t="shared" si="1"/>
        <v>0</v>
      </c>
    </row>
    <row r="29" spans="1:7" ht="29.25" customHeight="1" x14ac:dyDescent="0.2">
      <c r="A29" s="189" t="s">
        <v>1607</v>
      </c>
      <c r="B29" s="131">
        <v>3371</v>
      </c>
      <c r="C29" s="131">
        <f>3371+352</f>
        <v>3723</v>
      </c>
      <c r="D29" s="131">
        <f t="shared" si="0"/>
        <v>352</v>
      </c>
      <c r="E29" s="131">
        <v>3371</v>
      </c>
      <c r="F29" s="131">
        <f>3371+352</f>
        <v>3723</v>
      </c>
      <c r="G29" s="131">
        <f t="shared" si="1"/>
        <v>352</v>
      </c>
    </row>
    <row r="30" spans="1:7" ht="105.2" customHeight="1" x14ac:dyDescent="0.2">
      <c r="A30" s="13" t="s">
        <v>57</v>
      </c>
      <c r="B30" s="131">
        <v>3793</v>
      </c>
      <c r="C30" s="131">
        <v>3793</v>
      </c>
      <c r="D30" s="131">
        <f t="shared" si="0"/>
        <v>0</v>
      </c>
      <c r="E30" s="131">
        <v>3793</v>
      </c>
      <c r="F30" s="131">
        <v>3793</v>
      </c>
      <c r="G30" s="131">
        <f t="shared" si="1"/>
        <v>0</v>
      </c>
    </row>
    <row r="31" spans="1:7" ht="110.25" customHeight="1" x14ac:dyDescent="0.2">
      <c r="A31" s="13" t="s">
        <v>58</v>
      </c>
      <c r="B31" s="131">
        <v>2845</v>
      </c>
      <c r="C31" s="131">
        <v>2845</v>
      </c>
      <c r="D31" s="131">
        <f t="shared" si="0"/>
        <v>0</v>
      </c>
      <c r="E31" s="131">
        <v>2845</v>
      </c>
      <c r="F31" s="131">
        <v>2845</v>
      </c>
      <c r="G31" s="131">
        <f t="shared" si="1"/>
        <v>0</v>
      </c>
    </row>
    <row r="32" spans="1:7" ht="47.45" customHeight="1" x14ac:dyDescent="0.2">
      <c r="A32" s="13" t="s">
        <v>59</v>
      </c>
      <c r="B32" s="131">
        <v>6</v>
      </c>
      <c r="C32" s="131">
        <v>6</v>
      </c>
      <c r="D32" s="131">
        <f t="shared" si="0"/>
        <v>0</v>
      </c>
      <c r="E32" s="131">
        <v>1750</v>
      </c>
      <c r="F32" s="131">
        <v>1750</v>
      </c>
      <c r="G32" s="131">
        <f t="shared" si="1"/>
        <v>0</v>
      </c>
    </row>
    <row r="33" spans="1:7" ht="53.85" customHeight="1" x14ac:dyDescent="0.2">
      <c r="A33" s="13" t="s">
        <v>60</v>
      </c>
      <c r="B33" s="131">
        <v>2399</v>
      </c>
      <c r="C33" s="131">
        <v>2399</v>
      </c>
      <c r="D33" s="131">
        <f t="shared" si="0"/>
        <v>0</v>
      </c>
      <c r="E33" s="131">
        <v>2399</v>
      </c>
      <c r="F33" s="131">
        <v>2399</v>
      </c>
      <c r="G33" s="131">
        <f t="shared" si="1"/>
        <v>0</v>
      </c>
    </row>
    <row r="34" spans="1:7" ht="124.5" customHeight="1" x14ac:dyDescent="0.2">
      <c r="A34" s="17" t="s">
        <v>1604</v>
      </c>
      <c r="B34" s="131">
        <v>0</v>
      </c>
      <c r="C34" s="131">
        <v>94369</v>
      </c>
      <c r="D34" s="131">
        <f t="shared" ref="D34:D35" si="2">C34-B34</f>
        <v>94369</v>
      </c>
      <c r="E34" s="131">
        <v>0</v>
      </c>
      <c r="F34" s="131">
        <v>94369</v>
      </c>
      <c r="G34" s="131">
        <f t="shared" ref="G34:G35" si="3">F34-E34</f>
        <v>94369</v>
      </c>
    </row>
    <row r="35" spans="1:7" ht="107.25" customHeight="1" x14ac:dyDescent="0.2">
      <c r="A35" s="17" t="s">
        <v>1611</v>
      </c>
      <c r="B35" s="131">
        <v>0</v>
      </c>
      <c r="C35" s="131">
        <v>112902</v>
      </c>
      <c r="D35" s="131">
        <f t="shared" si="2"/>
        <v>112902</v>
      </c>
      <c r="E35" s="131">
        <v>0</v>
      </c>
      <c r="F35" s="131">
        <v>112902</v>
      </c>
      <c r="G35" s="131">
        <f t="shared" si="3"/>
        <v>112902</v>
      </c>
    </row>
    <row r="36" spans="1:7" ht="12.75" x14ac:dyDescent="0.2">
      <c r="A36" s="15" t="s">
        <v>22</v>
      </c>
      <c r="B36" s="135">
        <f>SUM(B37:B57)</f>
        <v>2142073.7500000005</v>
      </c>
      <c r="C36" s="135">
        <f>SUM(C37:C59)</f>
        <v>1217068.05</v>
      </c>
      <c r="D36" s="135">
        <f t="shared" si="0"/>
        <v>-925005.70000000042</v>
      </c>
      <c r="E36" s="135">
        <f>SUM(E37:E56)</f>
        <v>1545951.97</v>
      </c>
      <c r="F36" s="135">
        <f>SUM(F37:F59)</f>
        <v>2700088.8699999996</v>
      </c>
      <c r="G36" s="135">
        <f t="shared" si="1"/>
        <v>1154136.8999999997</v>
      </c>
    </row>
    <row r="37" spans="1:7" ht="18.95" customHeight="1" x14ac:dyDescent="0.2">
      <c r="A37" s="17" t="s">
        <v>36</v>
      </c>
      <c r="B37" s="131">
        <f>1128642.6-24799.9</f>
        <v>1103842.7000000002</v>
      </c>
      <c r="C37" s="131">
        <f>1128642.6-24799.9-862494.3</f>
        <v>241348.40000000014</v>
      </c>
      <c r="D37" s="131">
        <f t="shared" si="0"/>
        <v>-862494.3</v>
      </c>
      <c r="E37" s="131">
        <f>719819+24799.9</f>
        <v>744618.9</v>
      </c>
      <c r="F37" s="131">
        <f>719819+24799.9+807797</f>
        <v>1552415.9</v>
      </c>
      <c r="G37" s="131">
        <f t="shared" si="1"/>
        <v>807796.99999999988</v>
      </c>
    </row>
    <row r="38" spans="1:7" ht="18.95" customHeight="1" x14ac:dyDescent="0.2">
      <c r="A38" s="17" t="s">
        <v>37</v>
      </c>
      <c r="B38" s="131">
        <f>275908.1+1655.8</f>
        <v>277563.89999999997</v>
      </c>
      <c r="C38" s="131">
        <f>275908.1+1655.8-161441.1</f>
        <v>116122.79999999996</v>
      </c>
      <c r="D38" s="131">
        <f t="shared" si="0"/>
        <v>-161441.1</v>
      </c>
      <c r="E38" s="131">
        <v>407467.4</v>
      </c>
      <c r="F38" s="131">
        <f>407467.4-20033.2+25601.3</f>
        <v>413035.5</v>
      </c>
      <c r="G38" s="131">
        <f t="shared" si="1"/>
        <v>5568.0999999999767</v>
      </c>
    </row>
    <row r="39" spans="1:7" ht="42.75" customHeight="1" x14ac:dyDescent="0.2">
      <c r="A39" s="17" t="s">
        <v>34</v>
      </c>
      <c r="B39" s="131">
        <v>123374</v>
      </c>
      <c r="C39" s="131">
        <v>123374</v>
      </c>
      <c r="D39" s="131">
        <f t="shared" si="0"/>
        <v>0</v>
      </c>
      <c r="E39" s="131">
        <v>0</v>
      </c>
      <c r="F39" s="131">
        <v>0</v>
      </c>
      <c r="G39" s="131">
        <f t="shared" si="1"/>
        <v>0</v>
      </c>
    </row>
    <row r="40" spans="1:7" ht="33.75" customHeight="1" x14ac:dyDescent="0.2">
      <c r="A40" s="17" t="s">
        <v>24</v>
      </c>
      <c r="B40" s="131">
        <f>48080-158</f>
        <v>47922</v>
      </c>
      <c r="C40" s="131">
        <f>48080-158</f>
        <v>47922</v>
      </c>
      <c r="D40" s="131">
        <f t="shared" si="0"/>
        <v>0</v>
      </c>
      <c r="E40" s="131">
        <f>48080-158</f>
        <v>47922</v>
      </c>
      <c r="F40" s="131">
        <f>48080-158</f>
        <v>47922</v>
      </c>
      <c r="G40" s="131">
        <f t="shared" si="1"/>
        <v>0</v>
      </c>
    </row>
    <row r="41" spans="1:7" ht="45.4" customHeight="1" x14ac:dyDescent="0.2">
      <c r="A41" s="17" t="s">
        <v>31</v>
      </c>
      <c r="B41" s="131">
        <f>4199-0.4</f>
        <v>4198.6000000000004</v>
      </c>
      <c r="C41" s="131">
        <f>4199-0.4</f>
        <v>4198.6000000000004</v>
      </c>
      <c r="D41" s="131">
        <f t="shared" si="0"/>
        <v>0</v>
      </c>
      <c r="E41" s="131">
        <v>4048.67</v>
      </c>
      <c r="F41" s="131">
        <v>4048.67</v>
      </c>
      <c r="G41" s="131">
        <f t="shared" si="1"/>
        <v>0</v>
      </c>
    </row>
    <row r="42" spans="1:7" ht="56.45" customHeight="1" x14ac:dyDescent="0.2">
      <c r="A42" s="17" t="s">
        <v>33</v>
      </c>
      <c r="B42" s="131">
        <v>2254</v>
      </c>
      <c r="C42" s="131">
        <v>2254</v>
      </c>
      <c r="D42" s="131">
        <f t="shared" si="0"/>
        <v>0</v>
      </c>
      <c r="E42" s="131">
        <v>2252</v>
      </c>
      <c r="F42" s="131">
        <v>2252</v>
      </c>
      <c r="G42" s="131">
        <f t="shared" si="1"/>
        <v>0</v>
      </c>
    </row>
    <row r="43" spans="1:7" ht="25.5" x14ac:dyDescent="0.2">
      <c r="A43" s="17" t="s">
        <v>35</v>
      </c>
      <c r="B43" s="131">
        <v>0</v>
      </c>
      <c r="C43" s="131">
        <v>0</v>
      </c>
      <c r="D43" s="131">
        <f t="shared" si="0"/>
        <v>0</v>
      </c>
      <c r="E43" s="131">
        <v>19457.5</v>
      </c>
      <c r="F43" s="131">
        <v>19457.5</v>
      </c>
      <c r="G43" s="131">
        <f t="shared" si="1"/>
        <v>0</v>
      </c>
    </row>
    <row r="44" spans="1:7" ht="74.650000000000006" customHeight="1" x14ac:dyDescent="0.2">
      <c r="A44" s="17" t="s">
        <v>40</v>
      </c>
      <c r="B44" s="131">
        <f>2500+100</f>
        <v>2600</v>
      </c>
      <c r="C44" s="131">
        <f>2500+100</f>
        <v>2600</v>
      </c>
      <c r="D44" s="131">
        <f t="shared" si="0"/>
        <v>0</v>
      </c>
      <c r="E44" s="131">
        <v>0</v>
      </c>
      <c r="F44" s="131">
        <v>0</v>
      </c>
      <c r="G44" s="131">
        <f t="shared" si="1"/>
        <v>0</v>
      </c>
    </row>
    <row r="45" spans="1:7" ht="21.4" customHeight="1" x14ac:dyDescent="0.2">
      <c r="A45" s="17" t="s">
        <v>23</v>
      </c>
      <c r="B45" s="131">
        <f>11546+650</f>
        <v>12196</v>
      </c>
      <c r="C45" s="131">
        <f>11546+650</f>
        <v>12196</v>
      </c>
      <c r="D45" s="131">
        <f t="shared" si="0"/>
        <v>0</v>
      </c>
      <c r="E45" s="131">
        <f>11546+650</f>
        <v>12196</v>
      </c>
      <c r="F45" s="131">
        <f>11546+650</f>
        <v>12196</v>
      </c>
      <c r="G45" s="131">
        <f t="shared" si="1"/>
        <v>0</v>
      </c>
    </row>
    <row r="46" spans="1:7" ht="21.4" customHeight="1" x14ac:dyDescent="0.2">
      <c r="A46" s="17" t="s">
        <v>42</v>
      </c>
      <c r="B46" s="131">
        <v>291</v>
      </c>
      <c r="C46" s="131">
        <v>291</v>
      </c>
      <c r="D46" s="131">
        <f t="shared" si="0"/>
        <v>0</v>
      </c>
      <c r="E46" s="131">
        <v>291</v>
      </c>
      <c r="F46" s="131">
        <v>291</v>
      </c>
      <c r="G46" s="131">
        <f t="shared" si="1"/>
        <v>0</v>
      </c>
    </row>
    <row r="47" spans="1:7" ht="28.5" customHeight="1" x14ac:dyDescent="0.2">
      <c r="A47" s="17" t="s">
        <v>51</v>
      </c>
      <c r="B47" s="131">
        <v>0</v>
      </c>
      <c r="C47" s="131">
        <v>0</v>
      </c>
      <c r="D47" s="131">
        <f t="shared" si="0"/>
        <v>0</v>
      </c>
      <c r="E47" s="131">
        <v>19506</v>
      </c>
      <c r="F47" s="131">
        <v>19506</v>
      </c>
      <c r="G47" s="131">
        <f t="shared" si="1"/>
        <v>0</v>
      </c>
    </row>
    <row r="48" spans="1:7" ht="40.35" customHeight="1" x14ac:dyDescent="0.2">
      <c r="A48" s="17" t="s">
        <v>43</v>
      </c>
      <c r="B48" s="131">
        <v>103763</v>
      </c>
      <c r="C48" s="131">
        <v>103763</v>
      </c>
      <c r="D48" s="131">
        <f t="shared" si="0"/>
        <v>0</v>
      </c>
      <c r="E48" s="131">
        <v>105864</v>
      </c>
      <c r="F48" s="131">
        <v>105864</v>
      </c>
      <c r="G48" s="131">
        <f t="shared" si="1"/>
        <v>0</v>
      </c>
    </row>
    <row r="49" spans="1:7" ht="46.15" customHeight="1" x14ac:dyDescent="0.2">
      <c r="A49" s="17" t="s">
        <v>45</v>
      </c>
      <c r="B49" s="131">
        <v>2254.5500000000002</v>
      </c>
      <c r="C49" s="131">
        <v>2254.5500000000002</v>
      </c>
      <c r="D49" s="131">
        <f t="shared" si="0"/>
        <v>0</v>
      </c>
      <c r="E49" s="131">
        <v>0</v>
      </c>
      <c r="F49" s="131">
        <v>0</v>
      </c>
      <c r="G49" s="131">
        <f t="shared" si="1"/>
        <v>0</v>
      </c>
    </row>
    <row r="50" spans="1:7" ht="61.7" customHeight="1" x14ac:dyDescent="0.2">
      <c r="A50" s="17" t="s">
        <v>46</v>
      </c>
      <c r="B50" s="131">
        <v>1686</v>
      </c>
      <c r="C50" s="131">
        <v>1686</v>
      </c>
      <c r="D50" s="131">
        <f t="shared" si="0"/>
        <v>0</v>
      </c>
      <c r="E50" s="131">
        <v>2041</v>
      </c>
      <c r="F50" s="131">
        <v>2041</v>
      </c>
      <c r="G50" s="131">
        <f t="shared" si="1"/>
        <v>0</v>
      </c>
    </row>
    <row r="51" spans="1:7" ht="19.5" customHeight="1" x14ac:dyDescent="0.2">
      <c r="A51" s="17" t="s">
        <v>47</v>
      </c>
      <c r="B51" s="131">
        <v>0</v>
      </c>
      <c r="C51" s="131">
        <v>0</v>
      </c>
      <c r="D51" s="131">
        <f t="shared" si="0"/>
        <v>0</v>
      </c>
      <c r="E51" s="131">
        <v>15312</v>
      </c>
      <c r="F51" s="131">
        <v>15312</v>
      </c>
      <c r="G51" s="131">
        <f t="shared" si="1"/>
        <v>0</v>
      </c>
    </row>
    <row r="52" spans="1:7" ht="18.2" customHeight="1" x14ac:dyDescent="0.2">
      <c r="A52" s="17" t="s">
        <v>25</v>
      </c>
      <c r="B52" s="131">
        <f>9167.5-7600</f>
        <v>1567.5</v>
      </c>
      <c r="C52" s="131">
        <f>9167.5-7600</f>
        <v>1567.5</v>
      </c>
      <c r="D52" s="131">
        <f t="shared" si="0"/>
        <v>0</v>
      </c>
      <c r="E52" s="131">
        <v>0</v>
      </c>
      <c r="F52" s="131">
        <v>0</v>
      </c>
      <c r="G52" s="131">
        <f t="shared" si="1"/>
        <v>0</v>
      </c>
    </row>
    <row r="53" spans="1:7" ht="35.1" customHeight="1" x14ac:dyDescent="0.2">
      <c r="A53" s="17" t="s">
        <v>49</v>
      </c>
      <c r="B53" s="131">
        <v>188000</v>
      </c>
      <c r="C53" s="131">
        <v>188000</v>
      </c>
      <c r="D53" s="131">
        <f t="shared" si="0"/>
        <v>0</v>
      </c>
      <c r="E53" s="131">
        <v>156250</v>
      </c>
      <c r="F53" s="131">
        <v>156250</v>
      </c>
      <c r="G53" s="131">
        <f t="shared" si="1"/>
        <v>0</v>
      </c>
    </row>
    <row r="54" spans="1:7" ht="19.5" customHeight="1" x14ac:dyDescent="0.2">
      <c r="A54" s="17" t="s">
        <v>39</v>
      </c>
      <c r="B54" s="131">
        <f>15496.3-15496.3</f>
        <v>0</v>
      </c>
      <c r="C54" s="131">
        <f>15496.3-15496.3</f>
        <v>0</v>
      </c>
      <c r="D54" s="131">
        <f t="shared" si="0"/>
        <v>0</v>
      </c>
      <c r="E54" s="131">
        <v>8725.5</v>
      </c>
      <c r="F54" s="131">
        <f>8725.5-8725.5</f>
        <v>0</v>
      </c>
      <c r="G54" s="131">
        <f t="shared" si="1"/>
        <v>-8725.5</v>
      </c>
    </row>
    <row r="55" spans="1:7" ht="18.95" customHeight="1" x14ac:dyDescent="0.2">
      <c r="A55" s="17" t="s">
        <v>52</v>
      </c>
      <c r="B55" s="131">
        <v>0</v>
      </c>
      <c r="C55" s="131">
        <v>0</v>
      </c>
      <c r="D55" s="131">
        <f t="shared" si="0"/>
        <v>0</v>
      </c>
      <c r="E55" s="131">
        <f>10000-10000</f>
        <v>0</v>
      </c>
      <c r="F55" s="131">
        <f>10000-10000</f>
        <v>0</v>
      </c>
      <c r="G55" s="131">
        <f t="shared" si="1"/>
        <v>0</v>
      </c>
    </row>
    <row r="56" spans="1:7" ht="27" customHeight="1" x14ac:dyDescent="0.2">
      <c r="A56" s="17" t="s">
        <v>1410</v>
      </c>
      <c r="B56" s="131">
        <v>244872.3</v>
      </c>
      <c r="C56" s="131">
        <f>244872.3-149872.3</f>
        <v>95000</v>
      </c>
      <c r="D56" s="131">
        <f t="shared" si="0"/>
        <v>-149872.29999999999</v>
      </c>
      <c r="E56" s="131">
        <v>0</v>
      </c>
      <c r="F56" s="131">
        <f>244872.3</f>
        <v>244872.3</v>
      </c>
      <c r="G56" s="131">
        <f t="shared" si="1"/>
        <v>244872.3</v>
      </c>
    </row>
    <row r="57" spans="1:7" ht="27" customHeight="1" x14ac:dyDescent="0.2">
      <c r="A57" s="17" t="s">
        <v>1540</v>
      </c>
      <c r="B57" s="131">
        <f>25688.2</f>
        <v>25688.2</v>
      </c>
      <c r="C57" s="131">
        <f>25688.2</f>
        <v>25688.2</v>
      </c>
      <c r="D57" s="131">
        <f t="shared" si="0"/>
        <v>0</v>
      </c>
      <c r="E57" s="131">
        <v>0</v>
      </c>
      <c r="F57" s="131">
        <v>0</v>
      </c>
      <c r="G57" s="131">
        <f t="shared" si="1"/>
        <v>0</v>
      </c>
    </row>
    <row r="58" spans="1:7" ht="30.75" customHeight="1" x14ac:dyDescent="0.2">
      <c r="A58" s="17" t="s">
        <v>1612</v>
      </c>
      <c r="B58" s="131">
        <v>0</v>
      </c>
      <c r="C58" s="131">
        <v>104625</v>
      </c>
      <c r="D58" s="131">
        <f t="shared" si="0"/>
        <v>104625</v>
      </c>
      <c r="E58" s="131">
        <v>0</v>
      </c>
      <c r="F58" s="131">
        <v>104625</v>
      </c>
      <c r="G58" s="131">
        <f t="shared" si="1"/>
        <v>104625</v>
      </c>
    </row>
    <row r="59" spans="1:7" ht="30.75" customHeight="1" x14ac:dyDescent="0.2">
      <c r="A59" s="17" t="s">
        <v>1613</v>
      </c>
      <c r="B59" s="131">
        <v>0</v>
      </c>
      <c r="C59" s="131">
        <v>144177</v>
      </c>
      <c r="D59" s="131">
        <f t="shared" si="0"/>
        <v>144177</v>
      </c>
      <c r="E59" s="131">
        <v>0</v>
      </c>
      <c r="F59" s="131">
        <v>0</v>
      </c>
      <c r="G59" s="131">
        <f t="shared" si="1"/>
        <v>0</v>
      </c>
    </row>
    <row r="60" spans="1:7" ht="19.5" customHeight="1" x14ac:dyDescent="0.2">
      <c r="A60" s="15" t="s">
        <v>29</v>
      </c>
      <c r="B60" s="135">
        <f>B61</f>
        <v>1000</v>
      </c>
      <c r="C60" s="135">
        <f>C61</f>
        <v>1000</v>
      </c>
      <c r="D60" s="135">
        <f t="shared" si="0"/>
        <v>0</v>
      </c>
      <c r="E60" s="135">
        <f>E61</f>
        <v>1000</v>
      </c>
      <c r="F60" s="135">
        <f>F61</f>
        <v>1000</v>
      </c>
      <c r="G60" s="135">
        <f t="shared" si="1"/>
        <v>0</v>
      </c>
    </row>
    <row r="61" spans="1:7" ht="18.95" customHeight="1" x14ac:dyDescent="0.2">
      <c r="A61" s="17" t="s">
        <v>30</v>
      </c>
      <c r="B61" s="131">
        <v>1000</v>
      </c>
      <c r="C61" s="131">
        <v>1000</v>
      </c>
      <c r="D61" s="131">
        <f t="shared" si="0"/>
        <v>0</v>
      </c>
      <c r="E61" s="131">
        <v>1000</v>
      </c>
      <c r="F61" s="131">
        <v>1000</v>
      </c>
      <c r="G61" s="131">
        <f t="shared" si="1"/>
        <v>0</v>
      </c>
    </row>
    <row r="62" spans="1:7" ht="12.75" x14ac:dyDescent="0.2">
      <c r="A62" s="18" t="s">
        <v>26</v>
      </c>
      <c r="B62" s="136">
        <f>B60+B12+B36</f>
        <v>6607376.75</v>
      </c>
      <c r="C62" s="136">
        <f>C60+C12+C36</f>
        <v>5743094.0499999998</v>
      </c>
      <c r="D62" s="136">
        <f t="shared" si="0"/>
        <v>-864282.70000000019</v>
      </c>
      <c r="E62" s="136">
        <f>E60+E12+E36</f>
        <v>6005515.9699999997</v>
      </c>
      <c r="F62" s="136">
        <f>F60+F12+F36</f>
        <v>7220375.8699999992</v>
      </c>
      <c r="G62" s="136">
        <f t="shared" si="1"/>
        <v>1214859.8999999994</v>
      </c>
    </row>
    <row r="63" spans="1:7" x14ac:dyDescent="0.2">
      <c r="E63" s="137"/>
    </row>
    <row r="64" spans="1:7" x14ac:dyDescent="0.2">
      <c r="B64" s="123"/>
      <c r="C64" s="123"/>
      <c r="D64" s="123"/>
    </row>
  </sheetData>
  <mergeCells count="14">
    <mergeCell ref="E1:G1"/>
    <mergeCell ref="E2:G2"/>
    <mergeCell ref="C3:G3"/>
    <mergeCell ref="A8:A10"/>
    <mergeCell ref="B9:B10"/>
    <mergeCell ref="E9:E10"/>
    <mergeCell ref="B8:D8"/>
    <mergeCell ref="C9:C10"/>
    <mergeCell ref="D9:D10"/>
    <mergeCell ref="E8:G8"/>
    <mergeCell ref="F9:F10"/>
    <mergeCell ref="G9:G10"/>
    <mergeCell ref="E7:G7"/>
    <mergeCell ref="A5:G5"/>
  </mergeCells>
  <pageMargins left="0.78740157480314965" right="0.39370078740157483" top="0.78740157480314965" bottom="0.78740157480314965" header="0" footer="0"/>
  <pageSetup paperSize="9" scale="55" firstPageNumber="70" orientation="portrait" useFirstPageNumber="1" r:id="rId1"/>
  <headerFooter alignWithMargins="0"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H1" zoomScale="130" zoomScaleNormal="130" workbookViewId="0">
      <selection activeCell="I3" sqref="I3:N3"/>
    </sheetView>
  </sheetViews>
  <sheetFormatPr defaultRowHeight="12" x14ac:dyDescent="0.2"/>
  <cols>
    <col min="1" max="1" width="5.5703125" style="27" customWidth="1"/>
    <col min="2" max="2" width="5.140625" style="27" customWidth="1"/>
    <col min="3" max="3" width="5" style="27" customWidth="1"/>
    <col min="4" max="4" width="5.140625" style="27" customWidth="1"/>
    <col min="5" max="5" width="5.42578125" style="27" customWidth="1"/>
    <col min="6" max="6" width="5" style="27" customWidth="1"/>
    <col min="7" max="7" width="6.7109375" style="27" customWidth="1"/>
    <col min="8" max="8" width="7.28515625" style="27" customWidth="1"/>
    <col min="9" max="9" width="129.5703125" style="27" customWidth="1"/>
    <col min="10" max="10" width="21.7109375" style="35" customWidth="1"/>
    <col min="11" max="11" width="19.85546875" style="27" hidden="1" customWidth="1"/>
    <col min="12" max="12" width="17.5703125" style="27" hidden="1" customWidth="1"/>
    <col min="13" max="13" width="18" style="27" customWidth="1"/>
    <col min="14" max="14" width="17.5703125" style="27" customWidth="1"/>
    <col min="15" max="256" width="9" style="27"/>
    <col min="257" max="257" width="5.5703125" style="27" customWidth="1"/>
    <col min="258" max="258" width="5.140625" style="27" customWidth="1"/>
    <col min="259" max="259" width="5" style="27" customWidth="1"/>
    <col min="260" max="260" width="5.140625" style="27" customWidth="1"/>
    <col min="261" max="261" width="5.42578125" style="27" customWidth="1"/>
    <col min="262" max="262" width="5" style="27" customWidth="1"/>
    <col min="263" max="263" width="6.7109375" style="27" customWidth="1"/>
    <col min="264" max="264" width="7.28515625" style="27" customWidth="1"/>
    <col min="265" max="265" width="129.5703125" style="27" customWidth="1"/>
    <col min="266" max="266" width="21.7109375" style="27" customWidth="1"/>
    <col min="267" max="268" width="0" style="27" hidden="1" customWidth="1"/>
    <col min="269" max="269" width="9" style="27"/>
    <col min="270" max="270" width="9.85546875" style="27" bestFit="1" customWidth="1"/>
    <col min="271" max="512" width="9" style="27"/>
    <col min="513" max="513" width="5.5703125" style="27" customWidth="1"/>
    <col min="514" max="514" width="5.140625" style="27" customWidth="1"/>
    <col min="515" max="515" width="5" style="27" customWidth="1"/>
    <col min="516" max="516" width="5.140625" style="27" customWidth="1"/>
    <col min="517" max="517" width="5.42578125" style="27" customWidth="1"/>
    <col min="518" max="518" width="5" style="27" customWidth="1"/>
    <col min="519" max="519" width="6.7109375" style="27" customWidth="1"/>
    <col min="520" max="520" width="7.28515625" style="27" customWidth="1"/>
    <col min="521" max="521" width="129.5703125" style="27" customWidth="1"/>
    <col min="522" max="522" width="21.7109375" style="27" customWidth="1"/>
    <col min="523" max="524" width="0" style="27" hidden="1" customWidth="1"/>
    <col min="525" max="525" width="9" style="27"/>
    <col min="526" max="526" width="9.85546875" style="27" bestFit="1" customWidth="1"/>
    <col min="527" max="768" width="9" style="27"/>
    <col min="769" max="769" width="5.5703125" style="27" customWidth="1"/>
    <col min="770" max="770" width="5.140625" style="27" customWidth="1"/>
    <col min="771" max="771" width="5" style="27" customWidth="1"/>
    <col min="772" max="772" width="5.140625" style="27" customWidth="1"/>
    <col min="773" max="773" width="5.42578125" style="27" customWidth="1"/>
    <col min="774" max="774" width="5" style="27" customWidth="1"/>
    <col min="775" max="775" width="6.7109375" style="27" customWidth="1"/>
    <col min="776" max="776" width="7.28515625" style="27" customWidth="1"/>
    <col min="777" max="777" width="129.5703125" style="27" customWidth="1"/>
    <col min="778" max="778" width="21.7109375" style="27" customWidth="1"/>
    <col min="779" max="780" width="0" style="27" hidden="1" customWidth="1"/>
    <col min="781" max="781" width="9" style="27"/>
    <col min="782" max="782" width="9.85546875" style="27" bestFit="1" customWidth="1"/>
    <col min="783" max="1024" width="9" style="27"/>
    <col min="1025" max="1025" width="5.5703125" style="27" customWidth="1"/>
    <col min="1026" max="1026" width="5.140625" style="27" customWidth="1"/>
    <col min="1027" max="1027" width="5" style="27" customWidth="1"/>
    <col min="1028" max="1028" width="5.140625" style="27" customWidth="1"/>
    <col min="1029" max="1029" width="5.42578125" style="27" customWidth="1"/>
    <col min="1030" max="1030" width="5" style="27" customWidth="1"/>
    <col min="1031" max="1031" width="6.7109375" style="27" customWidth="1"/>
    <col min="1032" max="1032" width="7.28515625" style="27" customWidth="1"/>
    <col min="1033" max="1033" width="129.5703125" style="27" customWidth="1"/>
    <col min="1034" max="1034" width="21.7109375" style="27" customWidth="1"/>
    <col min="1035" max="1036" width="0" style="27" hidden="1" customWidth="1"/>
    <col min="1037" max="1037" width="9" style="27"/>
    <col min="1038" max="1038" width="9.85546875" style="27" bestFit="1" customWidth="1"/>
    <col min="1039" max="1280" width="9" style="27"/>
    <col min="1281" max="1281" width="5.5703125" style="27" customWidth="1"/>
    <col min="1282" max="1282" width="5.140625" style="27" customWidth="1"/>
    <col min="1283" max="1283" width="5" style="27" customWidth="1"/>
    <col min="1284" max="1284" width="5.140625" style="27" customWidth="1"/>
    <col min="1285" max="1285" width="5.42578125" style="27" customWidth="1"/>
    <col min="1286" max="1286" width="5" style="27" customWidth="1"/>
    <col min="1287" max="1287" width="6.7109375" style="27" customWidth="1"/>
    <col min="1288" max="1288" width="7.28515625" style="27" customWidth="1"/>
    <col min="1289" max="1289" width="129.5703125" style="27" customWidth="1"/>
    <col min="1290" max="1290" width="21.7109375" style="27" customWidth="1"/>
    <col min="1291" max="1292" width="0" style="27" hidden="1" customWidth="1"/>
    <col min="1293" max="1293" width="9" style="27"/>
    <col min="1294" max="1294" width="9.85546875" style="27" bestFit="1" customWidth="1"/>
    <col min="1295" max="1536" width="9" style="27"/>
    <col min="1537" max="1537" width="5.5703125" style="27" customWidth="1"/>
    <col min="1538" max="1538" width="5.140625" style="27" customWidth="1"/>
    <col min="1539" max="1539" width="5" style="27" customWidth="1"/>
    <col min="1540" max="1540" width="5.140625" style="27" customWidth="1"/>
    <col min="1541" max="1541" width="5.42578125" style="27" customWidth="1"/>
    <col min="1542" max="1542" width="5" style="27" customWidth="1"/>
    <col min="1543" max="1543" width="6.7109375" style="27" customWidth="1"/>
    <col min="1544" max="1544" width="7.28515625" style="27" customWidth="1"/>
    <col min="1545" max="1545" width="129.5703125" style="27" customWidth="1"/>
    <col min="1546" max="1546" width="21.7109375" style="27" customWidth="1"/>
    <col min="1547" max="1548" width="0" style="27" hidden="1" customWidth="1"/>
    <col min="1549" max="1549" width="9" style="27"/>
    <col min="1550" max="1550" width="9.85546875" style="27" bestFit="1" customWidth="1"/>
    <col min="1551" max="1792" width="9" style="27"/>
    <col min="1793" max="1793" width="5.5703125" style="27" customWidth="1"/>
    <col min="1794" max="1794" width="5.140625" style="27" customWidth="1"/>
    <col min="1795" max="1795" width="5" style="27" customWidth="1"/>
    <col min="1796" max="1796" width="5.140625" style="27" customWidth="1"/>
    <col min="1797" max="1797" width="5.42578125" style="27" customWidth="1"/>
    <col min="1798" max="1798" width="5" style="27" customWidth="1"/>
    <col min="1799" max="1799" width="6.7109375" style="27" customWidth="1"/>
    <col min="1800" max="1800" width="7.28515625" style="27" customWidth="1"/>
    <col min="1801" max="1801" width="129.5703125" style="27" customWidth="1"/>
    <col min="1802" max="1802" width="21.7109375" style="27" customWidth="1"/>
    <col min="1803" max="1804" width="0" style="27" hidden="1" customWidth="1"/>
    <col min="1805" max="1805" width="9" style="27"/>
    <col min="1806" max="1806" width="9.85546875" style="27" bestFit="1" customWidth="1"/>
    <col min="1807" max="2048" width="9" style="27"/>
    <col min="2049" max="2049" width="5.5703125" style="27" customWidth="1"/>
    <col min="2050" max="2050" width="5.140625" style="27" customWidth="1"/>
    <col min="2051" max="2051" width="5" style="27" customWidth="1"/>
    <col min="2052" max="2052" width="5.140625" style="27" customWidth="1"/>
    <col min="2053" max="2053" width="5.42578125" style="27" customWidth="1"/>
    <col min="2054" max="2054" width="5" style="27" customWidth="1"/>
    <col min="2055" max="2055" width="6.7109375" style="27" customWidth="1"/>
    <col min="2056" max="2056" width="7.28515625" style="27" customWidth="1"/>
    <col min="2057" max="2057" width="129.5703125" style="27" customWidth="1"/>
    <col min="2058" max="2058" width="21.7109375" style="27" customWidth="1"/>
    <col min="2059" max="2060" width="0" style="27" hidden="1" customWidth="1"/>
    <col min="2061" max="2061" width="9" style="27"/>
    <col min="2062" max="2062" width="9.85546875" style="27" bestFit="1" customWidth="1"/>
    <col min="2063" max="2304" width="9" style="27"/>
    <col min="2305" max="2305" width="5.5703125" style="27" customWidth="1"/>
    <col min="2306" max="2306" width="5.140625" style="27" customWidth="1"/>
    <col min="2307" max="2307" width="5" style="27" customWidth="1"/>
    <col min="2308" max="2308" width="5.140625" style="27" customWidth="1"/>
    <col min="2309" max="2309" width="5.42578125" style="27" customWidth="1"/>
    <col min="2310" max="2310" width="5" style="27" customWidth="1"/>
    <col min="2311" max="2311" width="6.7109375" style="27" customWidth="1"/>
    <col min="2312" max="2312" width="7.28515625" style="27" customWidth="1"/>
    <col min="2313" max="2313" width="129.5703125" style="27" customWidth="1"/>
    <col min="2314" max="2314" width="21.7109375" style="27" customWidth="1"/>
    <col min="2315" max="2316" width="0" style="27" hidden="1" customWidth="1"/>
    <col min="2317" max="2317" width="9" style="27"/>
    <col min="2318" max="2318" width="9.85546875" style="27" bestFit="1" customWidth="1"/>
    <col min="2319" max="2560" width="9" style="27"/>
    <col min="2561" max="2561" width="5.5703125" style="27" customWidth="1"/>
    <col min="2562" max="2562" width="5.140625" style="27" customWidth="1"/>
    <col min="2563" max="2563" width="5" style="27" customWidth="1"/>
    <col min="2564" max="2564" width="5.140625" style="27" customWidth="1"/>
    <col min="2565" max="2565" width="5.42578125" style="27" customWidth="1"/>
    <col min="2566" max="2566" width="5" style="27" customWidth="1"/>
    <col min="2567" max="2567" width="6.7109375" style="27" customWidth="1"/>
    <col min="2568" max="2568" width="7.28515625" style="27" customWidth="1"/>
    <col min="2569" max="2569" width="129.5703125" style="27" customWidth="1"/>
    <col min="2570" max="2570" width="21.7109375" style="27" customWidth="1"/>
    <col min="2571" max="2572" width="0" style="27" hidden="1" customWidth="1"/>
    <col min="2573" max="2573" width="9" style="27"/>
    <col min="2574" max="2574" width="9.85546875" style="27" bestFit="1" customWidth="1"/>
    <col min="2575" max="2816" width="9" style="27"/>
    <col min="2817" max="2817" width="5.5703125" style="27" customWidth="1"/>
    <col min="2818" max="2818" width="5.140625" style="27" customWidth="1"/>
    <col min="2819" max="2819" width="5" style="27" customWidth="1"/>
    <col min="2820" max="2820" width="5.140625" style="27" customWidth="1"/>
    <col min="2821" max="2821" width="5.42578125" style="27" customWidth="1"/>
    <col min="2822" max="2822" width="5" style="27" customWidth="1"/>
    <col min="2823" max="2823" width="6.7109375" style="27" customWidth="1"/>
    <col min="2824" max="2824" width="7.28515625" style="27" customWidth="1"/>
    <col min="2825" max="2825" width="129.5703125" style="27" customWidth="1"/>
    <col min="2826" max="2826" width="21.7109375" style="27" customWidth="1"/>
    <col min="2827" max="2828" width="0" style="27" hidden="1" customWidth="1"/>
    <col min="2829" max="2829" width="9" style="27"/>
    <col min="2830" max="2830" width="9.85546875" style="27" bestFit="1" customWidth="1"/>
    <col min="2831" max="3072" width="9" style="27"/>
    <col min="3073" max="3073" width="5.5703125" style="27" customWidth="1"/>
    <col min="3074" max="3074" width="5.140625" style="27" customWidth="1"/>
    <col min="3075" max="3075" width="5" style="27" customWidth="1"/>
    <col min="3076" max="3076" width="5.140625" style="27" customWidth="1"/>
    <col min="3077" max="3077" width="5.42578125" style="27" customWidth="1"/>
    <col min="3078" max="3078" width="5" style="27" customWidth="1"/>
    <col min="3079" max="3079" width="6.7109375" style="27" customWidth="1"/>
    <col min="3080" max="3080" width="7.28515625" style="27" customWidth="1"/>
    <col min="3081" max="3081" width="129.5703125" style="27" customWidth="1"/>
    <col min="3082" max="3082" width="21.7109375" style="27" customWidth="1"/>
    <col min="3083" max="3084" width="0" style="27" hidden="1" customWidth="1"/>
    <col min="3085" max="3085" width="9" style="27"/>
    <col min="3086" max="3086" width="9.85546875" style="27" bestFit="1" customWidth="1"/>
    <col min="3087" max="3328" width="9" style="27"/>
    <col min="3329" max="3329" width="5.5703125" style="27" customWidth="1"/>
    <col min="3330" max="3330" width="5.140625" style="27" customWidth="1"/>
    <col min="3331" max="3331" width="5" style="27" customWidth="1"/>
    <col min="3332" max="3332" width="5.140625" style="27" customWidth="1"/>
    <col min="3333" max="3333" width="5.42578125" style="27" customWidth="1"/>
    <col min="3334" max="3334" width="5" style="27" customWidth="1"/>
    <col min="3335" max="3335" width="6.7109375" style="27" customWidth="1"/>
    <col min="3336" max="3336" width="7.28515625" style="27" customWidth="1"/>
    <col min="3337" max="3337" width="129.5703125" style="27" customWidth="1"/>
    <col min="3338" max="3338" width="21.7109375" style="27" customWidth="1"/>
    <col min="3339" max="3340" width="0" style="27" hidden="1" customWidth="1"/>
    <col min="3341" max="3341" width="9" style="27"/>
    <col min="3342" max="3342" width="9.85546875" style="27" bestFit="1" customWidth="1"/>
    <col min="3343" max="3584" width="9" style="27"/>
    <col min="3585" max="3585" width="5.5703125" style="27" customWidth="1"/>
    <col min="3586" max="3586" width="5.140625" style="27" customWidth="1"/>
    <col min="3587" max="3587" width="5" style="27" customWidth="1"/>
    <col min="3588" max="3588" width="5.140625" style="27" customWidth="1"/>
    <col min="3589" max="3589" width="5.42578125" style="27" customWidth="1"/>
    <col min="3590" max="3590" width="5" style="27" customWidth="1"/>
    <col min="3591" max="3591" width="6.7109375" style="27" customWidth="1"/>
    <col min="3592" max="3592" width="7.28515625" style="27" customWidth="1"/>
    <col min="3593" max="3593" width="129.5703125" style="27" customWidth="1"/>
    <col min="3594" max="3594" width="21.7109375" style="27" customWidth="1"/>
    <col min="3595" max="3596" width="0" style="27" hidden="1" customWidth="1"/>
    <col min="3597" max="3597" width="9" style="27"/>
    <col min="3598" max="3598" width="9.85546875" style="27" bestFit="1" customWidth="1"/>
    <col min="3599" max="3840" width="9" style="27"/>
    <col min="3841" max="3841" width="5.5703125" style="27" customWidth="1"/>
    <col min="3842" max="3842" width="5.140625" style="27" customWidth="1"/>
    <col min="3843" max="3843" width="5" style="27" customWidth="1"/>
    <col min="3844" max="3844" width="5.140625" style="27" customWidth="1"/>
    <col min="3845" max="3845" width="5.42578125" style="27" customWidth="1"/>
    <col min="3846" max="3846" width="5" style="27" customWidth="1"/>
    <col min="3847" max="3847" width="6.7109375" style="27" customWidth="1"/>
    <col min="3848" max="3848" width="7.28515625" style="27" customWidth="1"/>
    <col min="3849" max="3849" width="129.5703125" style="27" customWidth="1"/>
    <col min="3850" max="3850" width="21.7109375" style="27" customWidth="1"/>
    <col min="3851" max="3852" width="0" style="27" hidden="1" customWidth="1"/>
    <col min="3853" max="3853" width="9" style="27"/>
    <col min="3854" max="3854" width="9.85546875" style="27" bestFit="1" customWidth="1"/>
    <col min="3855" max="4096" width="9" style="27"/>
    <col min="4097" max="4097" width="5.5703125" style="27" customWidth="1"/>
    <col min="4098" max="4098" width="5.140625" style="27" customWidth="1"/>
    <col min="4099" max="4099" width="5" style="27" customWidth="1"/>
    <col min="4100" max="4100" width="5.140625" style="27" customWidth="1"/>
    <col min="4101" max="4101" width="5.42578125" style="27" customWidth="1"/>
    <col min="4102" max="4102" width="5" style="27" customWidth="1"/>
    <col min="4103" max="4103" width="6.7109375" style="27" customWidth="1"/>
    <col min="4104" max="4104" width="7.28515625" style="27" customWidth="1"/>
    <col min="4105" max="4105" width="129.5703125" style="27" customWidth="1"/>
    <col min="4106" max="4106" width="21.7109375" style="27" customWidth="1"/>
    <col min="4107" max="4108" width="0" style="27" hidden="1" customWidth="1"/>
    <col min="4109" max="4109" width="9" style="27"/>
    <col min="4110" max="4110" width="9.85546875" style="27" bestFit="1" customWidth="1"/>
    <col min="4111" max="4352" width="9" style="27"/>
    <col min="4353" max="4353" width="5.5703125" style="27" customWidth="1"/>
    <col min="4354" max="4354" width="5.140625" style="27" customWidth="1"/>
    <col min="4355" max="4355" width="5" style="27" customWidth="1"/>
    <col min="4356" max="4356" width="5.140625" style="27" customWidth="1"/>
    <col min="4357" max="4357" width="5.42578125" style="27" customWidth="1"/>
    <col min="4358" max="4358" width="5" style="27" customWidth="1"/>
    <col min="4359" max="4359" width="6.7109375" style="27" customWidth="1"/>
    <col min="4360" max="4360" width="7.28515625" style="27" customWidth="1"/>
    <col min="4361" max="4361" width="129.5703125" style="27" customWidth="1"/>
    <col min="4362" max="4362" width="21.7109375" style="27" customWidth="1"/>
    <col min="4363" max="4364" width="0" style="27" hidden="1" customWidth="1"/>
    <col min="4365" max="4365" width="9" style="27"/>
    <col min="4366" max="4366" width="9.85546875" style="27" bestFit="1" customWidth="1"/>
    <col min="4367" max="4608" width="9" style="27"/>
    <col min="4609" max="4609" width="5.5703125" style="27" customWidth="1"/>
    <col min="4610" max="4610" width="5.140625" style="27" customWidth="1"/>
    <col min="4611" max="4611" width="5" style="27" customWidth="1"/>
    <col min="4612" max="4612" width="5.140625" style="27" customWidth="1"/>
    <col min="4613" max="4613" width="5.42578125" style="27" customWidth="1"/>
    <col min="4614" max="4614" width="5" style="27" customWidth="1"/>
    <col min="4615" max="4615" width="6.7109375" style="27" customWidth="1"/>
    <col min="4616" max="4616" width="7.28515625" style="27" customWidth="1"/>
    <col min="4617" max="4617" width="129.5703125" style="27" customWidth="1"/>
    <col min="4618" max="4618" width="21.7109375" style="27" customWidth="1"/>
    <col min="4619" max="4620" width="0" style="27" hidden="1" customWidth="1"/>
    <col min="4621" max="4621" width="9" style="27"/>
    <col min="4622" max="4622" width="9.85546875" style="27" bestFit="1" customWidth="1"/>
    <col min="4623" max="4864" width="9" style="27"/>
    <col min="4865" max="4865" width="5.5703125" style="27" customWidth="1"/>
    <col min="4866" max="4866" width="5.140625" style="27" customWidth="1"/>
    <col min="4867" max="4867" width="5" style="27" customWidth="1"/>
    <col min="4868" max="4868" width="5.140625" style="27" customWidth="1"/>
    <col min="4869" max="4869" width="5.42578125" style="27" customWidth="1"/>
    <col min="4870" max="4870" width="5" style="27" customWidth="1"/>
    <col min="4871" max="4871" width="6.7109375" style="27" customWidth="1"/>
    <col min="4872" max="4872" width="7.28515625" style="27" customWidth="1"/>
    <col min="4873" max="4873" width="129.5703125" style="27" customWidth="1"/>
    <col min="4874" max="4874" width="21.7109375" style="27" customWidth="1"/>
    <col min="4875" max="4876" width="0" style="27" hidden="1" customWidth="1"/>
    <col min="4877" max="4877" width="9" style="27"/>
    <col min="4878" max="4878" width="9.85546875" style="27" bestFit="1" customWidth="1"/>
    <col min="4879" max="5120" width="9" style="27"/>
    <col min="5121" max="5121" width="5.5703125" style="27" customWidth="1"/>
    <col min="5122" max="5122" width="5.140625" style="27" customWidth="1"/>
    <col min="5123" max="5123" width="5" style="27" customWidth="1"/>
    <col min="5124" max="5124" width="5.140625" style="27" customWidth="1"/>
    <col min="5125" max="5125" width="5.42578125" style="27" customWidth="1"/>
    <col min="5126" max="5126" width="5" style="27" customWidth="1"/>
    <col min="5127" max="5127" width="6.7109375" style="27" customWidth="1"/>
    <col min="5128" max="5128" width="7.28515625" style="27" customWidth="1"/>
    <col min="5129" max="5129" width="129.5703125" style="27" customWidth="1"/>
    <col min="5130" max="5130" width="21.7109375" style="27" customWidth="1"/>
    <col min="5131" max="5132" width="0" style="27" hidden="1" customWidth="1"/>
    <col min="5133" max="5133" width="9" style="27"/>
    <col min="5134" max="5134" width="9.85546875" style="27" bestFit="1" customWidth="1"/>
    <col min="5135" max="5376" width="9" style="27"/>
    <col min="5377" max="5377" width="5.5703125" style="27" customWidth="1"/>
    <col min="5378" max="5378" width="5.140625" style="27" customWidth="1"/>
    <col min="5379" max="5379" width="5" style="27" customWidth="1"/>
    <col min="5380" max="5380" width="5.140625" style="27" customWidth="1"/>
    <col min="5381" max="5381" width="5.42578125" style="27" customWidth="1"/>
    <col min="5382" max="5382" width="5" style="27" customWidth="1"/>
    <col min="5383" max="5383" width="6.7109375" style="27" customWidth="1"/>
    <col min="5384" max="5384" width="7.28515625" style="27" customWidth="1"/>
    <col min="5385" max="5385" width="129.5703125" style="27" customWidth="1"/>
    <col min="5386" max="5386" width="21.7109375" style="27" customWidth="1"/>
    <col min="5387" max="5388" width="0" style="27" hidden="1" customWidth="1"/>
    <col min="5389" max="5389" width="9" style="27"/>
    <col min="5390" max="5390" width="9.85546875" style="27" bestFit="1" customWidth="1"/>
    <col min="5391" max="5632" width="9" style="27"/>
    <col min="5633" max="5633" width="5.5703125" style="27" customWidth="1"/>
    <col min="5634" max="5634" width="5.140625" style="27" customWidth="1"/>
    <col min="5635" max="5635" width="5" style="27" customWidth="1"/>
    <col min="5636" max="5636" width="5.140625" style="27" customWidth="1"/>
    <col min="5637" max="5637" width="5.42578125" style="27" customWidth="1"/>
    <col min="5638" max="5638" width="5" style="27" customWidth="1"/>
    <col min="5639" max="5639" width="6.7109375" style="27" customWidth="1"/>
    <col min="5640" max="5640" width="7.28515625" style="27" customWidth="1"/>
    <col min="5641" max="5641" width="129.5703125" style="27" customWidth="1"/>
    <col min="5642" max="5642" width="21.7109375" style="27" customWidth="1"/>
    <col min="5643" max="5644" width="0" style="27" hidden="1" customWidth="1"/>
    <col min="5645" max="5645" width="9" style="27"/>
    <col min="5646" max="5646" width="9.85546875" style="27" bestFit="1" customWidth="1"/>
    <col min="5647" max="5888" width="9" style="27"/>
    <col min="5889" max="5889" width="5.5703125" style="27" customWidth="1"/>
    <col min="5890" max="5890" width="5.140625" style="27" customWidth="1"/>
    <col min="5891" max="5891" width="5" style="27" customWidth="1"/>
    <col min="5892" max="5892" width="5.140625" style="27" customWidth="1"/>
    <col min="5893" max="5893" width="5.42578125" style="27" customWidth="1"/>
    <col min="5894" max="5894" width="5" style="27" customWidth="1"/>
    <col min="5895" max="5895" width="6.7109375" style="27" customWidth="1"/>
    <col min="5896" max="5896" width="7.28515625" style="27" customWidth="1"/>
    <col min="5897" max="5897" width="129.5703125" style="27" customWidth="1"/>
    <col min="5898" max="5898" width="21.7109375" style="27" customWidth="1"/>
    <col min="5899" max="5900" width="0" style="27" hidden="1" customWidth="1"/>
    <col min="5901" max="5901" width="9" style="27"/>
    <col min="5902" max="5902" width="9.85546875" style="27" bestFit="1" customWidth="1"/>
    <col min="5903" max="6144" width="9" style="27"/>
    <col min="6145" max="6145" width="5.5703125" style="27" customWidth="1"/>
    <col min="6146" max="6146" width="5.140625" style="27" customWidth="1"/>
    <col min="6147" max="6147" width="5" style="27" customWidth="1"/>
    <col min="6148" max="6148" width="5.140625" style="27" customWidth="1"/>
    <col min="6149" max="6149" width="5.42578125" style="27" customWidth="1"/>
    <col min="6150" max="6150" width="5" style="27" customWidth="1"/>
    <col min="6151" max="6151" width="6.7109375" style="27" customWidth="1"/>
    <col min="6152" max="6152" width="7.28515625" style="27" customWidth="1"/>
    <col min="6153" max="6153" width="129.5703125" style="27" customWidth="1"/>
    <col min="6154" max="6154" width="21.7109375" style="27" customWidth="1"/>
    <col min="6155" max="6156" width="0" style="27" hidden="1" customWidth="1"/>
    <col min="6157" max="6157" width="9" style="27"/>
    <col min="6158" max="6158" width="9.85546875" style="27" bestFit="1" customWidth="1"/>
    <col min="6159" max="6400" width="9" style="27"/>
    <col min="6401" max="6401" width="5.5703125" style="27" customWidth="1"/>
    <col min="6402" max="6402" width="5.140625" style="27" customWidth="1"/>
    <col min="6403" max="6403" width="5" style="27" customWidth="1"/>
    <col min="6404" max="6404" width="5.140625" style="27" customWidth="1"/>
    <col min="6405" max="6405" width="5.42578125" style="27" customWidth="1"/>
    <col min="6406" max="6406" width="5" style="27" customWidth="1"/>
    <col min="6407" max="6407" width="6.7109375" style="27" customWidth="1"/>
    <col min="6408" max="6408" width="7.28515625" style="27" customWidth="1"/>
    <col min="6409" max="6409" width="129.5703125" style="27" customWidth="1"/>
    <col min="6410" max="6410" width="21.7109375" style="27" customWidth="1"/>
    <col min="6411" max="6412" width="0" style="27" hidden="1" customWidth="1"/>
    <col min="6413" max="6413" width="9" style="27"/>
    <col min="6414" max="6414" width="9.85546875" style="27" bestFit="1" customWidth="1"/>
    <col min="6415" max="6656" width="9" style="27"/>
    <col min="6657" max="6657" width="5.5703125" style="27" customWidth="1"/>
    <col min="6658" max="6658" width="5.140625" style="27" customWidth="1"/>
    <col min="6659" max="6659" width="5" style="27" customWidth="1"/>
    <col min="6660" max="6660" width="5.140625" style="27" customWidth="1"/>
    <col min="6661" max="6661" width="5.42578125" style="27" customWidth="1"/>
    <col min="6662" max="6662" width="5" style="27" customWidth="1"/>
    <col min="6663" max="6663" width="6.7109375" style="27" customWidth="1"/>
    <col min="6664" max="6664" width="7.28515625" style="27" customWidth="1"/>
    <col min="6665" max="6665" width="129.5703125" style="27" customWidth="1"/>
    <col min="6666" max="6666" width="21.7109375" style="27" customWidth="1"/>
    <col min="6667" max="6668" width="0" style="27" hidden="1" customWidth="1"/>
    <col min="6669" max="6669" width="9" style="27"/>
    <col min="6670" max="6670" width="9.85546875" style="27" bestFit="1" customWidth="1"/>
    <col min="6671" max="6912" width="9" style="27"/>
    <col min="6913" max="6913" width="5.5703125" style="27" customWidth="1"/>
    <col min="6914" max="6914" width="5.140625" style="27" customWidth="1"/>
    <col min="6915" max="6915" width="5" style="27" customWidth="1"/>
    <col min="6916" max="6916" width="5.140625" style="27" customWidth="1"/>
    <col min="6917" max="6917" width="5.42578125" style="27" customWidth="1"/>
    <col min="6918" max="6918" width="5" style="27" customWidth="1"/>
    <col min="6919" max="6919" width="6.7109375" style="27" customWidth="1"/>
    <col min="6920" max="6920" width="7.28515625" style="27" customWidth="1"/>
    <col min="6921" max="6921" width="129.5703125" style="27" customWidth="1"/>
    <col min="6922" max="6922" width="21.7109375" style="27" customWidth="1"/>
    <col min="6923" max="6924" width="0" style="27" hidden="1" customWidth="1"/>
    <col min="6925" max="6925" width="9" style="27"/>
    <col min="6926" max="6926" width="9.85546875" style="27" bestFit="1" customWidth="1"/>
    <col min="6927" max="7168" width="9" style="27"/>
    <col min="7169" max="7169" width="5.5703125" style="27" customWidth="1"/>
    <col min="7170" max="7170" width="5.140625" style="27" customWidth="1"/>
    <col min="7171" max="7171" width="5" style="27" customWidth="1"/>
    <col min="7172" max="7172" width="5.140625" style="27" customWidth="1"/>
    <col min="7173" max="7173" width="5.42578125" style="27" customWidth="1"/>
    <col min="7174" max="7174" width="5" style="27" customWidth="1"/>
    <col min="7175" max="7175" width="6.7109375" style="27" customWidth="1"/>
    <col min="7176" max="7176" width="7.28515625" style="27" customWidth="1"/>
    <col min="7177" max="7177" width="129.5703125" style="27" customWidth="1"/>
    <col min="7178" max="7178" width="21.7109375" style="27" customWidth="1"/>
    <col min="7179" max="7180" width="0" style="27" hidden="1" customWidth="1"/>
    <col min="7181" max="7181" width="9" style="27"/>
    <col min="7182" max="7182" width="9.85546875" style="27" bestFit="1" customWidth="1"/>
    <col min="7183" max="7424" width="9" style="27"/>
    <col min="7425" max="7425" width="5.5703125" style="27" customWidth="1"/>
    <col min="7426" max="7426" width="5.140625" style="27" customWidth="1"/>
    <col min="7427" max="7427" width="5" style="27" customWidth="1"/>
    <col min="7428" max="7428" width="5.140625" style="27" customWidth="1"/>
    <col min="7429" max="7429" width="5.42578125" style="27" customWidth="1"/>
    <col min="7430" max="7430" width="5" style="27" customWidth="1"/>
    <col min="7431" max="7431" width="6.7109375" style="27" customWidth="1"/>
    <col min="7432" max="7432" width="7.28515625" style="27" customWidth="1"/>
    <col min="7433" max="7433" width="129.5703125" style="27" customWidth="1"/>
    <col min="7434" max="7434" width="21.7109375" style="27" customWidth="1"/>
    <col min="7435" max="7436" width="0" style="27" hidden="1" customWidth="1"/>
    <col min="7437" max="7437" width="9" style="27"/>
    <col min="7438" max="7438" width="9.85546875" style="27" bestFit="1" customWidth="1"/>
    <col min="7439" max="7680" width="9" style="27"/>
    <col min="7681" max="7681" width="5.5703125" style="27" customWidth="1"/>
    <col min="7682" max="7682" width="5.140625" style="27" customWidth="1"/>
    <col min="7683" max="7683" width="5" style="27" customWidth="1"/>
    <col min="7684" max="7684" width="5.140625" style="27" customWidth="1"/>
    <col min="7685" max="7685" width="5.42578125" style="27" customWidth="1"/>
    <col min="7686" max="7686" width="5" style="27" customWidth="1"/>
    <col min="7687" max="7687" width="6.7109375" style="27" customWidth="1"/>
    <col min="7688" max="7688" width="7.28515625" style="27" customWidth="1"/>
    <col min="7689" max="7689" width="129.5703125" style="27" customWidth="1"/>
    <col min="7690" max="7690" width="21.7109375" style="27" customWidth="1"/>
    <col min="7691" max="7692" width="0" style="27" hidden="1" customWidth="1"/>
    <col min="7693" max="7693" width="9" style="27"/>
    <col min="7694" max="7694" width="9.85546875" style="27" bestFit="1" customWidth="1"/>
    <col min="7695" max="7936" width="9" style="27"/>
    <col min="7937" max="7937" width="5.5703125" style="27" customWidth="1"/>
    <col min="7938" max="7938" width="5.140625" style="27" customWidth="1"/>
    <col min="7939" max="7939" width="5" style="27" customWidth="1"/>
    <col min="7940" max="7940" width="5.140625" style="27" customWidth="1"/>
    <col min="7941" max="7941" width="5.42578125" style="27" customWidth="1"/>
    <col min="7942" max="7942" width="5" style="27" customWidth="1"/>
    <col min="7943" max="7943" width="6.7109375" style="27" customWidth="1"/>
    <col min="7944" max="7944" width="7.28515625" style="27" customWidth="1"/>
    <col min="7945" max="7945" width="129.5703125" style="27" customWidth="1"/>
    <col min="7946" max="7946" width="21.7109375" style="27" customWidth="1"/>
    <col min="7947" max="7948" width="0" style="27" hidden="1" customWidth="1"/>
    <col min="7949" max="7949" width="9" style="27"/>
    <col min="7950" max="7950" width="9.85546875" style="27" bestFit="1" customWidth="1"/>
    <col min="7951" max="8192" width="9" style="27"/>
    <col min="8193" max="8193" width="5.5703125" style="27" customWidth="1"/>
    <col min="8194" max="8194" width="5.140625" style="27" customWidth="1"/>
    <col min="8195" max="8195" width="5" style="27" customWidth="1"/>
    <col min="8196" max="8196" width="5.140625" style="27" customWidth="1"/>
    <col min="8197" max="8197" width="5.42578125" style="27" customWidth="1"/>
    <col min="8198" max="8198" width="5" style="27" customWidth="1"/>
    <col min="8199" max="8199" width="6.7109375" style="27" customWidth="1"/>
    <col min="8200" max="8200" width="7.28515625" style="27" customWidth="1"/>
    <col min="8201" max="8201" width="129.5703125" style="27" customWidth="1"/>
    <col min="8202" max="8202" width="21.7109375" style="27" customWidth="1"/>
    <col min="8203" max="8204" width="0" style="27" hidden="1" customWidth="1"/>
    <col min="8205" max="8205" width="9" style="27"/>
    <col min="8206" max="8206" width="9.85546875" style="27" bestFit="1" customWidth="1"/>
    <col min="8207" max="8448" width="9" style="27"/>
    <col min="8449" max="8449" width="5.5703125" style="27" customWidth="1"/>
    <col min="8450" max="8450" width="5.140625" style="27" customWidth="1"/>
    <col min="8451" max="8451" width="5" style="27" customWidth="1"/>
    <col min="8452" max="8452" width="5.140625" style="27" customWidth="1"/>
    <col min="8453" max="8453" width="5.42578125" style="27" customWidth="1"/>
    <col min="8454" max="8454" width="5" style="27" customWidth="1"/>
    <col min="8455" max="8455" width="6.7109375" style="27" customWidth="1"/>
    <col min="8456" max="8456" width="7.28515625" style="27" customWidth="1"/>
    <col min="8457" max="8457" width="129.5703125" style="27" customWidth="1"/>
    <col min="8458" max="8458" width="21.7109375" style="27" customWidth="1"/>
    <col min="8459" max="8460" width="0" style="27" hidden="1" customWidth="1"/>
    <col min="8461" max="8461" width="9" style="27"/>
    <col min="8462" max="8462" width="9.85546875" style="27" bestFit="1" customWidth="1"/>
    <col min="8463" max="8704" width="9" style="27"/>
    <col min="8705" max="8705" width="5.5703125" style="27" customWidth="1"/>
    <col min="8706" max="8706" width="5.140625" style="27" customWidth="1"/>
    <col min="8707" max="8707" width="5" style="27" customWidth="1"/>
    <col min="8708" max="8708" width="5.140625" style="27" customWidth="1"/>
    <col min="8709" max="8709" width="5.42578125" style="27" customWidth="1"/>
    <col min="8710" max="8710" width="5" style="27" customWidth="1"/>
    <col min="8711" max="8711" width="6.7109375" style="27" customWidth="1"/>
    <col min="8712" max="8712" width="7.28515625" style="27" customWidth="1"/>
    <col min="8713" max="8713" width="129.5703125" style="27" customWidth="1"/>
    <col min="8714" max="8714" width="21.7109375" style="27" customWidth="1"/>
    <col min="8715" max="8716" width="0" style="27" hidden="1" customWidth="1"/>
    <col min="8717" max="8717" width="9" style="27"/>
    <col min="8718" max="8718" width="9.85546875" style="27" bestFit="1" customWidth="1"/>
    <col min="8719" max="8960" width="9" style="27"/>
    <col min="8961" max="8961" width="5.5703125" style="27" customWidth="1"/>
    <col min="8962" max="8962" width="5.140625" style="27" customWidth="1"/>
    <col min="8963" max="8963" width="5" style="27" customWidth="1"/>
    <col min="8964" max="8964" width="5.140625" style="27" customWidth="1"/>
    <col min="8965" max="8965" width="5.42578125" style="27" customWidth="1"/>
    <col min="8966" max="8966" width="5" style="27" customWidth="1"/>
    <col min="8967" max="8967" width="6.7109375" style="27" customWidth="1"/>
    <col min="8968" max="8968" width="7.28515625" style="27" customWidth="1"/>
    <col min="8969" max="8969" width="129.5703125" style="27" customWidth="1"/>
    <col min="8970" max="8970" width="21.7109375" style="27" customWidth="1"/>
    <col min="8971" max="8972" width="0" style="27" hidden="1" customWidth="1"/>
    <col min="8973" max="8973" width="9" style="27"/>
    <col min="8974" max="8974" width="9.85546875" style="27" bestFit="1" customWidth="1"/>
    <col min="8975" max="9216" width="9" style="27"/>
    <col min="9217" max="9217" width="5.5703125" style="27" customWidth="1"/>
    <col min="9218" max="9218" width="5.140625" style="27" customWidth="1"/>
    <col min="9219" max="9219" width="5" style="27" customWidth="1"/>
    <col min="9220" max="9220" width="5.140625" style="27" customWidth="1"/>
    <col min="9221" max="9221" width="5.42578125" style="27" customWidth="1"/>
    <col min="9222" max="9222" width="5" style="27" customWidth="1"/>
    <col min="9223" max="9223" width="6.7109375" style="27" customWidth="1"/>
    <col min="9224" max="9224" width="7.28515625" style="27" customWidth="1"/>
    <col min="9225" max="9225" width="129.5703125" style="27" customWidth="1"/>
    <col min="9226" max="9226" width="21.7109375" style="27" customWidth="1"/>
    <col min="9227" max="9228" width="0" style="27" hidden="1" customWidth="1"/>
    <col min="9229" max="9229" width="9" style="27"/>
    <col min="9230" max="9230" width="9.85546875" style="27" bestFit="1" customWidth="1"/>
    <col min="9231" max="9472" width="9" style="27"/>
    <col min="9473" max="9473" width="5.5703125" style="27" customWidth="1"/>
    <col min="9474" max="9474" width="5.140625" style="27" customWidth="1"/>
    <col min="9475" max="9475" width="5" style="27" customWidth="1"/>
    <col min="9476" max="9476" width="5.140625" style="27" customWidth="1"/>
    <col min="9477" max="9477" width="5.42578125" style="27" customWidth="1"/>
    <col min="9478" max="9478" width="5" style="27" customWidth="1"/>
    <col min="9479" max="9479" width="6.7109375" style="27" customWidth="1"/>
    <col min="9480" max="9480" width="7.28515625" style="27" customWidth="1"/>
    <col min="9481" max="9481" width="129.5703125" style="27" customWidth="1"/>
    <col min="9482" max="9482" width="21.7109375" style="27" customWidth="1"/>
    <col min="9483" max="9484" width="0" style="27" hidden="1" customWidth="1"/>
    <col min="9485" max="9485" width="9" style="27"/>
    <col min="9486" max="9486" width="9.85546875" style="27" bestFit="1" customWidth="1"/>
    <col min="9487" max="9728" width="9" style="27"/>
    <col min="9729" max="9729" width="5.5703125" style="27" customWidth="1"/>
    <col min="9730" max="9730" width="5.140625" style="27" customWidth="1"/>
    <col min="9731" max="9731" width="5" style="27" customWidth="1"/>
    <col min="9732" max="9732" width="5.140625" style="27" customWidth="1"/>
    <col min="9733" max="9733" width="5.42578125" style="27" customWidth="1"/>
    <col min="9734" max="9734" width="5" style="27" customWidth="1"/>
    <col min="9735" max="9735" width="6.7109375" style="27" customWidth="1"/>
    <col min="9736" max="9736" width="7.28515625" style="27" customWidth="1"/>
    <col min="9737" max="9737" width="129.5703125" style="27" customWidth="1"/>
    <col min="9738" max="9738" width="21.7109375" style="27" customWidth="1"/>
    <col min="9739" max="9740" width="0" style="27" hidden="1" customWidth="1"/>
    <col min="9741" max="9741" width="9" style="27"/>
    <col min="9742" max="9742" width="9.85546875" style="27" bestFit="1" customWidth="1"/>
    <col min="9743" max="9984" width="9" style="27"/>
    <col min="9985" max="9985" width="5.5703125" style="27" customWidth="1"/>
    <col min="9986" max="9986" width="5.140625" style="27" customWidth="1"/>
    <col min="9987" max="9987" width="5" style="27" customWidth="1"/>
    <col min="9988" max="9988" width="5.140625" style="27" customWidth="1"/>
    <col min="9989" max="9989" width="5.42578125" style="27" customWidth="1"/>
    <col min="9990" max="9990" width="5" style="27" customWidth="1"/>
    <col min="9991" max="9991" width="6.7109375" style="27" customWidth="1"/>
    <col min="9992" max="9992" width="7.28515625" style="27" customWidth="1"/>
    <col min="9993" max="9993" width="129.5703125" style="27" customWidth="1"/>
    <col min="9994" max="9994" width="21.7109375" style="27" customWidth="1"/>
    <col min="9995" max="9996" width="0" style="27" hidden="1" customWidth="1"/>
    <col min="9997" max="9997" width="9" style="27"/>
    <col min="9998" max="9998" width="9.85546875" style="27" bestFit="1" customWidth="1"/>
    <col min="9999" max="10240" width="9" style="27"/>
    <col min="10241" max="10241" width="5.5703125" style="27" customWidth="1"/>
    <col min="10242" max="10242" width="5.140625" style="27" customWidth="1"/>
    <col min="10243" max="10243" width="5" style="27" customWidth="1"/>
    <col min="10244" max="10244" width="5.140625" style="27" customWidth="1"/>
    <col min="10245" max="10245" width="5.42578125" style="27" customWidth="1"/>
    <col min="10246" max="10246" width="5" style="27" customWidth="1"/>
    <col min="10247" max="10247" width="6.7109375" style="27" customWidth="1"/>
    <col min="10248" max="10248" width="7.28515625" style="27" customWidth="1"/>
    <col min="10249" max="10249" width="129.5703125" style="27" customWidth="1"/>
    <col min="10250" max="10250" width="21.7109375" style="27" customWidth="1"/>
    <col min="10251" max="10252" width="0" style="27" hidden="1" customWidth="1"/>
    <col min="10253" max="10253" width="9" style="27"/>
    <col min="10254" max="10254" width="9.85546875" style="27" bestFit="1" customWidth="1"/>
    <col min="10255" max="10496" width="9" style="27"/>
    <col min="10497" max="10497" width="5.5703125" style="27" customWidth="1"/>
    <col min="10498" max="10498" width="5.140625" style="27" customWidth="1"/>
    <col min="10499" max="10499" width="5" style="27" customWidth="1"/>
    <col min="10500" max="10500" width="5.140625" style="27" customWidth="1"/>
    <col min="10501" max="10501" width="5.42578125" style="27" customWidth="1"/>
    <col min="10502" max="10502" width="5" style="27" customWidth="1"/>
    <col min="10503" max="10503" width="6.7109375" style="27" customWidth="1"/>
    <col min="10504" max="10504" width="7.28515625" style="27" customWidth="1"/>
    <col min="10505" max="10505" width="129.5703125" style="27" customWidth="1"/>
    <col min="10506" max="10506" width="21.7109375" style="27" customWidth="1"/>
    <col min="10507" max="10508" width="0" style="27" hidden="1" customWidth="1"/>
    <col min="10509" max="10509" width="9" style="27"/>
    <col min="10510" max="10510" width="9.85546875" style="27" bestFit="1" customWidth="1"/>
    <col min="10511" max="10752" width="9" style="27"/>
    <col min="10753" max="10753" width="5.5703125" style="27" customWidth="1"/>
    <col min="10754" max="10754" width="5.140625" style="27" customWidth="1"/>
    <col min="10755" max="10755" width="5" style="27" customWidth="1"/>
    <col min="10756" max="10756" width="5.140625" style="27" customWidth="1"/>
    <col min="10757" max="10757" width="5.42578125" style="27" customWidth="1"/>
    <col min="10758" max="10758" width="5" style="27" customWidth="1"/>
    <col min="10759" max="10759" width="6.7109375" style="27" customWidth="1"/>
    <col min="10760" max="10760" width="7.28515625" style="27" customWidth="1"/>
    <col min="10761" max="10761" width="129.5703125" style="27" customWidth="1"/>
    <col min="10762" max="10762" width="21.7109375" style="27" customWidth="1"/>
    <col min="10763" max="10764" width="0" style="27" hidden="1" customWidth="1"/>
    <col min="10765" max="10765" width="9" style="27"/>
    <col min="10766" max="10766" width="9.85546875" style="27" bestFit="1" customWidth="1"/>
    <col min="10767" max="11008" width="9" style="27"/>
    <col min="11009" max="11009" width="5.5703125" style="27" customWidth="1"/>
    <col min="11010" max="11010" width="5.140625" style="27" customWidth="1"/>
    <col min="11011" max="11011" width="5" style="27" customWidth="1"/>
    <col min="11012" max="11012" width="5.140625" style="27" customWidth="1"/>
    <col min="11013" max="11013" width="5.42578125" style="27" customWidth="1"/>
    <col min="11014" max="11014" width="5" style="27" customWidth="1"/>
    <col min="11015" max="11015" width="6.7109375" style="27" customWidth="1"/>
    <col min="11016" max="11016" width="7.28515625" style="27" customWidth="1"/>
    <col min="11017" max="11017" width="129.5703125" style="27" customWidth="1"/>
    <col min="11018" max="11018" width="21.7109375" style="27" customWidth="1"/>
    <col min="11019" max="11020" width="0" style="27" hidden="1" customWidth="1"/>
    <col min="11021" max="11021" width="9" style="27"/>
    <col min="11022" max="11022" width="9.85546875" style="27" bestFit="1" customWidth="1"/>
    <col min="11023" max="11264" width="9" style="27"/>
    <col min="11265" max="11265" width="5.5703125" style="27" customWidth="1"/>
    <col min="11266" max="11266" width="5.140625" style="27" customWidth="1"/>
    <col min="11267" max="11267" width="5" style="27" customWidth="1"/>
    <col min="11268" max="11268" width="5.140625" style="27" customWidth="1"/>
    <col min="11269" max="11269" width="5.42578125" style="27" customWidth="1"/>
    <col min="11270" max="11270" width="5" style="27" customWidth="1"/>
    <col min="11271" max="11271" width="6.7109375" style="27" customWidth="1"/>
    <col min="11272" max="11272" width="7.28515625" style="27" customWidth="1"/>
    <col min="11273" max="11273" width="129.5703125" style="27" customWidth="1"/>
    <col min="11274" max="11274" width="21.7109375" style="27" customWidth="1"/>
    <col min="11275" max="11276" width="0" style="27" hidden="1" customWidth="1"/>
    <col min="11277" max="11277" width="9" style="27"/>
    <col min="11278" max="11278" width="9.85546875" style="27" bestFit="1" customWidth="1"/>
    <col min="11279" max="11520" width="9" style="27"/>
    <col min="11521" max="11521" width="5.5703125" style="27" customWidth="1"/>
    <col min="11522" max="11522" width="5.140625" style="27" customWidth="1"/>
    <col min="11523" max="11523" width="5" style="27" customWidth="1"/>
    <col min="11524" max="11524" width="5.140625" style="27" customWidth="1"/>
    <col min="11525" max="11525" width="5.42578125" style="27" customWidth="1"/>
    <col min="11526" max="11526" width="5" style="27" customWidth="1"/>
    <col min="11527" max="11527" width="6.7109375" style="27" customWidth="1"/>
    <col min="11528" max="11528" width="7.28515625" style="27" customWidth="1"/>
    <col min="11529" max="11529" width="129.5703125" style="27" customWidth="1"/>
    <col min="11530" max="11530" width="21.7109375" style="27" customWidth="1"/>
    <col min="11531" max="11532" width="0" style="27" hidden="1" customWidth="1"/>
    <col min="11533" max="11533" width="9" style="27"/>
    <col min="11534" max="11534" width="9.85546875" style="27" bestFit="1" customWidth="1"/>
    <col min="11535" max="11776" width="9" style="27"/>
    <col min="11777" max="11777" width="5.5703125" style="27" customWidth="1"/>
    <col min="11778" max="11778" width="5.140625" style="27" customWidth="1"/>
    <col min="11779" max="11779" width="5" style="27" customWidth="1"/>
    <col min="11780" max="11780" width="5.140625" style="27" customWidth="1"/>
    <col min="11781" max="11781" width="5.42578125" style="27" customWidth="1"/>
    <col min="11782" max="11782" width="5" style="27" customWidth="1"/>
    <col min="11783" max="11783" width="6.7109375" style="27" customWidth="1"/>
    <col min="11784" max="11784" width="7.28515625" style="27" customWidth="1"/>
    <col min="11785" max="11785" width="129.5703125" style="27" customWidth="1"/>
    <col min="11786" max="11786" width="21.7109375" style="27" customWidth="1"/>
    <col min="11787" max="11788" width="0" style="27" hidden="1" customWidth="1"/>
    <col min="11789" max="11789" width="9" style="27"/>
    <col min="11790" max="11790" width="9.85546875" style="27" bestFit="1" customWidth="1"/>
    <col min="11791" max="12032" width="9" style="27"/>
    <col min="12033" max="12033" width="5.5703125" style="27" customWidth="1"/>
    <col min="12034" max="12034" width="5.140625" style="27" customWidth="1"/>
    <col min="12035" max="12035" width="5" style="27" customWidth="1"/>
    <col min="12036" max="12036" width="5.140625" style="27" customWidth="1"/>
    <col min="12037" max="12037" width="5.42578125" style="27" customWidth="1"/>
    <col min="12038" max="12038" width="5" style="27" customWidth="1"/>
    <col min="12039" max="12039" width="6.7109375" style="27" customWidth="1"/>
    <col min="12040" max="12040" width="7.28515625" style="27" customWidth="1"/>
    <col min="12041" max="12041" width="129.5703125" style="27" customWidth="1"/>
    <col min="12042" max="12042" width="21.7109375" style="27" customWidth="1"/>
    <col min="12043" max="12044" width="0" style="27" hidden="1" customWidth="1"/>
    <col min="12045" max="12045" width="9" style="27"/>
    <col min="12046" max="12046" width="9.85546875" style="27" bestFit="1" customWidth="1"/>
    <col min="12047" max="12288" width="9" style="27"/>
    <col min="12289" max="12289" width="5.5703125" style="27" customWidth="1"/>
    <col min="12290" max="12290" width="5.140625" style="27" customWidth="1"/>
    <col min="12291" max="12291" width="5" style="27" customWidth="1"/>
    <col min="12292" max="12292" width="5.140625" style="27" customWidth="1"/>
    <col min="12293" max="12293" width="5.42578125" style="27" customWidth="1"/>
    <col min="12294" max="12294" width="5" style="27" customWidth="1"/>
    <col min="12295" max="12295" width="6.7109375" style="27" customWidth="1"/>
    <col min="12296" max="12296" width="7.28515625" style="27" customWidth="1"/>
    <col min="12297" max="12297" width="129.5703125" style="27" customWidth="1"/>
    <col min="12298" max="12298" width="21.7109375" style="27" customWidth="1"/>
    <col min="12299" max="12300" width="0" style="27" hidden="1" customWidth="1"/>
    <col min="12301" max="12301" width="9" style="27"/>
    <col min="12302" max="12302" width="9.85546875" style="27" bestFit="1" customWidth="1"/>
    <col min="12303" max="12544" width="9" style="27"/>
    <col min="12545" max="12545" width="5.5703125" style="27" customWidth="1"/>
    <col min="12546" max="12546" width="5.140625" style="27" customWidth="1"/>
    <col min="12547" max="12547" width="5" style="27" customWidth="1"/>
    <col min="12548" max="12548" width="5.140625" style="27" customWidth="1"/>
    <col min="12549" max="12549" width="5.42578125" style="27" customWidth="1"/>
    <col min="12550" max="12550" width="5" style="27" customWidth="1"/>
    <col min="12551" max="12551" width="6.7109375" style="27" customWidth="1"/>
    <col min="12552" max="12552" width="7.28515625" style="27" customWidth="1"/>
    <col min="12553" max="12553" width="129.5703125" style="27" customWidth="1"/>
    <col min="12554" max="12554" width="21.7109375" style="27" customWidth="1"/>
    <col min="12555" max="12556" width="0" style="27" hidden="1" customWidth="1"/>
    <col min="12557" max="12557" width="9" style="27"/>
    <col min="12558" max="12558" width="9.85546875" style="27" bestFit="1" customWidth="1"/>
    <col min="12559" max="12800" width="9" style="27"/>
    <col min="12801" max="12801" width="5.5703125" style="27" customWidth="1"/>
    <col min="12802" max="12802" width="5.140625" style="27" customWidth="1"/>
    <col min="12803" max="12803" width="5" style="27" customWidth="1"/>
    <col min="12804" max="12804" width="5.140625" style="27" customWidth="1"/>
    <col min="12805" max="12805" width="5.42578125" style="27" customWidth="1"/>
    <col min="12806" max="12806" width="5" style="27" customWidth="1"/>
    <col min="12807" max="12807" width="6.7109375" style="27" customWidth="1"/>
    <col min="12808" max="12808" width="7.28515625" style="27" customWidth="1"/>
    <col min="12809" max="12809" width="129.5703125" style="27" customWidth="1"/>
    <col min="12810" max="12810" width="21.7109375" style="27" customWidth="1"/>
    <col min="12811" max="12812" width="0" style="27" hidden="1" customWidth="1"/>
    <col min="12813" max="12813" width="9" style="27"/>
    <col min="12814" max="12814" width="9.85546875" style="27" bestFit="1" customWidth="1"/>
    <col min="12815" max="13056" width="9" style="27"/>
    <col min="13057" max="13057" width="5.5703125" style="27" customWidth="1"/>
    <col min="13058" max="13058" width="5.140625" style="27" customWidth="1"/>
    <col min="13059" max="13059" width="5" style="27" customWidth="1"/>
    <col min="13060" max="13060" width="5.140625" style="27" customWidth="1"/>
    <col min="13061" max="13061" width="5.42578125" style="27" customWidth="1"/>
    <col min="13062" max="13062" width="5" style="27" customWidth="1"/>
    <col min="13063" max="13063" width="6.7109375" style="27" customWidth="1"/>
    <col min="13064" max="13064" width="7.28515625" style="27" customWidth="1"/>
    <col min="13065" max="13065" width="129.5703125" style="27" customWidth="1"/>
    <col min="13066" max="13066" width="21.7109375" style="27" customWidth="1"/>
    <col min="13067" max="13068" width="0" style="27" hidden="1" customWidth="1"/>
    <col min="13069" max="13069" width="9" style="27"/>
    <col min="13070" max="13070" width="9.85546875" style="27" bestFit="1" customWidth="1"/>
    <col min="13071" max="13312" width="9" style="27"/>
    <col min="13313" max="13313" width="5.5703125" style="27" customWidth="1"/>
    <col min="13314" max="13314" width="5.140625" style="27" customWidth="1"/>
    <col min="13315" max="13315" width="5" style="27" customWidth="1"/>
    <col min="13316" max="13316" width="5.140625" style="27" customWidth="1"/>
    <col min="13317" max="13317" width="5.42578125" style="27" customWidth="1"/>
    <col min="13318" max="13318" width="5" style="27" customWidth="1"/>
    <col min="13319" max="13319" width="6.7109375" style="27" customWidth="1"/>
    <col min="13320" max="13320" width="7.28515625" style="27" customWidth="1"/>
    <col min="13321" max="13321" width="129.5703125" style="27" customWidth="1"/>
    <col min="13322" max="13322" width="21.7109375" style="27" customWidth="1"/>
    <col min="13323" max="13324" width="0" style="27" hidden="1" customWidth="1"/>
    <col min="13325" max="13325" width="9" style="27"/>
    <col min="13326" max="13326" width="9.85546875" style="27" bestFit="1" customWidth="1"/>
    <col min="13327" max="13568" width="9" style="27"/>
    <col min="13569" max="13569" width="5.5703125" style="27" customWidth="1"/>
    <col min="13570" max="13570" width="5.140625" style="27" customWidth="1"/>
    <col min="13571" max="13571" width="5" style="27" customWidth="1"/>
    <col min="13572" max="13572" width="5.140625" style="27" customWidth="1"/>
    <col min="13573" max="13573" width="5.42578125" style="27" customWidth="1"/>
    <col min="13574" max="13574" width="5" style="27" customWidth="1"/>
    <col min="13575" max="13575" width="6.7109375" style="27" customWidth="1"/>
    <col min="13576" max="13576" width="7.28515625" style="27" customWidth="1"/>
    <col min="13577" max="13577" width="129.5703125" style="27" customWidth="1"/>
    <col min="13578" max="13578" width="21.7109375" style="27" customWidth="1"/>
    <col min="13579" max="13580" width="0" style="27" hidden="1" customWidth="1"/>
    <col min="13581" max="13581" width="9" style="27"/>
    <col min="13582" max="13582" width="9.85546875" style="27" bestFit="1" customWidth="1"/>
    <col min="13583" max="13824" width="9" style="27"/>
    <col min="13825" max="13825" width="5.5703125" style="27" customWidth="1"/>
    <col min="13826" max="13826" width="5.140625" style="27" customWidth="1"/>
    <col min="13827" max="13827" width="5" style="27" customWidth="1"/>
    <col min="13828" max="13828" width="5.140625" style="27" customWidth="1"/>
    <col min="13829" max="13829" width="5.42578125" style="27" customWidth="1"/>
    <col min="13830" max="13830" width="5" style="27" customWidth="1"/>
    <col min="13831" max="13831" width="6.7109375" style="27" customWidth="1"/>
    <col min="13832" max="13832" width="7.28515625" style="27" customWidth="1"/>
    <col min="13833" max="13833" width="129.5703125" style="27" customWidth="1"/>
    <col min="13834" max="13834" width="21.7109375" style="27" customWidth="1"/>
    <col min="13835" max="13836" width="0" style="27" hidden="1" customWidth="1"/>
    <col min="13837" max="13837" width="9" style="27"/>
    <col min="13838" max="13838" width="9.85546875" style="27" bestFit="1" customWidth="1"/>
    <col min="13839" max="14080" width="9" style="27"/>
    <col min="14081" max="14081" width="5.5703125" style="27" customWidth="1"/>
    <col min="14082" max="14082" width="5.140625" style="27" customWidth="1"/>
    <col min="14083" max="14083" width="5" style="27" customWidth="1"/>
    <col min="14084" max="14084" width="5.140625" style="27" customWidth="1"/>
    <col min="14085" max="14085" width="5.42578125" style="27" customWidth="1"/>
    <col min="14086" max="14086" width="5" style="27" customWidth="1"/>
    <col min="14087" max="14087" width="6.7109375" style="27" customWidth="1"/>
    <col min="14088" max="14088" width="7.28515625" style="27" customWidth="1"/>
    <col min="14089" max="14089" width="129.5703125" style="27" customWidth="1"/>
    <col min="14090" max="14090" width="21.7109375" style="27" customWidth="1"/>
    <col min="14091" max="14092" width="0" style="27" hidden="1" customWidth="1"/>
    <col min="14093" max="14093" width="9" style="27"/>
    <col min="14094" max="14094" width="9.85546875" style="27" bestFit="1" customWidth="1"/>
    <col min="14095" max="14336" width="9" style="27"/>
    <col min="14337" max="14337" width="5.5703125" style="27" customWidth="1"/>
    <col min="14338" max="14338" width="5.140625" style="27" customWidth="1"/>
    <col min="14339" max="14339" width="5" style="27" customWidth="1"/>
    <col min="14340" max="14340" width="5.140625" style="27" customWidth="1"/>
    <col min="14341" max="14341" width="5.42578125" style="27" customWidth="1"/>
    <col min="14342" max="14342" width="5" style="27" customWidth="1"/>
    <col min="14343" max="14343" width="6.7109375" style="27" customWidth="1"/>
    <col min="14344" max="14344" width="7.28515625" style="27" customWidth="1"/>
    <col min="14345" max="14345" width="129.5703125" style="27" customWidth="1"/>
    <col min="14346" max="14346" width="21.7109375" style="27" customWidth="1"/>
    <col min="14347" max="14348" width="0" style="27" hidden="1" customWidth="1"/>
    <col min="14349" max="14349" width="9" style="27"/>
    <col min="14350" max="14350" width="9.85546875" style="27" bestFit="1" customWidth="1"/>
    <col min="14351" max="14592" width="9" style="27"/>
    <col min="14593" max="14593" width="5.5703125" style="27" customWidth="1"/>
    <col min="14594" max="14594" width="5.140625" style="27" customWidth="1"/>
    <col min="14595" max="14595" width="5" style="27" customWidth="1"/>
    <col min="14596" max="14596" width="5.140625" style="27" customWidth="1"/>
    <col min="14597" max="14597" width="5.42578125" style="27" customWidth="1"/>
    <col min="14598" max="14598" width="5" style="27" customWidth="1"/>
    <col min="14599" max="14599" width="6.7109375" style="27" customWidth="1"/>
    <col min="14600" max="14600" width="7.28515625" style="27" customWidth="1"/>
    <col min="14601" max="14601" width="129.5703125" style="27" customWidth="1"/>
    <col min="14602" max="14602" width="21.7109375" style="27" customWidth="1"/>
    <col min="14603" max="14604" width="0" style="27" hidden="1" customWidth="1"/>
    <col min="14605" max="14605" width="9" style="27"/>
    <col min="14606" max="14606" width="9.85546875" style="27" bestFit="1" customWidth="1"/>
    <col min="14607" max="14848" width="9" style="27"/>
    <col min="14849" max="14849" width="5.5703125" style="27" customWidth="1"/>
    <col min="14850" max="14850" width="5.140625" style="27" customWidth="1"/>
    <col min="14851" max="14851" width="5" style="27" customWidth="1"/>
    <col min="14852" max="14852" width="5.140625" style="27" customWidth="1"/>
    <col min="14853" max="14853" width="5.42578125" style="27" customWidth="1"/>
    <col min="14854" max="14854" width="5" style="27" customWidth="1"/>
    <col min="14855" max="14855" width="6.7109375" style="27" customWidth="1"/>
    <col min="14856" max="14856" width="7.28515625" style="27" customWidth="1"/>
    <col min="14857" max="14857" width="129.5703125" style="27" customWidth="1"/>
    <col min="14858" max="14858" width="21.7109375" style="27" customWidth="1"/>
    <col min="14859" max="14860" width="0" style="27" hidden="1" customWidth="1"/>
    <col min="14861" max="14861" width="9" style="27"/>
    <col min="14862" max="14862" width="9.85546875" style="27" bestFit="1" customWidth="1"/>
    <col min="14863" max="15104" width="9" style="27"/>
    <col min="15105" max="15105" width="5.5703125" style="27" customWidth="1"/>
    <col min="15106" max="15106" width="5.140625" style="27" customWidth="1"/>
    <col min="15107" max="15107" width="5" style="27" customWidth="1"/>
    <col min="15108" max="15108" width="5.140625" style="27" customWidth="1"/>
    <col min="15109" max="15109" width="5.42578125" style="27" customWidth="1"/>
    <col min="15110" max="15110" width="5" style="27" customWidth="1"/>
    <col min="15111" max="15111" width="6.7109375" style="27" customWidth="1"/>
    <col min="15112" max="15112" width="7.28515625" style="27" customWidth="1"/>
    <col min="15113" max="15113" width="129.5703125" style="27" customWidth="1"/>
    <col min="15114" max="15114" width="21.7109375" style="27" customWidth="1"/>
    <col min="15115" max="15116" width="0" style="27" hidden="1" customWidth="1"/>
    <col min="15117" max="15117" width="9" style="27"/>
    <col min="15118" max="15118" width="9.85546875" style="27" bestFit="1" customWidth="1"/>
    <col min="15119" max="15360" width="9" style="27"/>
    <col min="15361" max="15361" width="5.5703125" style="27" customWidth="1"/>
    <col min="15362" max="15362" width="5.140625" style="27" customWidth="1"/>
    <col min="15363" max="15363" width="5" style="27" customWidth="1"/>
    <col min="15364" max="15364" width="5.140625" style="27" customWidth="1"/>
    <col min="15365" max="15365" width="5.42578125" style="27" customWidth="1"/>
    <col min="15366" max="15366" width="5" style="27" customWidth="1"/>
    <col min="15367" max="15367" width="6.7109375" style="27" customWidth="1"/>
    <col min="15368" max="15368" width="7.28515625" style="27" customWidth="1"/>
    <col min="15369" max="15369" width="129.5703125" style="27" customWidth="1"/>
    <col min="15370" max="15370" width="21.7109375" style="27" customWidth="1"/>
    <col min="15371" max="15372" width="0" style="27" hidden="1" customWidth="1"/>
    <col min="15373" max="15373" width="9" style="27"/>
    <col min="15374" max="15374" width="9.85546875" style="27" bestFit="1" customWidth="1"/>
    <col min="15375" max="15616" width="9" style="27"/>
    <col min="15617" max="15617" width="5.5703125" style="27" customWidth="1"/>
    <col min="15618" max="15618" width="5.140625" style="27" customWidth="1"/>
    <col min="15619" max="15619" width="5" style="27" customWidth="1"/>
    <col min="15620" max="15620" width="5.140625" style="27" customWidth="1"/>
    <col min="15621" max="15621" width="5.42578125" style="27" customWidth="1"/>
    <col min="15622" max="15622" width="5" style="27" customWidth="1"/>
    <col min="15623" max="15623" width="6.7109375" style="27" customWidth="1"/>
    <col min="15624" max="15624" width="7.28515625" style="27" customWidth="1"/>
    <col min="15625" max="15625" width="129.5703125" style="27" customWidth="1"/>
    <col min="15626" max="15626" width="21.7109375" style="27" customWidth="1"/>
    <col min="15627" max="15628" width="0" style="27" hidden="1" customWidth="1"/>
    <col min="15629" max="15629" width="9" style="27"/>
    <col min="15630" max="15630" width="9.85546875" style="27" bestFit="1" customWidth="1"/>
    <col min="15631" max="15872" width="9" style="27"/>
    <col min="15873" max="15873" width="5.5703125" style="27" customWidth="1"/>
    <col min="15874" max="15874" width="5.140625" style="27" customWidth="1"/>
    <col min="15875" max="15875" width="5" style="27" customWidth="1"/>
    <col min="15876" max="15876" width="5.140625" style="27" customWidth="1"/>
    <col min="15877" max="15877" width="5.42578125" style="27" customWidth="1"/>
    <col min="15878" max="15878" width="5" style="27" customWidth="1"/>
    <col min="15879" max="15879" width="6.7109375" style="27" customWidth="1"/>
    <col min="15880" max="15880" width="7.28515625" style="27" customWidth="1"/>
    <col min="15881" max="15881" width="129.5703125" style="27" customWidth="1"/>
    <col min="15882" max="15882" width="21.7109375" style="27" customWidth="1"/>
    <col min="15883" max="15884" width="0" style="27" hidden="1" customWidth="1"/>
    <col min="15885" max="15885" width="9" style="27"/>
    <col min="15886" max="15886" width="9.85546875" style="27" bestFit="1" customWidth="1"/>
    <col min="15887" max="16128" width="9" style="27"/>
    <col min="16129" max="16129" width="5.5703125" style="27" customWidth="1"/>
    <col min="16130" max="16130" width="5.140625" style="27" customWidth="1"/>
    <col min="16131" max="16131" width="5" style="27" customWidth="1"/>
    <col min="16132" max="16132" width="5.140625" style="27" customWidth="1"/>
    <col min="16133" max="16133" width="5.42578125" style="27" customWidth="1"/>
    <col min="16134" max="16134" width="5" style="27" customWidth="1"/>
    <col min="16135" max="16135" width="6.7109375" style="27" customWidth="1"/>
    <col min="16136" max="16136" width="7.28515625" style="27" customWidth="1"/>
    <col min="16137" max="16137" width="129.5703125" style="27" customWidth="1"/>
    <col min="16138" max="16138" width="21.7109375" style="27" customWidth="1"/>
    <col min="16139" max="16140" width="0" style="27" hidden="1" customWidth="1"/>
    <col min="16141" max="16141" width="9" style="27"/>
    <col min="16142" max="16142" width="9.85546875" style="27" bestFit="1" customWidth="1"/>
    <col min="16143" max="16384" width="9" style="27"/>
  </cols>
  <sheetData>
    <row r="1" spans="1:14" ht="15" x14ac:dyDescent="0.2">
      <c r="A1" s="54"/>
      <c r="B1" s="55"/>
      <c r="C1" s="55"/>
      <c r="D1" s="55"/>
      <c r="E1" s="55"/>
      <c r="F1" s="55"/>
      <c r="H1" s="56"/>
      <c r="I1" s="57"/>
      <c r="J1" s="508" t="s">
        <v>493</v>
      </c>
      <c r="K1" s="463"/>
      <c r="L1" s="463"/>
      <c r="M1" s="463"/>
      <c r="N1" s="463"/>
    </row>
    <row r="2" spans="1:14" ht="15" x14ac:dyDescent="0.2">
      <c r="A2" s="54"/>
      <c r="B2" s="55"/>
      <c r="C2" s="55"/>
      <c r="D2" s="55"/>
      <c r="E2" s="55"/>
      <c r="F2" s="55"/>
      <c r="I2" s="508" t="s">
        <v>1</v>
      </c>
      <c r="J2" s="463"/>
      <c r="K2" s="463"/>
      <c r="L2" s="463"/>
      <c r="M2" s="463"/>
      <c r="N2" s="463"/>
    </row>
    <row r="3" spans="1:14" ht="15" x14ac:dyDescent="0.2">
      <c r="A3" s="54"/>
      <c r="B3" s="55"/>
      <c r="C3" s="55"/>
      <c r="D3" s="55"/>
      <c r="E3" s="55"/>
      <c r="F3" s="55"/>
      <c r="H3" s="56"/>
      <c r="I3" s="476" t="s">
        <v>1738</v>
      </c>
      <c r="J3" s="463"/>
      <c r="K3" s="463"/>
      <c r="L3" s="463"/>
      <c r="M3" s="463"/>
      <c r="N3" s="463"/>
    </row>
    <row r="4" spans="1:14" ht="15" x14ac:dyDescent="0.2">
      <c r="A4" s="54"/>
      <c r="B4" s="55"/>
      <c r="C4" s="55"/>
      <c r="D4" s="55"/>
      <c r="E4" s="55"/>
      <c r="F4" s="55"/>
      <c r="H4" s="56"/>
      <c r="I4" s="56"/>
      <c r="J4" s="58"/>
    </row>
    <row r="5" spans="1:14" ht="15.75" customHeight="1" x14ac:dyDescent="0.25">
      <c r="A5" s="510" t="s">
        <v>526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463"/>
      <c r="N5" s="463"/>
    </row>
    <row r="6" spans="1:14" ht="15.75" x14ac:dyDescent="0.25">
      <c r="A6" s="59"/>
      <c r="B6" s="59"/>
      <c r="C6" s="59"/>
      <c r="D6" s="59"/>
      <c r="E6" s="59"/>
      <c r="F6" s="59"/>
      <c r="G6" s="59"/>
      <c r="H6" s="59"/>
      <c r="I6" s="59"/>
      <c r="J6" s="509" t="s">
        <v>494</v>
      </c>
      <c r="K6" s="472"/>
      <c r="L6" s="472"/>
      <c r="M6" s="472"/>
      <c r="N6" s="472"/>
    </row>
    <row r="7" spans="1:14" ht="12.75" x14ac:dyDescent="0.2">
      <c r="A7" s="500" t="s">
        <v>94</v>
      </c>
      <c r="B7" s="500"/>
      <c r="C7" s="500"/>
      <c r="D7" s="500"/>
      <c r="E7" s="500"/>
      <c r="F7" s="500"/>
      <c r="G7" s="500"/>
      <c r="H7" s="500"/>
      <c r="I7" s="60" t="s">
        <v>3</v>
      </c>
      <c r="J7" s="252" t="s">
        <v>4</v>
      </c>
      <c r="K7" s="60" t="s">
        <v>5</v>
      </c>
      <c r="L7" s="61" t="s">
        <v>6</v>
      </c>
      <c r="M7" s="250" t="s">
        <v>1373</v>
      </c>
      <c r="N7" s="251" t="s">
        <v>6</v>
      </c>
    </row>
    <row r="8" spans="1:14" ht="15.75" x14ac:dyDescent="0.25">
      <c r="A8" s="501" t="s">
        <v>495</v>
      </c>
      <c r="B8" s="502"/>
      <c r="C8" s="502"/>
      <c r="D8" s="502"/>
      <c r="E8" s="502"/>
      <c r="F8" s="502"/>
      <c r="G8" s="502"/>
      <c r="H8" s="502"/>
      <c r="I8" s="503"/>
      <c r="J8" s="62">
        <v>-766396.3</v>
      </c>
      <c r="K8" s="62" t="e">
        <f>#REF!-#REF!</f>
        <v>#REF!</v>
      </c>
      <c r="L8" s="63" t="e">
        <f>K8-J8</f>
        <v>#REF!</v>
      </c>
      <c r="M8" s="62">
        <v>-664456.30000000005</v>
      </c>
      <c r="N8" s="62">
        <f>M8-J8</f>
        <v>101940</v>
      </c>
    </row>
    <row r="9" spans="1:14" ht="15" x14ac:dyDescent="0.2">
      <c r="A9" s="504" t="s">
        <v>496</v>
      </c>
      <c r="B9" s="504"/>
      <c r="C9" s="504"/>
      <c r="D9" s="504"/>
      <c r="E9" s="504"/>
      <c r="F9" s="504"/>
      <c r="G9" s="504"/>
      <c r="H9" s="504"/>
      <c r="I9" s="504"/>
      <c r="J9" s="64">
        <v>13.8</v>
      </c>
      <c r="K9" s="64" t="e">
        <f>K8/#REF!*-100</f>
        <v>#REF!</v>
      </c>
      <c r="L9" s="65" t="e">
        <f t="shared" ref="L9:L25" si="0">K9-J9</f>
        <v>#REF!</v>
      </c>
      <c r="M9" s="64">
        <v>11.8</v>
      </c>
      <c r="N9" s="64">
        <f t="shared" ref="N9:N25" si="1">M9-J9</f>
        <v>-2</v>
      </c>
    </row>
    <row r="10" spans="1:14" ht="25.5" customHeight="1" x14ac:dyDescent="0.2">
      <c r="A10" s="66" t="s">
        <v>497</v>
      </c>
      <c r="B10" s="66" t="s">
        <v>498</v>
      </c>
      <c r="C10" s="66" t="s">
        <v>499</v>
      </c>
      <c r="D10" s="66" t="s">
        <v>499</v>
      </c>
      <c r="E10" s="66" t="s">
        <v>499</v>
      </c>
      <c r="F10" s="66" t="s">
        <v>499</v>
      </c>
      <c r="G10" s="66" t="s">
        <v>500</v>
      </c>
      <c r="H10" s="66" t="s">
        <v>497</v>
      </c>
      <c r="I10" s="67" t="s">
        <v>501</v>
      </c>
      <c r="J10" s="68">
        <f>J11+J16</f>
        <v>766396.30000000075</v>
      </c>
      <c r="K10" s="68" t="e">
        <f>K11+#REF!+K16</f>
        <v>#REF!</v>
      </c>
      <c r="L10" s="68" t="e">
        <f t="shared" si="0"/>
        <v>#REF!</v>
      </c>
      <c r="M10" s="68">
        <f>M11+M16</f>
        <v>664456.30000000075</v>
      </c>
      <c r="N10" s="68">
        <f t="shared" si="1"/>
        <v>-101940</v>
      </c>
    </row>
    <row r="11" spans="1:14" ht="26.25" customHeight="1" x14ac:dyDescent="0.25">
      <c r="A11" s="66" t="s">
        <v>497</v>
      </c>
      <c r="B11" s="66" t="s">
        <v>498</v>
      </c>
      <c r="C11" s="66" t="s">
        <v>502</v>
      </c>
      <c r="D11" s="66" t="s">
        <v>499</v>
      </c>
      <c r="E11" s="66" t="s">
        <v>499</v>
      </c>
      <c r="F11" s="66" t="s">
        <v>499</v>
      </c>
      <c r="G11" s="66" t="s">
        <v>500</v>
      </c>
      <c r="H11" s="66" t="s">
        <v>497</v>
      </c>
      <c r="I11" s="69" t="s">
        <v>503</v>
      </c>
      <c r="J11" s="68">
        <f>J12+J14</f>
        <v>585000</v>
      </c>
      <c r="K11" s="68">
        <f>K12+K14</f>
        <v>100000</v>
      </c>
      <c r="L11" s="63">
        <f t="shared" si="0"/>
        <v>-485000</v>
      </c>
      <c r="M11" s="68">
        <f>M12+M14</f>
        <v>565000</v>
      </c>
      <c r="N11" s="68">
        <f t="shared" si="1"/>
        <v>-20000</v>
      </c>
    </row>
    <row r="12" spans="1:14" ht="22.5" customHeight="1" x14ac:dyDescent="0.2">
      <c r="A12" s="70" t="s">
        <v>497</v>
      </c>
      <c r="B12" s="70" t="s">
        <v>498</v>
      </c>
      <c r="C12" s="70" t="s">
        <v>502</v>
      </c>
      <c r="D12" s="70" t="s">
        <v>499</v>
      </c>
      <c r="E12" s="70" t="s">
        <v>499</v>
      </c>
      <c r="F12" s="70" t="s">
        <v>499</v>
      </c>
      <c r="G12" s="70" t="s">
        <v>500</v>
      </c>
      <c r="H12" s="70" t="s">
        <v>504</v>
      </c>
      <c r="I12" s="71" t="s">
        <v>505</v>
      </c>
      <c r="J12" s="64">
        <f>J13</f>
        <v>760000</v>
      </c>
      <c r="K12" s="64">
        <f>K13</f>
        <v>422000</v>
      </c>
      <c r="L12" s="72">
        <f t="shared" si="0"/>
        <v>-338000</v>
      </c>
      <c r="M12" s="64">
        <f>M13</f>
        <v>760000</v>
      </c>
      <c r="N12" s="64">
        <f t="shared" si="1"/>
        <v>0</v>
      </c>
    </row>
    <row r="13" spans="1:14" ht="24" customHeight="1" x14ac:dyDescent="0.2">
      <c r="A13" s="70" t="s">
        <v>506</v>
      </c>
      <c r="B13" s="70" t="s">
        <v>498</v>
      </c>
      <c r="C13" s="70" t="s">
        <v>502</v>
      </c>
      <c r="D13" s="70" t="s">
        <v>499</v>
      </c>
      <c r="E13" s="70" t="s">
        <v>499</v>
      </c>
      <c r="F13" s="70" t="s">
        <v>507</v>
      </c>
      <c r="G13" s="70" t="s">
        <v>500</v>
      </c>
      <c r="H13" s="70" t="s">
        <v>508</v>
      </c>
      <c r="I13" s="71" t="s">
        <v>479</v>
      </c>
      <c r="J13" s="64">
        <v>760000</v>
      </c>
      <c r="K13" s="64">
        <f>500000-78000</f>
        <v>422000</v>
      </c>
      <c r="L13" s="72">
        <f t="shared" si="0"/>
        <v>-338000</v>
      </c>
      <c r="M13" s="64">
        <v>760000</v>
      </c>
      <c r="N13" s="64">
        <f t="shared" si="1"/>
        <v>0</v>
      </c>
    </row>
    <row r="14" spans="1:14" ht="24" customHeight="1" x14ac:dyDescent="0.2">
      <c r="A14" s="70" t="s">
        <v>497</v>
      </c>
      <c r="B14" s="70" t="s">
        <v>498</v>
      </c>
      <c r="C14" s="70" t="s">
        <v>502</v>
      </c>
      <c r="D14" s="70" t="s">
        <v>499</v>
      </c>
      <c r="E14" s="70" t="s">
        <v>499</v>
      </c>
      <c r="F14" s="70" t="s">
        <v>499</v>
      </c>
      <c r="G14" s="70" t="s">
        <v>500</v>
      </c>
      <c r="H14" s="70" t="s">
        <v>509</v>
      </c>
      <c r="I14" s="71" t="s">
        <v>510</v>
      </c>
      <c r="J14" s="64">
        <f>J15</f>
        <v>-175000</v>
      </c>
      <c r="K14" s="64">
        <f>K15</f>
        <v>-322000</v>
      </c>
      <c r="L14" s="72">
        <f t="shared" si="0"/>
        <v>-147000</v>
      </c>
      <c r="M14" s="64">
        <f>M15</f>
        <v>-195000</v>
      </c>
      <c r="N14" s="64">
        <f t="shared" si="1"/>
        <v>-20000</v>
      </c>
    </row>
    <row r="15" spans="1:14" ht="21.2" customHeight="1" x14ac:dyDescent="0.2">
      <c r="A15" s="70" t="s">
        <v>506</v>
      </c>
      <c r="B15" s="70" t="s">
        <v>498</v>
      </c>
      <c r="C15" s="70" t="s">
        <v>502</v>
      </c>
      <c r="D15" s="70" t="s">
        <v>499</v>
      </c>
      <c r="E15" s="70" t="s">
        <v>499</v>
      </c>
      <c r="F15" s="70" t="s">
        <v>507</v>
      </c>
      <c r="G15" s="70" t="s">
        <v>500</v>
      </c>
      <c r="H15" s="70" t="s">
        <v>511</v>
      </c>
      <c r="I15" s="71" t="s">
        <v>481</v>
      </c>
      <c r="J15" s="64">
        <v>-175000</v>
      </c>
      <c r="K15" s="64">
        <f>-400000+78000</f>
        <v>-322000</v>
      </c>
      <c r="L15" s="72">
        <f t="shared" si="0"/>
        <v>-147000</v>
      </c>
      <c r="M15" s="64">
        <f>-175000-20000</f>
        <v>-195000</v>
      </c>
      <c r="N15" s="64">
        <f t="shared" si="1"/>
        <v>-20000</v>
      </c>
    </row>
    <row r="16" spans="1:14" ht="27.2" customHeight="1" x14ac:dyDescent="0.2">
      <c r="A16" s="66" t="s">
        <v>497</v>
      </c>
      <c r="B16" s="66" t="s">
        <v>498</v>
      </c>
      <c r="C16" s="66" t="s">
        <v>512</v>
      </c>
      <c r="D16" s="66" t="s">
        <v>499</v>
      </c>
      <c r="E16" s="66" t="s">
        <v>499</v>
      </c>
      <c r="F16" s="66" t="s">
        <v>499</v>
      </c>
      <c r="G16" s="66" t="s">
        <v>500</v>
      </c>
      <c r="H16" s="66" t="s">
        <v>497</v>
      </c>
      <c r="I16" s="69" t="s">
        <v>513</v>
      </c>
      <c r="J16" s="68">
        <f>J17+J21</f>
        <v>181396.30000000075</v>
      </c>
      <c r="K16" s="68">
        <f>K17+K21</f>
        <v>42619.600000000559</v>
      </c>
      <c r="L16" s="68">
        <f t="shared" si="0"/>
        <v>-138776.70000000019</v>
      </c>
      <c r="M16" s="68">
        <f>M17+M21</f>
        <v>99456.300000000745</v>
      </c>
      <c r="N16" s="68">
        <f t="shared" si="1"/>
        <v>-81940</v>
      </c>
    </row>
    <row r="17" spans="1:14" ht="21.2" customHeight="1" x14ac:dyDescent="0.2">
      <c r="A17" s="70" t="s">
        <v>497</v>
      </c>
      <c r="B17" s="70" t="s">
        <v>498</v>
      </c>
      <c r="C17" s="70" t="s">
        <v>512</v>
      </c>
      <c r="D17" s="70" t="s">
        <v>499</v>
      </c>
      <c r="E17" s="70" t="s">
        <v>499</v>
      </c>
      <c r="F17" s="70" t="s">
        <v>499</v>
      </c>
      <c r="G17" s="70" t="s">
        <v>500</v>
      </c>
      <c r="H17" s="70" t="s">
        <v>514</v>
      </c>
      <c r="I17" s="71" t="s">
        <v>515</v>
      </c>
      <c r="J17" s="64">
        <f t="shared" ref="J17:M19" si="2">J18</f>
        <v>-11618197.6</v>
      </c>
      <c r="K17" s="64">
        <f t="shared" si="2"/>
        <v>-5497350.6999999993</v>
      </c>
      <c r="L17" s="72">
        <f t="shared" si="0"/>
        <v>6120846.9000000004</v>
      </c>
      <c r="M17" s="64">
        <f t="shared" si="2"/>
        <v>-11840552.699999999</v>
      </c>
      <c r="N17" s="64">
        <f t="shared" si="1"/>
        <v>-222355.09999999963</v>
      </c>
    </row>
    <row r="18" spans="1:14" ht="23.1" customHeight="1" x14ac:dyDescent="0.2">
      <c r="A18" s="70" t="s">
        <v>497</v>
      </c>
      <c r="B18" s="70" t="s">
        <v>498</v>
      </c>
      <c r="C18" s="70" t="s">
        <v>512</v>
      </c>
      <c r="D18" s="70" t="s">
        <v>502</v>
      </c>
      <c r="E18" s="70" t="s">
        <v>499</v>
      </c>
      <c r="F18" s="70" t="s">
        <v>499</v>
      </c>
      <c r="G18" s="70" t="s">
        <v>500</v>
      </c>
      <c r="H18" s="70" t="s">
        <v>514</v>
      </c>
      <c r="I18" s="71" t="s">
        <v>516</v>
      </c>
      <c r="J18" s="64">
        <f t="shared" si="2"/>
        <v>-11618197.6</v>
      </c>
      <c r="K18" s="64">
        <f t="shared" si="2"/>
        <v>-5497350.6999999993</v>
      </c>
      <c r="L18" s="72">
        <f t="shared" si="0"/>
        <v>6120846.9000000004</v>
      </c>
      <c r="M18" s="64">
        <f t="shared" si="2"/>
        <v>-11840552.699999999</v>
      </c>
      <c r="N18" s="64">
        <f t="shared" si="1"/>
        <v>-222355.09999999963</v>
      </c>
    </row>
    <row r="19" spans="1:14" ht="23.1" customHeight="1" x14ac:dyDescent="0.2">
      <c r="A19" s="70" t="s">
        <v>497</v>
      </c>
      <c r="B19" s="70" t="s">
        <v>498</v>
      </c>
      <c r="C19" s="70" t="s">
        <v>512</v>
      </c>
      <c r="D19" s="70" t="s">
        <v>502</v>
      </c>
      <c r="E19" s="70" t="s">
        <v>498</v>
      </c>
      <c r="F19" s="70" t="s">
        <v>499</v>
      </c>
      <c r="G19" s="70" t="s">
        <v>500</v>
      </c>
      <c r="H19" s="70" t="s">
        <v>517</v>
      </c>
      <c r="I19" s="71" t="s">
        <v>518</v>
      </c>
      <c r="J19" s="64">
        <f t="shared" si="2"/>
        <v>-11618197.6</v>
      </c>
      <c r="K19" s="64">
        <f t="shared" si="2"/>
        <v>-5497350.6999999993</v>
      </c>
      <c r="L19" s="72">
        <f t="shared" si="0"/>
        <v>6120846.9000000004</v>
      </c>
      <c r="M19" s="64">
        <f t="shared" si="2"/>
        <v>-11840552.699999999</v>
      </c>
      <c r="N19" s="64">
        <f t="shared" si="1"/>
        <v>-222355.09999999963</v>
      </c>
    </row>
    <row r="20" spans="1:14" ht="23.25" customHeight="1" x14ac:dyDescent="0.2">
      <c r="A20" s="70" t="s">
        <v>506</v>
      </c>
      <c r="B20" s="70" t="s">
        <v>498</v>
      </c>
      <c r="C20" s="70" t="s">
        <v>512</v>
      </c>
      <c r="D20" s="70" t="s">
        <v>502</v>
      </c>
      <c r="E20" s="70" t="s">
        <v>498</v>
      </c>
      <c r="F20" s="70" t="s">
        <v>507</v>
      </c>
      <c r="G20" s="70" t="s">
        <v>500</v>
      </c>
      <c r="H20" s="70" t="s">
        <v>517</v>
      </c>
      <c r="I20" s="71" t="s">
        <v>487</v>
      </c>
      <c r="J20" s="64">
        <v>-11618197.6</v>
      </c>
      <c r="K20" s="64">
        <f>-5379345.9-49755.3-11018.3-54883.1-2348.1</f>
        <v>-5497350.6999999993</v>
      </c>
      <c r="L20" s="72">
        <f t="shared" si="0"/>
        <v>6120846.9000000004</v>
      </c>
      <c r="M20" s="64">
        <v>-11840552.699999999</v>
      </c>
      <c r="N20" s="64">
        <f t="shared" si="1"/>
        <v>-222355.09999999963</v>
      </c>
    </row>
    <row r="21" spans="1:14" ht="23.1" customHeight="1" x14ac:dyDescent="0.2">
      <c r="A21" s="70" t="s">
        <v>497</v>
      </c>
      <c r="B21" s="70" t="s">
        <v>498</v>
      </c>
      <c r="C21" s="70" t="s">
        <v>512</v>
      </c>
      <c r="D21" s="70" t="s">
        <v>499</v>
      </c>
      <c r="E21" s="70" t="s">
        <v>499</v>
      </c>
      <c r="F21" s="70" t="s">
        <v>499</v>
      </c>
      <c r="G21" s="70" t="s">
        <v>500</v>
      </c>
      <c r="H21" s="70" t="s">
        <v>519</v>
      </c>
      <c r="I21" s="71" t="s">
        <v>520</v>
      </c>
      <c r="J21" s="64">
        <f t="shared" ref="J21:M23" si="3">J22</f>
        <v>11799593.9</v>
      </c>
      <c r="K21" s="64">
        <f t="shared" si="3"/>
        <v>5539970.2999999998</v>
      </c>
      <c r="L21" s="72">
        <f t="shared" si="0"/>
        <v>-6259623.6000000006</v>
      </c>
      <c r="M21" s="64">
        <f t="shared" si="3"/>
        <v>11940009</v>
      </c>
      <c r="N21" s="64">
        <f t="shared" si="1"/>
        <v>140415.09999999963</v>
      </c>
    </row>
    <row r="22" spans="1:14" ht="19.899999999999999" customHeight="1" x14ac:dyDescent="0.2">
      <c r="A22" s="70" t="s">
        <v>497</v>
      </c>
      <c r="B22" s="70" t="s">
        <v>498</v>
      </c>
      <c r="C22" s="70" t="s">
        <v>512</v>
      </c>
      <c r="D22" s="70" t="s">
        <v>502</v>
      </c>
      <c r="E22" s="70" t="s">
        <v>499</v>
      </c>
      <c r="F22" s="70" t="s">
        <v>499</v>
      </c>
      <c r="G22" s="70" t="s">
        <v>500</v>
      </c>
      <c r="H22" s="70" t="s">
        <v>519</v>
      </c>
      <c r="I22" s="71" t="s">
        <v>521</v>
      </c>
      <c r="J22" s="64">
        <f t="shared" si="3"/>
        <v>11799593.9</v>
      </c>
      <c r="K22" s="64">
        <f t="shared" si="3"/>
        <v>5539970.2999999998</v>
      </c>
      <c r="L22" s="72">
        <f t="shared" si="0"/>
        <v>-6259623.6000000006</v>
      </c>
      <c r="M22" s="64">
        <f t="shared" si="3"/>
        <v>11940009</v>
      </c>
      <c r="N22" s="64">
        <f t="shared" si="1"/>
        <v>140415.09999999963</v>
      </c>
    </row>
    <row r="23" spans="1:14" ht="20.45" customHeight="1" x14ac:dyDescent="0.2">
      <c r="A23" s="70" t="s">
        <v>497</v>
      </c>
      <c r="B23" s="70" t="s">
        <v>498</v>
      </c>
      <c r="C23" s="70" t="s">
        <v>512</v>
      </c>
      <c r="D23" s="70" t="s">
        <v>502</v>
      </c>
      <c r="E23" s="70" t="s">
        <v>498</v>
      </c>
      <c r="F23" s="70" t="s">
        <v>499</v>
      </c>
      <c r="G23" s="70" t="s">
        <v>500</v>
      </c>
      <c r="H23" s="70" t="s">
        <v>522</v>
      </c>
      <c r="I23" s="71" t="s">
        <v>523</v>
      </c>
      <c r="J23" s="64">
        <f t="shared" si="3"/>
        <v>11799593.9</v>
      </c>
      <c r="K23" s="64">
        <f t="shared" si="3"/>
        <v>5539970.2999999998</v>
      </c>
      <c r="L23" s="72">
        <f t="shared" si="0"/>
        <v>-6259623.6000000006</v>
      </c>
      <c r="M23" s="64">
        <f t="shared" si="3"/>
        <v>11940009</v>
      </c>
      <c r="N23" s="64">
        <f t="shared" si="1"/>
        <v>140415.09999999963</v>
      </c>
    </row>
    <row r="24" spans="1:14" ht="29.25" customHeight="1" x14ac:dyDescent="0.2">
      <c r="A24" s="70" t="s">
        <v>506</v>
      </c>
      <c r="B24" s="70" t="s">
        <v>498</v>
      </c>
      <c r="C24" s="70" t="s">
        <v>512</v>
      </c>
      <c r="D24" s="70" t="s">
        <v>502</v>
      </c>
      <c r="E24" s="70" t="s">
        <v>498</v>
      </c>
      <c r="F24" s="70" t="s">
        <v>507</v>
      </c>
      <c r="G24" s="70" t="s">
        <v>500</v>
      </c>
      <c r="H24" s="70" t="s">
        <v>522</v>
      </c>
      <c r="I24" s="71" t="s">
        <v>489</v>
      </c>
      <c r="J24" s="64">
        <v>11799593.9</v>
      </c>
      <c r="K24" s="64">
        <f>5420228.4+59404.5+13106.2-10000+54883.1+2348.1</f>
        <v>5539970.2999999998</v>
      </c>
      <c r="L24" s="72">
        <f t="shared" si="0"/>
        <v>-6259623.6000000006</v>
      </c>
      <c r="M24" s="64">
        <v>11940009</v>
      </c>
      <c r="N24" s="64">
        <f t="shared" si="1"/>
        <v>140415.09999999963</v>
      </c>
    </row>
    <row r="25" spans="1:14" ht="15.75" x14ac:dyDescent="0.25">
      <c r="A25" s="505" t="s">
        <v>524</v>
      </c>
      <c r="B25" s="506"/>
      <c r="C25" s="506"/>
      <c r="D25" s="506"/>
      <c r="E25" s="506"/>
      <c r="F25" s="506"/>
      <c r="G25" s="506"/>
      <c r="H25" s="506"/>
      <c r="I25" s="507"/>
      <c r="J25" s="68">
        <f>J16+J11</f>
        <v>766396.30000000075</v>
      </c>
      <c r="K25" s="68" t="e">
        <f>K16+K11+#REF!</f>
        <v>#REF!</v>
      </c>
      <c r="L25" s="63" t="e">
        <f t="shared" si="0"/>
        <v>#REF!</v>
      </c>
      <c r="M25" s="68">
        <f>M16+M11</f>
        <v>664456.30000000075</v>
      </c>
      <c r="N25" s="68">
        <f t="shared" si="1"/>
        <v>-101940</v>
      </c>
    </row>
  </sheetData>
  <mergeCells count="9">
    <mergeCell ref="A7:H7"/>
    <mergeCell ref="A8:I8"/>
    <mergeCell ref="A9:I9"/>
    <mergeCell ref="A25:I25"/>
    <mergeCell ref="J1:N1"/>
    <mergeCell ref="I2:N2"/>
    <mergeCell ref="I3:N3"/>
    <mergeCell ref="J6:N6"/>
    <mergeCell ref="A5:N5"/>
  </mergeCells>
  <pageMargins left="0.78740157480314965" right="0.39370078740157483" top="0.82677165354330717" bottom="0.78740157480314965" header="0" footer="0"/>
  <pageSetup paperSize="9" scale="64" firstPageNumber="72" orientation="landscape" useFirstPageNumber="1" r:id="rId1"/>
  <headerFooter alignWithMargins="0">
    <oddFooter>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Normal="100" workbookViewId="0">
      <selection activeCell="M3" sqref="M3:Q3"/>
    </sheetView>
  </sheetViews>
  <sheetFormatPr defaultRowHeight="12" x14ac:dyDescent="0.2"/>
  <cols>
    <col min="1" max="1" width="5.5703125" style="27" customWidth="1"/>
    <col min="2" max="2" width="5.140625" style="27" customWidth="1"/>
    <col min="3" max="3" width="5" style="27" customWidth="1"/>
    <col min="4" max="4" width="5.140625" style="27" customWidth="1"/>
    <col min="5" max="5" width="5.42578125" style="27" customWidth="1"/>
    <col min="6" max="6" width="5" style="27" customWidth="1"/>
    <col min="7" max="7" width="6.7109375" style="27" customWidth="1"/>
    <col min="8" max="8" width="7.28515625" style="27" customWidth="1"/>
    <col min="9" max="9" width="96.85546875" style="27" customWidth="1"/>
    <col min="10" max="10" width="17.85546875" style="35" customWidth="1"/>
    <col min="11" max="11" width="15.140625" style="35" hidden="1" customWidth="1"/>
    <col min="12" max="12" width="14" style="35" hidden="1" customWidth="1"/>
    <col min="13" max="13" width="19.7109375" style="35" customWidth="1"/>
    <col min="14" max="14" width="14" style="35" customWidth="1"/>
    <col min="15" max="15" width="18.28515625" style="35" customWidth="1"/>
    <col min="16" max="16" width="20.140625" style="27" customWidth="1"/>
    <col min="17" max="17" width="15.28515625" style="27" customWidth="1"/>
    <col min="18" max="258" width="9" style="27"/>
    <col min="259" max="259" width="5.5703125" style="27" customWidth="1"/>
    <col min="260" max="260" width="5.140625" style="27" customWidth="1"/>
    <col min="261" max="261" width="5" style="27" customWidth="1"/>
    <col min="262" max="262" width="5.140625" style="27" customWidth="1"/>
    <col min="263" max="263" width="5.42578125" style="27" customWidth="1"/>
    <col min="264" max="264" width="5" style="27" customWidth="1"/>
    <col min="265" max="265" width="6.7109375" style="27" customWidth="1"/>
    <col min="266" max="266" width="7.28515625" style="27" customWidth="1"/>
    <col min="267" max="267" width="103.42578125" style="27" customWidth="1"/>
    <col min="268" max="268" width="16.140625" style="27" customWidth="1"/>
    <col min="269" max="270" width="0" style="27" hidden="1" customWidth="1"/>
    <col min="271" max="271" width="15.85546875" style="27" customWidth="1"/>
    <col min="272" max="514" width="9" style="27"/>
    <col min="515" max="515" width="5.5703125" style="27" customWidth="1"/>
    <col min="516" max="516" width="5.140625" style="27" customWidth="1"/>
    <col min="517" max="517" width="5" style="27" customWidth="1"/>
    <col min="518" max="518" width="5.140625" style="27" customWidth="1"/>
    <col min="519" max="519" width="5.42578125" style="27" customWidth="1"/>
    <col min="520" max="520" width="5" style="27" customWidth="1"/>
    <col min="521" max="521" width="6.7109375" style="27" customWidth="1"/>
    <col min="522" max="522" width="7.28515625" style="27" customWidth="1"/>
    <col min="523" max="523" width="103.42578125" style="27" customWidth="1"/>
    <col min="524" max="524" width="16.140625" style="27" customWidth="1"/>
    <col min="525" max="526" width="0" style="27" hidden="1" customWidth="1"/>
    <col min="527" max="527" width="15.85546875" style="27" customWidth="1"/>
    <col min="528" max="770" width="9" style="27"/>
    <col min="771" max="771" width="5.5703125" style="27" customWidth="1"/>
    <col min="772" max="772" width="5.140625" style="27" customWidth="1"/>
    <col min="773" max="773" width="5" style="27" customWidth="1"/>
    <col min="774" max="774" width="5.140625" style="27" customWidth="1"/>
    <col min="775" max="775" width="5.42578125" style="27" customWidth="1"/>
    <col min="776" max="776" width="5" style="27" customWidth="1"/>
    <col min="777" max="777" width="6.7109375" style="27" customWidth="1"/>
    <col min="778" max="778" width="7.28515625" style="27" customWidth="1"/>
    <col min="779" max="779" width="103.42578125" style="27" customWidth="1"/>
    <col min="780" max="780" width="16.140625" style="27" customWidth="1"/>
    <col min="781" max="782" width="0" style="27" hidden="1" customWidth="1"/>
    <col min="783" max="783" width="15.85546875" style="27" customWidth="1"/>
    <col min="784" max="1026" width="9" style="27"/>
    <col min="1027" max="1027" width="5.5703125" style="27" customWidth="1"/>
    <col min="1028" max="1028" width="5.140625" style="27" customWidth="1"/>
    <col min="1029" max="1029" width="5" style="27" customWidth="1"/>
    <col min="1030" max="1030" width="5.140625" style="27" customWidth="1"/>
    <col min="1031" max="1031" width="5.42578125" style="27" customWidth="1"/>
    <col min="1032" max="1032" width="5" style="27" customWidth="1"/>
    <col min="1033" max="1033" width="6.7109375" style="27" customWidth="1"/>
    <col min="1034" max="1034" width="7.28515625" style="27" customWidth="1"/>
    <col min="1035" max="1035" width="103.42578125" style="27" customWidth="1"/>
    <col min="1036" max="1036" width="16.140625" style="27" customWidth="1"/>
    <col min="1037" max="1038" width="0" style="27" hidden="1" customWidth="1"/>
    <col min="1039" max="1039" width="15.85546875" style="27" customWidth="1"/>
    <col min="1040" max="1282" width="9" style="27"/>
    <col min="1283" max="1283" width="5.5703125" style="27" customWidth="1"/>
    <col min="1284" max="1284" width="5.140625" style="27" customWidth="1"/>
    <col min="1285" max="1285" width="5" style="27" customWidth="1"/>
    <col min="1286" max="1286" width="5.140625" style="27" customWidth="1"/>
    <col min="1287" max="1287" width="5.42578125" style="27" customWidth="1"/>
    <col min="1288" max="1288" width="5" style="27" customWidth="1"/>
    <col min="1289" max="1289" width="6.7109375" style="27" customWidth="1"/>
    <col min="1290" max="1290" width="7.28515625" style="27" customWidth="1"/>
    <col min="1291" max="1291" width="103.42578125" style="27" customWidth="1"/>
    <col min="1292" max="1292" width="16.140625" style="27" customWidth="1"/>
    <col min="1293" max="1294" width="0" style="27" hidden="1" customWidth="1"/>
    <col min="1295" max="1295" width="15.85546875" style="27" customWidth="1"/>
    <col min="1296" max="1538" width="9" style="27"/>
    <col min="1539" max="1539" width="5.5703125" style="27" customWidth="1"/>
    <col min="1540" max="1540" width="5.140625" style="27" customWidth="1"/>
    <col min="1541" max="1541" width="5" style="27" customWidth="1"/>
    <col min="1542" max="1542" width="5.140625" style="27" customWidth="1"/>
    <col min="1543" max="1543" width="5.42578125" style="27" customWidth="1"/>
    <col min="1544" max="1544" width="5" style="27" customWidth="1"/>
    <col min="1545" max="1545" width="6.7109375" style="27" customWidth="1"/>
    <col min="1546" max="1546" width="7.28515625" style="27" customWidth="1"/>
    <col min="1547" max="1547" width="103.42578125" style="27" customWidth="1"/>
    <col min="1548" max="1548" width="16.140625" style="27" customWidth="1"/>
    <col min="1549" max="1550" width="0" style="27" hidden="1" customWidth="1"/>
    <col min="1551" max="1551" width="15.85546875" style="27" customWidth="1"/>
    <col min="1552" max="1794" width="9" style="27"/>
    <col min="1795" max="1795" width="5.5703125" style="27" customWidth="1"/>
    <col min="1796" max="1796" width="5.140625" style="27" customWidth="1"/>
    <col min="1797" max="1797" width="5" style="27" customWidth="1"/>
    <col min="1798" max="1798" width="5.140625" style="27" customWidth="1"/>
    <col min="1799" max="1799" width="5.42578125" style="27" customWidth="1"/>
    <col min="1800" max="1800" width="5" style="27" customWidth="1"/>
    <col min="1801" max="1801" width="6.7109375" style="27" customWidth="1"/>
    <col min="1802" max="1802" width="7.28515625" style="27" customWidth="1"/>
    <col min="1803" max="1803" width="103.42578125" style="27" customWidth="1"/>
    <col min="1804" max="1804" width="16.140625" style="27" customWidth="1"/>
    <col min="1805" max="1806" width="0" style="27" hidden="1" customWidth="1"/>
    <col min="1807" max="1807" width="15.85546875" style="27" customWidth="1"/>
    <col min="1808" max="2050" width="9" style="27"/>
    <col min="2051" max="2051" width="5.5703125" style="27" customWidth="1"/>
    <col min="2052" max="2052" width="5.140625" style="27" customWidth="1"/>
    <col min="2053" max="2053" width="5" style="27" customWidth="1"/>
    <col min="2054" max="2054" width="5.140625" style="27" customWidth="1"/>
    <col min="2055" max="2055" width="5.42578125" style="27" customWidth="1"/>
    <col min="2056" max="2056" width="5" style="27" customWidth="1"/>
    <col min="2057" max="2057" width="6.7109375" style="27" customWidth="1"/>
    <col min="2058" max="2058" width="7.28515625" style="27" customWidth="1"/>
    <col min="2059" max="2059" width="103.42578125" style="27" customWidth="1"/>
    <col min="2060" max="2060" width="16.140625" style="27" customWidth="1"/>
    <col min="2061" max="2062" width="0" style="27" hidden="1" customWidth="1"/>
    <col min="2063" max="2063" width="15.85546875" style="27" customWidth="1"/>
    <col min="2064" max="2306" width="9" style="27"/>
    <col min="2307" max="2307" width="5.5703125" style="27" customWidth="1"/>
    <col min="2308" max="2308" width="5.140625" style="27" customWidth="1"/>
    <col min="2309" max="2309" width="5" style="27" customWidth="1"/>
    <col min="2310" max="2310" width="5.140625" style="27" customWidth="1"/>
    <col min="2311" max="2311" width="5.42578125" style="27" customWidth="1"/>
    <col min="2312" max="2312" width="5" style="27" customWidth="1"/>
    <col min="2313" max="2313" width="6.7109375" style="27" customWidth="1"/>
    <col min="2314" max="2314" width="7.28515625" style="27" customWidth="1"/>
    <col min="2315" max="2315" width="103.42578125" style="27" customWidth="1"/>
    <col min="2316" max="2316" width="16.140625" style="27" customWidth="1"/>
    <col min="2317" max="2318" width="0" style="27" hidden="1" customWidth="1"/>
    <col min="2319" max="2319" width="15.85546875" style="27" customWidth="1"/>
    <col min="2320" max="2562" width="9" style="27"/>
    <col min="2563" max="2563" width="5.5703125" style="27" customWidth="1"/>
    <col min="2564" max="2564" width="5.140625" style="27" customWidth="1"/>
    <col min="2565" max="2565" width="5" style="27" customWidth="1"/>
    <col min="2566" max="2566" width="5.140625" style="27" customWidth="1"/>
    <col min="2567" max="2567" width="5.42578125" style="27" customWidth="1"/>
    <col min="2568" max="2568" width="5" style="27" customWidth="1"/>
    <col min="2569" max="2569" width="6.7109375" style="27" customWidth="1"/>
    <col min="2570" max="2570" width="7.28515625" style="27" customWidth="1"/>
    <col min="2571" max="2571" width="103.42578125" style="27" customWidth="1"/>
    <col min="2572" max="2572" width="16.140625" style="27" customWidth="1"/>
    <col min="2573" max="2574" width="0" style="27" hidden="1" customWidth="1"/>
    <col min="2575" max="2575" width="15.85546875" style="27" customWidth="1"/>
    <col min="2576" max="2818" width="9" style="27"/>
    <col min="2819" max="2819" width="5.5703125" style="27" customWidth="1"/>
    <col min="2820" max="2820" width="5.140625" style="27" customWidth="1"/>
    <col min="2821" max="2821" width="5" style="27" customWidth="1"/>
    <col min="2822" max="2822" width="5.140625" style="27" customWidth="1"/>
    <col min="2823" max="2823" width="5.42578125" style="27" customWidth="1"/>
    <col min="2824" max="2824" width="5" style="27" customWidth="1"/>
    <col min="2825" max="2825" width="6.7109375" style="27" customWidth="1"/>
    <col min="2826" max="2826" width="7.28515625" style="27" customWidth="1"/>
    <col min="2827" max="2827" width="103.42578125" style="27" customWidth="1"/>
    <col min="2828" max="2828" width="16.140625" style="27" customWidth="1"/>
    <col min="2829" max="2830" width="0" style="27" hidden="1" customWidth="1"/>
    <col min="2831" max="2831" width="15.85546875" style="27" customWidth="1"/>
    <col min="2832" max="3074" width="9" style="27"/>
    <col min="3075" max="3075" width="5.5703125" style="27" customWidth="1"/>
    <col min="3076" max="3076" width="5.140625" style="27" customWidth="1"/>
    <col min="3077" max="3077" width="5" style="27" customWidth="1"/>
    <col min="3078" max="3078" width="5.140625" style="27" customWidth="1"/>
    <col min="3079" max="3079" width="5.42578125" style="27" customWidth="1"/>
    <col min="3080" max="3080" width="5" style="27" customWidth="1"/>
    <col min="3081" max="3081" width="6.7109375" style="27" customWidth="1"/>
    <col min="3082" max="3082" width="7.28515625" style="27" customWidth="1"/>
    <col min="3083" max="3083" width="103.42578125" style="27" customWidth="1"/>
    <col min="3084" max="3084" width="16.140625" style="27" customWidth="1"/>
    <col min="3085" max="3086" width="0" style="27" hidden="1" customWidth="1"/>
    <col min="3087" max="3087" width="15.85546875" style="27" customWidth="1"/>
    <col min="3088" max="3330" width="9" style="27"/>
    <col min="3331" max="3331" width="5.5703125" style="27" customWidth="1"/>
    <col min="3332" max="3332" width="5.140625" style="27" customWidth="1"/>
    <col min="3333" max="3333" width="5" style="27" customWidth="1"/>
    <col min="3334" max="3334" width="5.140625" style="27" customWidth="1"/>
    <col min="3335" max="3335" width="5.42578125" style="27" customWidth="1"/>
    <col min="3336" max="3336" width="5" style="27" customWidth="1"/>
    <col min="3337" max="3337" width="6.7109375" style="27" customWidth="1"/>
    <col min="3338" max="3338" width="7.28515625" style="27" customWidth="1"/>
    <col min="3339" max="3339" width="103.42578125" style="27" customWidth="1"/>
    <col min="3340" max="3340" width="16.140625" style="27" customWidth="1"/>
    <col min="3341" max="3342" width="0" style="27" hidden="1" customWidth="1"/>
    <col min="3343" max="3343" width="15.85546875" style="27" customWidth="1"/>
    <col min="3344" max="3586" width="9" style="27"/>
    <col min="3587" max="3587" width="5.5703125" style="27" customWidth="1"/>
    <col min="3588" max="3588" width="5.140625" style="27" customWidth="1"/>
    <col min="3589" max="3589" width="5" style="27" customWidth="1"/>
    <col min="3590" max="3590" width="5.140625" style="27" customWidth="1"/>
    <col min="3591" max="3591" width="5.42578125" style="27" customWidth="1"/>
    <col min="3592" max="3592" width="5" style="27" customWidth="1"/>
    <col min="3593" max="3593" width="6.7109375" style="27" customWidth="1"/>
    <col min="3594" max="3594" width="7.28515625" style="27" customWidth="1"/>
    <col min="3595" max="3595" width="103.42578125" style="27" customWidth="1"/>
    <col min="3596" max="3596" width="16.140625" style="27" customWidth="1"/>
    <col min="3597" max="3598" width="0" style="27" hidden="1" customWidth="1"/>
    <col min="3599" max="3599" width="15.85546875" style="27" customWidth="1"/>
    <col min="3600" max="3842" width="9" style="27"/>
    <col min="3843" max="3843" width="5.5703125" style="27" customWidth="1"/>
    <col min="3844" max="3844" width="5.140625" style="27" customWidth="1"/>
    <col min="3845" max="3845" width="5" style="27" customWidth="1"/>
    <col min="3846" max="3846" width="5.140625" style="27" customWidth="1"/>
    <col min="3847" max="3847" width="5.42578125" style="27" customWidth="1"/>
    <col min="3848" max="3848" width="5" style="27" customWidth="1"/>
    <col min="3849" max="3849" width="6.7109375" style="27" customWidth="1"/>
    <col min="3850" max="3850" width="7.28515625" style="27" customWidth="1"/>
    <col min="3851" max="3851" width="103.42578125" style="27" customWidth="1"/>
    <col min="3852" max="3852" width="16.140625" style="27" customWidth="1"/>
    <col min="3853" max="3854" width="0" style="27" hidden="1" customWidth="1"/>
    <col min="3855" max="3855" width="15.85546875" style="27" customWidth="1"/>
    <col min="3856" max="4098" width="9" style="27"/>
    <col min="4099" max="4099" width="5.5703125" style="27" customWidth="1"/>
    <col min="4100" max="4100" width="5.140625" style="27" customWidth="1"/>
    <col min="4101" max="4101" width="5" style="27" customWidth="1"/>
    <col min="4102" max="4102" width="5.140625" style="27" customWidth="1"/>
    <col min="4103" max="4103" width="5.42578125" style="27" customWidth="1"/>
    <col min="4104" max="4104" width="5" style="27" customWidth="1"/>
    <col min="4105" max="4105" width="6.7109375" style="27" customWidth="1"/>
    <col min="4106" max="4106" width="7.28515625" style="27" customWidth="1"/>
    <col min="4107" max="4107" width="103.42578125" style="27" customWidth="1"/>
    <col min="4108" max="4108" width="16.140625" style="27" customWidth="1"/>
    <col min="4109" max="4110" width="0" style="27" hidden="1" customWidth="1"/>
    <col min="4111" max="4111" width="15.85546875" style="27" customWidth="1"/>
    <col min="4112" max="4354" width="9" style="27"/>
    <col min="4355" max="4355" width="5.5703125" style="27" customWidth="1"/>
    <col min="4356" max="4356" width="5.140625" style="27" customWidth="1"/>
    <col min="4357" max="4357" width="5" style="27" customWidth="1"/>
    <col min="4358" max="4358" width="5.140625" style="27" customWidth="1"/>
    <col min="4359" max="4359" width="5.42578125" style="27" customWidth="1"/>
    <col min="4360" max="4360" width="5" style="27" customWidth="1"/>
    <col min="4361" max="4361" width="6.7109375" style="27" customWidth="1"/>
    <col min="4362" max="4362" width="7.28515625" style="27" customWidth="1"/>
    <col min="4363" max="4363" width="103.42578125" style="27" customWidth="1"/>
    <col min="4364" max="4364" width="16.140625" style="27" customWidth="1"/>
    <col min="4365" max="4366" width="0" style="27" hidden="1" customWidth="1"/>
    <col min="4367" max="4367" width="15.85546875" style="27" customWidth="1"/>
    <col min="4368" max="4610" width="9" style="27"/>
    <col min="4611" max="4611" width="5.5703125" style="27" customWidth="1"/>
    <col min="4612" max="4612" width="5.140625" style="27" customWidth="1"/>
    <col min="4613" max="4613" width="5" style="27" customWidth="1"/>
    <col min="4614" max="4614" width="5.140625" style="27" customWidth="1"/>
    <col min="4615" max="4615" width="5.42578125" style="27" customWidth="1"/>
    <col min="4616" max="4616" width="5" style="27" customWidth="1"/>
    <col min="4617" max="4617" width="6.7109375" style="27" customWidth="1"/>
    <col min="4618" max="4618" width="7.28515625" style="27" customWidth="1"/>
    <col min="4619" max="4619" width="103.42578125" style="27" customWidth="1"/>
    <col min="4620" max="4620" width="16.140625" style="27" customWidth="1"/>
    <col min="4621" max="4622" width="0" style="27" hidden="1" customWidth="1"/>
    <col min="4623" max="4623" width="15.85546875" style="27" customWidth="1"/>
    <col min="4624" max="4866" width="9" style="27"/>
    <col min="4867" max="4867" width="5.5703125" style="27" customWidth="1"/>
    <col min="4868" max="4868" width="5.140625" style="27" customWidth="1"/>
    <col min="4869" max="4869" width="5" style="27" customWidth="1"/>
    <col min="4870" max="4870" width="5.140625" style="27" customWidth="1"/>
    <col min="4871" max="4871" width="5.42578125" style="27" customWidth="1"/>
    <col min="4872" max="4872" width="5" style="27" customWidth="1"/>
    <col min="4873" max="4873" width="6.7109375" style="27" customWidth="1"/>
    <col min="4874" max="4874" width="7.28515625" style="27" customWidth="1"/>
    <col min="4875" max="4875" width="103.42578125" style="27" customWidth="1"/>
    <col min="4876" max="4876" width="16.140625" style="27" customWidth="1"/>
    <col min="4877" max="4878" width="0" style="27" hidden="1" customWidth="1"/>
    <col min="4879" max="4879" width="15.85546875" style="27" customWidth="1"/>
    <col min="4880" max="5122" width="9" style="27"/>
    <col min="5123" max="5123" width="5.5703125" style="27" customWidth="1"/>
    <col min="5124" max="5124" width="5.140625" style="27" customWidth="1"/>
    <col min="5125" max="5125" width="5" style="27" customWidth="1"/>
    <col min="5126" max="5126" width="5.140625" style="27" customWidth="1"/>
    <col min="5127" max="5127" width="5.42578125" style="27" customWidth="1"/>
    <col min="5128" max="5128" width="5" style="27" customWidth="1"/>
    <col min="5129" max="5129" width="6.7109375" style="27" customWidth="1"/>
    <col min="5130" max="5130" width="7.28515625" style="27" customWidth="1"/>
    <col min="5131" max="5131" width="103.42578125" style="27" customWidth="1"/>
    <col min="5132" max="5132" width="16.140625" style="27" customWidth="1"/>
    <col min="5133" max="5134" width="0" style="27" hidden="1" customWidth="1"/>
    <col min="5135" max="5135" width="15.85546875" style="27" customWidth="1"/>
    <col min="5136" max="5378" width="9" style="27"/>
    <col min="5379" max="5379" width="5.5703125" style="27" customWidth="1"/>
    <col min="5380" max="5380" width="5.140625" style="27" customWidth="1"/>
    <col min="5381" max="5381" width="5" style="27" customWidth="1"/>
    <col min="5382" max="5382" width="5.140625" style="27" customWidth="1"/>
    <col min="5383" max="5383" width="5.42578125" style="27" customWidth="1"/>
    <col min="5384" max="5384" width="5" style="27" customWidth="1"/>
    <col min="5385" max="5385" width="6.7109375" style="27" customWidth="1"/>
    <col min="5386" max="5386" width="7.28515625" style="27" customWidth="1"/>
    <col min="5387" max="5387" width="103.42578125" style="27" customWidth="1"/>
    <col min="5388" max="5388" width="16.140625" style="27" customWidth="1"/>
    <col min="5389" max="5390" width="0" style="27" hidden="1" customWidth="1"/>
    <col min="5391" max="5391" width="15.85546875" style="27" customWidth="1"/>
    <col min="5392" max="5634" width="9" style="27"/>
    <col min="5635" max="5635" width="5.5703125" style="27" customWidth="1"/>
    <col min="5636" max="5636" width="5.140625" style="27" customWidth="1"/>
    <col min="5637" max="5637" width="5" style="27" customWidth="1"/>
    <col min="5638" max="5638" width="5.140625" style="27" customWidth="1"/>
    <col min="5639" max="5639" width="5.42578125" style="27" customWidth="1"/>
    <col min="5640" max="5640" width="5" style="27" customWidth="1"/>
    <col min="5641" max="5641" width="6.7109375" style="27" customWidth="1"/>
    <col min="5642" max="5642" width="7.28515625" style="27" customWidth="1"/>
    <col min="5643" max="5643" width="103.42578125" style="27" customWidth="1"/>
    <col min="5644" max="5644" width="16.140625" style="27" customWidth="1"/>
    <col min="5645" max="5646" width="0" style="27" hidden="1" customWidth="1"/>
    <col min="5647" max="5647" width="15.85546875" style="27" customWidth="1"/>
    <col min="5648" max="5890" width="9" style="27"/>
    <col min="5891" max="5891" width="5.5703125" style="27" customWidth="1"/>
    <col min="5892" max="5892" width="5.140625" style="27" customWidth="1"/>
    <col min="5893" max="5893" width="5" style="27" customWidth="1"/>
    <col min="5894" max="5894" width="5.140625" style="27" customWidth="1"/>
    <col min="5895" max="5895" width="5.42578125" style="27" customWidth="1"/>
    <col min="5896" max="5896" width="5" style="27" customWidth="1"/>
    <col min="5897" max="5897" width="6.7109375" style="27" customWidth="1"/>
    <col min="5898" max="5898" width="7.28515625" style="27" customWidth="1"/>
    <col min="5899" max="5899" width="103.42578125" style="27" customWidth="1"/>
    <col min="5900" max="5900" width="16.140625" style="27" customWidth="1"/>
    <col min="5901" max="5902" width="0" style="27" hidden="1" customWidth="1"/>
    <col min="5903" max="5903" width="15.85546875" style="27" customWidth="1"/>
    <col min="5904" max="6146" width="9" style="27"/>
    <col min="6147" max="6147" width="5.5703125" style="27" customWidth="1"/>
    <col min="6148" max="6148" width="5.140625" style="27" customWidth="1"/>
    <col min="6149" max="6149" width="5" style="27" customWidth="1"/>
    <col min="6150" max="6150" width="5.140625" style="27" customWidth="1"/>
    <col min="6151" max="6151" width="5.42578125" style="27" customWidth="1"/>
    <col min="6152" max="6152" width="5" style="27" customWidth="1"/>
    <col min="6153" max="6153" width="6.7109375" style="27" customWidth="1"/>
    <col min="6154" max="6154" width="7.28515625" style="27" customWidth="1"/>
    <col min="6155" max="6155" width="103.42578125" style="27" customWidth="1"/>
    <col min="6156" max="6156" width="16.140625" style="27" customWidth="1"/>
    <col min="6157" max="6158" width="0" style="27" hidden="1" customWidth="1"/>
    <col min="6159" max="6159" width="15.85546875" style="27" customWidth="1"/>
    <col min="6160" max="6402" width="9" style="27"/>
    <col min="6403" max="6403" width="5.5703125" style="27" customWidth="1"/>
    <col min="6404" max="6404" width="5.140625" style="27" customWidth="1"/>
    <col min="6405" max="6405" width="5" style="27" customWidth="1"/>
    <col min="6406" max="6406" width="5.140625" style="27" customWidth="1"/>
    <col min="6407" max="6407" width="5.42578125" style="27" customWidth="1"/>
    <col min="6408" max="6408" width="5" style="27" customWidth="1"/>
    <col min="6409" max="6409" width="6.7109375" style="27" customWidth="1"/>
    <col min="6410" max="6410" width="7.28515625" style="27" customWidth="1"/>
    <col min="6411" max="6411" width="103.42578125" style="27" customWidth="1"/>
    <col min="6412" max="6412" width="16.140625" style="27" customWidth="1"/>
    <col min="6413" max="6414" width="0" style="27" hidden="1" customWidth="1"/>
    <col min="6415" max="6415" width="15.85546875" style="27" customWidth="1"/>
    <col min="6416" max="6658" width="9" style="27"/>
    <col min="6659" max="6659" width="5.5703125" style="27" customWidth="1"/>
    <col min="6660" max="6660" width="5.140625" style="27" customWidth="1"/>
    <col min="6661" max="6661" width="5" style="27" customWidth="1"/>
    <col min="6662" max="6662" width="5.140625" style="27" customWidth="1"/>
    <col min="6663" max="6663" width="5.42578125" style="27" customWidth="1"/>
    <col min="6664" max="6664" width="5" style="27" customWidth="1"/>
    <col min="6665" max="6665" width="6.7109375" style="27" customWidth="1"/>
    <col min="6666" max="6666" width="7.28515625" style="27" customWidth="1"/>
    <col min="6667" max="6667" width="103.42578125" style="27" customWidth="1"/>
    <col min="6668" max="6668" width="16.140625" style="27" customWidth="1"/>
    <col min="6669" max="6670" width="0" style="27" hidden="1" customWidth="1"/>
    <col min="6671" max="6671" width="15.85546875" style="27" customWidth="1"/>
    <col min="6672" max="6914" width="9" style="27"/>
    <col min="6915" max="6915" width="5.5703125" style="27" customWidth="1"/>
    <col min="6916" max="6916" width="5.140625" style="27" customWidth="1"/>
    <col min="6917" max="6917" width="5" style="27" customWidth="1"/>
    <col min="6918" max="6918" width="5.140625" style="27" customWidth="1"/>
    <col min="6919" max="6919" width="5.42578125" style="27" customWidth="1"/>
    <col min="6920" max="6920" width="5" style="27" customWidth="1"/>
    <col min="6921" max="6921" width="6.7109375" style="27" customWidth="1"/>
    <col min="6922" max="6922" width="7.28515625" style="27" customWidth="1"/>
    <col min="6923" max="6923" width="103.42578125" style="27" customWidth="1"/>
    <col min="6924" max="6924" width="16.140625" style="27" customWidth="1"/>
    <col min="6925" max="6926" width="0" style="27" hidden="1" customWidth="1"/>
    <col min="6927" max="6927" width="15.85546875" style="27" customWidth="1"/>
    <col min="6928" max="7170" width="9" style="27"/>
    <col min="7171" max="7171" width="5.5703125" style="27" customWidth="1"/>
    <col min="7172" max="7172" width="5.140625" style="27" customWidth="1"/>
    <col min="7173" max="7173" width="5" style="27" customWidth="1"/>
    <col min="7174" max="7174" width="5.140625" style="27" customWidth="1"/>
    <col min="7175" max="7175" width="5.42578125" style="27" customWidth="1"/>
    <col min="7176" max="7176" width="5" style="27" customWidth="1"/>
    <col min="7177" max="7177" width="6.7109375" style="27" customWidth="1"/>
    <col min="7178" max="7178" width="7.28515625" style="27" customWidth="1"/>
    <col min="7179" max="7179" width="103.42578125" style="27" customWidth="1"/>
    <col min="7180" max="7180" width="16.140625" style="27" customWidth="1"/>
    <col min="7181" max="7182" width="0" style="27" hidden="1" customWidth="1"/>
    <col min="7183" max="7183" width="15.85546875" style="27" customWidth="1"/>
    <col min="7184" max="7426" width="9" style="27"/>
    <col min="7427" max="7427" width="5.5703125" style="27" customWidth="1"/>
    <col min="7428" max="7428" width="5.140625" style="27" customWidth="1"/>
    <col min="7429" max="7429" width="5" style="27" customWidth="1"/>
    <col min="7430" max="7430" width="5.140625" style="27" customWidth="1"/>
    <col min="7431" max="7431" width="5.42578125" style="27" customWidth="1"/>
    <col min="7432" max="7432" width="5" style="27" customWidth="1"/>
    <col min="7433" max="7433" width="6.7109375" style="27" customWidth="1"/>
    <col min="7434" max="7434" width="7.28515625" style="27" customWidth="1"/>
    <col min="7435" max="7435" width="103.42578125" style="27" customWidth="1"/>
    <col min="7436" max="7436" width="16.140625" style="27" customWidth="1"/>
    <col min="7437" max="7438" width="0" style="27" hidden="1" customWidth="1"/>
    <col min="7439" max="7439" width="15.85546875" style="27" customWidth="1"/>
    <col min="7440" max="7682" width="9" style="27"/>
    <col min="7683" max="7683" width="5.5703125" style="27" customWidth="1"/>
    <col min="7684" max="7684" width="5.140625" style="27" customWidth="1"/>
    <col min="7685" max="7685" width="5" style="27" customWidth="1"/>
    <col min="7686" max="7686" width="5.140625" style="27" customWidth="1"/>
    <col min="7687" max="7687" width="5.42578125" style="27" customWidth="1"/>
    <col min="7688" max="7688" width="5" style="27" customWidth="1"/>
    <col min="7689" max="7689" width="6.7109375" style="27" customWidth="1"/>
    <col min="7690" max="7690" width="7.28515625" style="27" customWidth="1"/>
    <col min="7691" max="7691" width="103.42578125" style="27" customWidth="1"/>
    <col min="7692" max="7692" width="16.140625" style="27" customWidth="1"/>
    <col min="7693" max="7694" width="0" style="27" hidden="1" customWidth="1"/>
    <col min="7695" max="7695" width="15.85546875" style="27" customWidth="1"/>
    <col min="7696" max="7938" width="9" style="27"/>
    <col min="7939" max="7939" width="5.5703125" style="27" customWidth="1"/>
    <col min="7940" max="7940" width="5.140625" style="27" customWidth="1"/>
    <col min="7941" max="7941" width="5" style="27" customWidth="1"/>
    <col min="7942" max="7942" width="5.140625" style="27" customWidth="1"/>
    <col min="7943" max="7943" width="5.42578125" style="27" customWidth="1"/>
    <col min="7944" max="7944" width="5" style="27" customWidth="1"/>
    <col min="7945" max="7945" width="6.7109375" style="27" customWidth="1"/>
    <col min="7946" max="7946" width="7.28515625" style="27" customWidth="1"/>
    <col min="7947" max="7947" width="103.42578125" style="27" customWidth="1"/>
    <col min="7948" max="7948" width="16.140625" style="27" customWidth="1"/>
    <col min="7949" max="7950" width="0" style="27" hidden="1" customWidth="1"/>
    <col min="7951" max="7951" width="15.85546875" style="27" customWidth="1"/>
    <col min="7952" max="8194" width="9" style="27"/>
    <col min="8195" max="8195" width="5.5703125" style="27" customWidth="1"/>
    <col min="8196" max="8196" width="5.140625" style="27" customWidth="1"/>
    <col min="8197" max="8197" width="5" style="27" customWidth="1"/>
    <col min="8198" max="8198" width="5.140625" style="27" customWidth="1"/>
    <col min="8199" max="8199" width="5.42578125" style="27" customWidth="1"/>
    <col min="8200" max="8200" width="5" style="27" customWidth="1"/>
    <col min="8201" max="8201" width="6.7109375" style="27" customWidth="1"/>
    <col min="8202" max="8202" width="7.28515625" style="27" customWidth="1"/>
    <col min="8203" max="8203" width="103.42578125" style="27" customWidth="1"/>
    <col min="8204" max="8204" width="16.140625" style="27" customWidth="1"/>
    <col min="8205" max="8206" width="0" style="27" hidden="1" customWidth="1"/>
    <col min="8207" max="8207" width="15.85546875" style="27" customWidth="1"/>
    <col min="8208" max="8450" width="9" style="27"/>
    <col min="8451" max="8451" width="5.5703125" style="27" customWidth="1"/>
    <col min="8452" max="8452" width="5.140625" style="27" customWidth="1"/>
    <col min="8453" max="8453" width="5" style="27" customWidth="1"/>
    <col min="8454" max="8454" width="5.140625" style="27" customWidth="1"/>
    <col min="8455" max="8455" width="5.42578125" style="27" customWidth="1"/>
    <col min="8456" max="8456" width="5" style="27" customWidth="1"/>
    <col min="8457" max="8457" width="6.7109375" style="27" customWidth="1"/>
    <col min="8458" max="8458" width="7.28515625" style="27" customWidth="1"/>
    <col min="8459" max="8459" width="103.42578125" style="27" customWidth="1"/>
    <col min="8460" max="8460" width="16.140625" style="27" customWidth="1"/>
    <col min="8461" max="8462" width="0" style="27" hidden="1" customWidth="1"/>
    <col min="8463" max="8463" width="15.85546875" style="27" customWidth="1"/>
    <col min="8464" max="8706" width="9" style="27"/>
    <col min="8707" max="8707" width="5.5703125" style="27" customWidth="1"/>
    <col min="8708" max="8708" width="5.140625" style="27" customWidth="1"/>
    <col min="8709" max="8709" width="5" style="27" customWidth="1"/>
    <col min="8710" max="8710" width="5.140625" style="27" customWidth="1"/>
    <col min="8711" max="8711" width="5.42578125" style="27" customWidth="1"/>
    <col min="8712" max="8712" width="5" style="27" customWidth="1"/>
    <col min="8713" max="8713" width="6.7109375" style="27" customWidth="1"/>
    <col min="8714" max="8714" width="7.28515625" style="27" customWidth="1"/>
    <col min="8715" max="8715" width="103.42578125" style="27" customWidth="1"/>
    <col min="8716" max="8716" width="16.140625" style="27" customWidth="1"/>
    <col min="8717" max="8718" width="0" style="27" hidden="1" customWidth="1"/>
    <col min="8719" max="8719" width="15.85546875" style="27" customWidth="1"/>
    <col min="8720" max="8962" width="9" style="27"/>
    <col min="8963" max="8963" width="5.5703125" style="27" customWidth="1"/>
    <col min="8964" max="8964" width="5.140625" style="27" customWidth="1"/>
    <col min="8965" max="8965" width="5" style="27" customWidth="1"/>
    <col min="8966" max="8966" width="5.140625" style="27" customWidth="1"/>
    <col min="8967" max="8967" width="5.42578125" style="27" customWidth="1"/>
    <col min="8968" max="8968" width="5" style="27" customWidth="1"/>
    <col min="8969" max="8969" width="6.7109375" style="27" customWidth="1"/>
    <col min="8970" max="8970" width="7.28515625" style="27" customWidth="1"/>
    <col min="8971" max="8971" width="103.42578125" style="27" customWidth="1"/>
    <col min="8972" max="8972" width="16.140625" style="27" customWidth="1"/>
    <col min="8973" max="8974" width="0" style="27" hidden="1" customWidth="1"/>
    <col min="8975" max="8975" width="15.85546875" style="27" customWidth="1"/>
    <col min="8976" max="9218" width="9" style="27"/>
    <col min="9219" max="9219" width="5.5703125" style="27" customWidth="1"/>
    <col min="9220" max="9220" width="5.140625" style="27" customWidth="1"/>
    <col min="9221" max="9221" width="5" style="27" customWidth="1"/>
    <col min="9222" max="9222" width="5.140625" style="27" customWidth="1"/>
    <col min="9223" max="9223" width="5.42578125" style="27" customWidth="1"/>
    <col min="9224" max="9224" width="5" style="27" customWidth="1"/>
    <col min="9225" max="9225" width="6.7109375" style="27" customWidth="1"/>
    <col min="9226" max="9226" width="7.28515625" style="27" customWidth="1"/>
    <col min="9227" max="9227" width="103.42578125" style="27" customWidth="1"/>
    <col min="9228" max="9228" width="16.140625" style="27" customWidth="1"/>
    <col min="9229" max="9230" width="0" style="27" hidden="1" customWidth="1"/>
    <col min="9231" max="9231" width="15.85546875" style="27" customWidth="1"/>
    <col min="9232" max="9474" width="9" style="27"/>
    <col min="9475" max="9475" width="5.5703125" style="27" customWidth="1"/>
    <col min="9476" max="9476" width="5.140625" style="27" customWidth="1"/>
    <col min="9477" max="9477" width="5" style="27" customWidth="1"/>
    <col min="9478" max="9478" width="5.140625" style="27" customWidth="1"/>
    <col min="9479" max="9479" width="5.42578125" style="27" customWidth="1"/>
    <col min="9480" max="9480" width="5" style="27" customWidth="1"/>
    <col min="9481" max="9481" width="6.7109375" style="27" customWidth="1"/>
    <col min="9482" max="9482" width="7.28515625" style="27" customWidth="1"/>
    <col min="9483" max="9483" width="103.42578125" style="27" customWidth="1"/>
    <col min="9484" max="9484" width="16.140625" style="27" customWidth="1"/>
    <col min="9485" max="9486" width="0" style="27" hidden="1" customWidth="1"/>
    <col min="9487" max="9487" width="15.85546875" style="27" customWidth="1"/>
    <col min="9488" max="9730" width="9" style="27"/>
    <col min="9731" max="9731" width="5.5703125" style="27" customWidth="1"/>
    <col min="9732" max="9732" width="5.140625" style="27" customWidth="1"/>
    <col min="9733" max="9733" width="5" style="27" customWidth="1"/>
    <col min="9734" max="9734" width="5.140625" style="27" customWidth="1"/>
    <col min="9735" max="9735" width="5.42578125" style="27" customWidth="1"/>
    <col min="9736" max="9736" width="5" style="27" customWidth="1"/>
    <col min="9737" max="9737" width="6.7109375" style="27" customWidth="1"/>
    <col min="9738" max="9738" width="7.28515625" style="27" customWidth="1"/>
    <col min="9739" max="9739" width="103.42578125" style="27" customWidth="1"/>
    <col min="9740" max="9740" width="16.140625" style="27" customWidth="1"/>
    <col min="9741" max="9742" width="0" style="27" hidden="1" customWidth="1"/>
    <col min="9743" max="9743" width="15.85546875" style="27" customWidth="1"/>
    <col min="9744" max="9986" width="9" style="27"/>
    <col min="9987" max="9987" width="5.5703125" style="27" customWidth="1"/>
    <col min="9988" max="9988" width="5.140625" style="27" customWidth="1"/>
    <col min="9989" max="9989" width="5" style="27" customWidth="1"/>
    <col min="9990" max="9990" width="5.140625" style="27" customWidth="1"/>
    <col min="9991" max="9991" width="5.42578125" style="27" customWidth="1"/>
    <col min="9992" max="9992" width="5" style="27" customWidth="1"/>
    <col min="9993" max="9993" width="6.7109375" style="27" customWidth="1"/>
    <col min="9994" max="9994" width="7.28515625" style="27" customWidth="1"/>
    <col min="9995" max="9995" width="103.42578125" style="27" customWidth="1"/>
    <col min="9996" max="9996" width="16.140625" style="27" customWidth="1"/>
    <col min="9997" max="9998" width="0" style="27" hidden="1" customWidth="1"/>
    <col min="9999" max="9999" width="15.85546875" style="27" customWidth="1"/>
    <col min="10000" max="10242" width="9" style="27"/>
    <col min="10243" max="10243" width="5.5703125" style="27" customWidth="1"/>
    <col min="10244" max="10244" width="5.140625" style="27" customWidth="1"/>
    <col min="10245" max="10245" width="5" style="27" customWidth="1"/>
    <col min="10246" max="10246" width="5.140625" style="27" customWidth="1"/>
    <col min="10247" max="10247" width="5.42578125" style="27" customWidth="1"/>
    <col min="10248" max="10248" width="5" style="27" customWidth="1"/>
    <col min="10249" max="10249" width="6.7109375" style="27" customWidth="1"/>
    <col min="10250" max="10250" width="7.28515625" style="27" customWidth="1"/>
    <col min="10251" max="10251" width="103.42578125" style="27" customWidth="1"/>
    <col min="10252" max="10252" width="16.140625" style="27" customWidth="1"/>
    <col min="10253" max="10254" width="0" style="27" hidden="1" customWidth="1"/>
    <col min="10255" max="10255" width="15.85546875" style="27" customWidth="1"/>
    <col min="10256" max="10498" width="9" style="27"/>
    <col min="10499" max="10499" width="5.5703125" style="27" customWidth="1"/>
    <col min="10500" max="10500" width="5.140625" style="27" customWidth="1"/>
    <col min="10501" max="10501" width="5" style="27" customWidth="1"/>
    <col min="10502" max="10502" width="5.140625" style="27" customWidth="1"/>
    <col min="10503" max="10503" width="5.42578125" style="27" customWidth="1"/>
    <col min="10504" max="10504" width="5" style="27" customWidth="1"/>
    <col min="10505" max="10505" width="6.7109375" style="27" customWidth="1"/>
    <col min="10506" max="10506" width="7.28515625" style="27" customWidth="1"/>
    <col min="10507" max="10507" width="103.42578125" style="27" customWidth="1"/>
    <col min="10508" max="10508" width="16.140625" style="27" customWidth="1"/>
    <col min="10509" max="10510" width="0" style="27" hidden="1" customWidth="1"/>
    <col min="10511" max="10511" width="15.85546875" style="27" customWidth="1"/>
    <col min="10512" max="10754" width="9" style="27"/>
    <col min="10755" max="10755" width="5.5703125" style="27" customWidth="1"/>
    <col min="10756" max="10756" width="5.140625" style="27" customWidth="1"/>
    <col min="10757" max="10757" width="5" style="27" customWidth="1"/>
    <col min="10758" max="10758" width="5.140625" style="27" customWidth="1"/>
    <col min="10759" max="10759" width="5.42578125" style="27" customWidth="1"/>
    <col min="10760" max="10760" width="5" style="27" customWidth="1"/>
    <col min="10761" max="10761" width="6.7109375" style="27" customWidth="1"/>
    <col min="10762" max="10762" width="7.28515625" style="27" customWidth="1"/>
    <col min="10763" max="10763" width="103.42578125" style="27" customWidth="1"/>
    <col min="10764" max="10764" width="16.140625" style="27" customWidth="1"/>
    <col min="10765" max="10766" width="0" style="27" hidden="1" customWidth="1"/>
    <col min="10767" max="10767" width="15.85546875" style="27" customWidth="1"/>
    <col min="10768" max="11010" width="9" style="27"/>
    <col min="11011" max="11011" width="5.5703125" style="27" customWidth="1"/>
    <col min="11012" max="11012" width="5.140625" style="27" customWidth="1"/>
    <col min="11013" max="11013" width="5" style="27" customWidth="1"/>
    <col min="11014" max="11014" width="5.140625" style="27" customWidth="1"/>
    <col min="11015" max="11015" width="5.42578125" style="27" customWidth="1"/>
    <col min="11016" max="11016" width="5" style="27" customWidth="1"/>
    <col min="11017" max="11017" width="6.7109375" style="27" customWidth="1"/>
    <col min="11018" max="11018" width="7.28515625" style="27" customWidth="1"/>
    <col min="11019" max="11019" width="103.42578125" style="27" customWidth="1"/>
    <col min="11020" max="11020" width="16.140625" style="27" customWidth="1"/>
    <col min="11021" max="11022" width="0" style="27" hidden="1" customWidth="1"/>
    <col min="11023" max="11023" width="15.85546875" style="27" customWidth="1"/>
    <col min="11024" max="11266" width="9" style="27"/>
    <col min="11267" max="11267" width="5.5703125" style="27" customWidth="1"/>
    <col min="11268" max="11268" width="5.140625" style="27" customWidth="1"/>
    <col min="11269" max="11269" width="5" style="27" customWidth="1"/>
    <col min="11270" max="11270" width="5.140625" style="27" customWidth="1"/>
    <col min="11271" max="11271" width="5.42578125" style="27" customWidth="1"/>
    <col min="11272" max="11272" width="5" style="27" customWidth="1"/>
    <col min="11273" max="11273" width="6.7109375" style="27" customWidth="1"/>
    <col min="11274" max="11274" width="7.28515625" style="27" customWidth="1"/>
    <col min="11275" max="11275" width="103.42578125" style="27" customWidth="1"/>
    <col min="11276" max="11276" width="16.140625" style="27" customWidth="1"/>
    <col min="11277" max="11278" width="0" style="27" hidden="1" customWidth="1"/>
    <col min="11279" max="11279" width="15.85546875" style="27" customWidth="1"/>
    <col min="11280" max="11522" width="9" style="27"/>
    <col min="11523" max="11523" width="5.5703125" style="27" customWidth="1"/>
    <col min="11524" max="11524" width="5.140625" style="27" customWidth="1"/>
    <col min="11525" max="11525" width="5" style="27" customWidth="1"/>
    <col min="11526" max="11526" width="5.140625" style="27" customWidth="1"/>
    <col min="11527" max="11527" width="5.42578125" style="27" customWidth="1"/>
    <col min="11528" max="11528" width="5" style="27" customWidth="1"/>
    <col min="11529" max="11529" width="6.7109375" style="27" customWidth="1"/>
    <col min="11530" max="11530" width="7.28515625" style="27" customWidth="1"/>
    <col min="11531" max="11531" width="103.42578125" style="27" customWidth="1"/>
    <col min="11532" max="11532" width="16.140625" style="27" customWidth="1"/>
    <col min="11533" max="11534" width="0" style="27" hidden="1" customWidth="1"/>
    <col min="11535" max="11535" width="15.85546875" style="27" customWidth="1"/>
    <col min="11536" max="11778" width="9" style="27"/>
    <col min="11779" max="11779" width="5.5703125" style="27" customWidth="1"/>
    <col min="11780" max="11780" width="5.140625" style="27" customWidth="1"/>
    <col min="11781" max="11781" width="5" style="27" customWidth="1"/>
    <col min="11782" max="11782" width="5.140625" style="27" customWidth="1"/>
    <col min="11783" max="11783" width="5.42578125" style="27" customWidth="1"/>
    <col min="11784" max="11784" width="5" style="27" customWidth="1"/>
    <col min="11785" max="11785" width="6.7109375" style="27" customWidth="1"/>
    <col min="11786" max="11786" width="7.28515625" style="27" customWidth="1"/>
    <col min="11787" max="11787" width="103.42578125" style="27" customWidth="1"/>
    <col min="11788" max="11788" width="16.140625" style="27" customWidth="1"/>
    <col min="11789" max="11790" width="0" style="27" hidden="1" customWidth="1"/>
    <col min="11791" max="11791" width="15.85546875" style="27" customWidth="1"/>
    <col min="11792" max="12034" width="9" style="27"/>
    <col min="12035" max="12035" width="5.5703125" style="27" customWidth="1"/>
    <col min="12036" max="12036" width="5.140625" style="27" customWidth="1"/>
    <col min="12037" max="12037" width="5" style="27" customWidth="1"/>
    <col min="12038" max="12038" width="5.140625" style="27" customWidth="1"/>
    <col min="12039" max="12039" width="5.42578125" style="27" customWidth="1"/>
    <col min="12040" max="12040" width="5" style="27" customWidth="1"/>
    <col min="12041" max="12041" width="6.7109375" style="27" customWidth="1"/>
    <col min="12042" max="12042" width="7.28515625" style="27" customWidth="1"/>
    <col min="12043" max="12043" width="103.42578125" style="27" customWidth="1"/>
    <col min="12044" max="12044" width="16.140625" style="27" customWidth="1"/>
    <col min="12045" max="12046" width="0" style="27" hidden="1" customWidth="1"/>
    <col min="12047" max="12047" width="15.85546875" style="27" customWidth="1"/>
    <col min="12048" max="12290" width="9" style="27"/>
    <col min="12291" max="12291" width="5.5703125" style="27" customWidth="1"/>
    <col min="12292" max="12292" width="5.140625" style="27" customWidth="1"/>
    <col min="12293" max="12293" width="5" style="27" customWidth="1"/>
    <col min="12294" max="12294" width="5.140625" style="27" customWidth="1"/>
    <col min="12295" max="12295" width="5.42578125" style="27" customWidth="1"/>
    <col min="12296" max="12296" width="5" style="27" customWidth="1"/>
    <col min="12297" max="12297" width="6.7109375" style="27" customWidth="1"/>
    <col min="12298" max="12298" width="7.28515625" style="27" customWidth="1"/>
    <col min="12299" max="12299" width="103.42578125" style="27" customWidth="1"/>
    <col min="12300" max="12300" width="16.140625" style="27" customWidth="1"/>
    <col min="12301" max="12302" width="0" style="27" hidden="1" customWidth="1"/>
    <col min="12303" max="12303" width="15.85546875" style="27" customWidth="1"/>
    <col min="12304" max="12546" width="9" style="27"/>
    <col min="12547" max="12547" width="5.5703125" style="27" customWidth="1"/>
    <col min="12548" max="12548" width="5.140625" style="27" customWidth="1"/>
    <col min="12549" max="12549" width="5" style="27" customWidth="1"/>
    <col min="12550" max="12550" width="5.140625" style="27" customWidth="1"/>
    <col min="12551" max="12551" width="5.42578125" style="27" customWidth="1"/>
    <col min="12552" max="12552" width="5" style="27" customWidth="1"/>
    <col min="12553" max="12553" width="6.7109375" style="27" customWidth="1"/>
    <col min="12554" max="12554" width="7.28515625" style="27" customWidth="1"/>
    <col min="12555" max="12555" width="103.42578125" style="27" customWidth="1"/>
    <col min="12556" max="12556" width="16.140625" style="27" customWidth="1"/>
    <col min="12557" max="12558" width="0" style="27" hidden="1" customWidth="1"/>
    <col min="12559" max="12559" width="15.85546875" style="27" customWidth="1"/>
    <col min="12560" max="12802" width="9" style="27"/>
    <col min="12803" max="12803" width="5.5703125" style="27" customWidth="1"/>
    <col min="12804" max="12804" width="5.140625" style="27" customWidth="1"/>
    <col min="12805" max="12805" width="5" style="27" customWidth="1"/>
    <col min="12806" max="12806" width="5.140625" style="27" customWidth="1"/>
    <col min="12807" max="12807" width="5.42578125" style="27" customWidth="1"/>
    <col min="12808" max="12808" width="5" style="27" customWidth="1"/>
    <col min="12809" max="12809" width="6.7109375" style="27" customWidth="1"/>
    <col min="12810" max="12810" width="7.28515625" style="27" customWidth="1"/>
    <col min="12811" max="12811" width="103.42578125" style="27" customWidth="1"/>
    <col min="12812" max="12812" width="16.140625" style="27" customWidth="1"/>
    <col min="12813" max="12814" width="0" style="27" hidden="1" customWidth="1"/>
    <col min="12815" max="12815" width="15.85546875" style="27" customWidth="1"/>
    <col min="12816" max="13058" width="9" style="27"/>
    <col min="13059" max="13059" width="5.5703125" style="27" customWidth="1"/>
    <col min="13060" max="13060" width="5.140625" style="27" customWidth="1"/>
    <col min="13061" max="13061" width="5" style="27" customWidth="1"/>
    <col min="13062" max="13062" width="5.140625" style="27" customWidth="1"/>
    <col min="13063" max="13063" width="5.42578125" style="27" customWidth="1"/>
    <col min="13064" max="13064" width="5" style="27" customWidth="1"/>
    <col min="13065" max="13065" width="6.7109375" style="27" customWidth="1"/>
    <col min="13066" max="13066" width="7.28515625" style="27" customWidth="1"/>
    <col min="13067" max="13067" width="103.42578125" style="27" customWidth="1"/>
    <col min="13068" max="13068" width="16.140625" style="27" customWidth="1"/>
    <col min="13069" max="13070" width="0" style="27" hidden="1" customWidth="1"/>
    <col min="13071" max="13071" width="15.85546875" style="27" customWidth="1"/>
    <col min="13072" max="13314" width="9" style="27"/>
    <col min="13315" max="13315" width="5.5703125" style="27" customWidth="1"/>
    <col min="13316" max="13316" width="5.140625" style="27" customWidth="1"/>
    <col min="13317" max="13317" width="5" style="27" customWidth="1"/>
    <col min="13318" max="13318" width="5.140625" style="27" customWidth="1"/>
    <col min="13319" max="13319" width="5.42578125" style="27" customWidth="1"/>
    <col min="13320" max="13320" width="5" style="27" customWidth="1"/>
    <col min="13321" max="13321" width="6.7109375" style="27" customWidth="1"/>
    <col min="13322" max="13322" width="7.28515625" style="27" customWidth="1"/>
    <col min="13323" max="13323" width="103.42578125" style="27" customWidth="1"/>
    <col min="13324" max="13324" width="16.140625" style="27" customWidth="1"/>
    <col min="13325" max="13326" width="0" style="27" hidden="1" customWidth="1"/>
    <col min="13327" max="13327" width="15.85546875" style="27" customWidth="1"/>
    <col min="13328" max="13570" width="9" style="27"/>
    <col min="13571" max="13571" width="5.5703125" style="27" customWidth="1"/>
    <col min="13572" max="13572" width="5.140625" style="27" customWidth="1"/>
    <col min="13573" max="13573" width="5" style="27" customWidth="1"/>
    <col min="13574" max="13574" width="5.140625" style="27" customWidth="1"/>
    <col min="13575" max="13575" width="5.42578125" style="27" customWidth="1"/>
    <col min="13576" max="13576" width="5" style="27" customWidth="1"/>
    <col min="13577" max="13577" width="6.7109375" style="27" customWidth="1"/>
    <col min="13578" max="13578" width="7.28515625" style="27" customWidth="1"/>
    <col min="13579" max="13579" width="103.42578125" style="27" customWidth="1"/>
    <col min="13580" max="13580" width="16.140625" style="27" customWidth="1"/>
    <col min="13581" max="13582" width="0" style="27" hidden="1" customWidth="1"/>
    <col min="13583" max="13583" width="15.85546875" style="27" customWidth="1"/>
    <col min="13584" max="13826" width="9" style="27"/>
    <col min="13827" max="13827" width="5.5703125" style="27" customWidth="1"/>
    <col min="13828" max="13828" width="5.140625" style="27" customWidth="1"/>
    <col min="13829" max="13829" width="5" style="27" customWidth="1"/>
    <col min="13830" max="13830" width="5.140625" style="27" customWidth="1"/>
    <col min="13831" max="13831" width="5.42578125" style="27" customWidth="1"/>
    <col min="13832" max="13832" width="5" style="27" customWidth="1"/>
    <col min="13833" max="13833" width="6.7109375" style="27" customWidth="1"/>
    <col min="13834" max="13834" width="7.28515625" style="27" customWidth="1"/>
    <col min="13835" max="13835" width="103.42578125" style="27" customWidth="1"/>
    <col min="13836" max="13836" width="16.140625" style="27" customWidth="1"/>
    <col min="13837" max="13838" width="0" style="27" hidden="1" customWidth="1"/>
    <col min="13839" max="13839" width="15.85546875" style="27" customWidth="1"/>
    <col min="13840" max="14082" width="9" style="27"/>
    <col min="14083" max="14083" width="5.5703125" style="27" customWidth="1"/>
    <col min="14084" max="14084" width="5.140625" style="27" customWidth="1"/>
    <col min="14085" max="14085" width="5" style="27" customWidth="1"/>
    <col min="14086" max="14086" width="5.140625" style="27" customWidth="1"/>
    <col min="14087" max="14087" width="5.42578125" style="27" customWidth="1"/>
    <col min="14088" max="14088" width="5" style="27" customWidth="1"/>
    <col min="14089" max="14089" width="6.7109375" style="27" customWidth="1"/>
    <col min="14090" max="14090" width="7.28515625" style="27" customWidth="1"/>
    <col min="14091" max="14091" width="103.42578125" style="27" customWidth="1"/>
    <col min="14092" max="14092" width="16.140625" style="27" customWidth="1"/>
    <col min="14093" max="14094" width="0" style="27" hidden="1" customWidth="1"/>
    <col min="14095" max="14095" width="15.85546875" style="27" customWidth="1"/>
    <col min="14096" max="14338" width="9" style="27"/>
    <col min="14339" max="14339" width="5.5703125" style="27" customWidth="1"/>
    <col min="14340" max="14340" width="5.140625" style="27" customWidth="1"/>
    <col min="14341" max="14341" width="5" style="27" customWidth="1"/>
    <col min="14342" max="14342" width="5.140625" style="27" customWidth="1"/>
    <col min="14343" max="14343" width="5.42578125" style="27" customWidth="1"/>
    <col min="14344" max="14344" width="5" style="27" customWidth="1"/>
    <col min="14345" max="14345" width="6.7109375" style="27" customWidth="1"/>
    <col min="14346" max="14346" width="7.28515625" style="27" customWidth="1"/>
    <col min="14347" max="14347" width="103.42578125" style="27" customWidth="1"/>
    <col min="14348" max="14348" width="16.140625" style="27" customWidth="1"/>
    <col min="14349" max="14350" width="0" style="27" hidden="1" customWidth="1"/>
    <col min="14351" max="14351" width="15.85546875" style="27" customWidth="1"/>
    <col min="14352" max="14594" width="9" style="27"/>
    <col min="14595" max="14595" width="5.5703125" style="27" customWidth="1"/>
    <col min="14596" max="14596" width="5.140625" style="27" customWidth="1"/>
    <col min="14597" max="14597" width="5" style="27" customWidth="1"/>
    <col min="14598" max="14598" width="5.140625" style="27" customWidth="1"/>
    <col min="14599" max="14599" width="5.42578125" style="27" customWidth="1"/>
    <col min="14600" max="14600" width="5" style="27" customWidth="1"/>
    <col min="14601" max="14601" width="6.7109375" style="27" customWidth="1"/>
    <col min="14602" max="14602" width="7.28515625" style="27" customWidth="1"/>
    <col min="14603" max="14603" width="103.42578125" style="27" customWidth="1"/>
    <col min="14604" max="14604" width="16.140625" style="27" customWidth="1"/>
    <col min="14605" max="14606" width="0" style="27" hidden="1" customWidth="1"/>
    <col min="14607" max="14607" width="15.85546875" style="27" customWidth="1"/>
    <col min="14608" max="14850" width="9" style="27"/>
    <col min="14851" max="14851" width="5.5703125" style="27" customWidth="1"/>
    <col min="14852" max="14852" width="5.140625" style="27" customWidth="1"/>
    <col min="14853" max="14853" width="5" style="27" customWidth="1"/>
    <col min="14854" max="14854" width="5.140625" style="27" customWidth="1"/>
    <col min="14855" max="14855" width="5.42578125" style="27" customWidth="1"/>
    <col min="14856" max="14856" width="5" style="27" customWidth="1"/>
    <col min="14857" max="14857" width="6.7109375" style="27" customWidth="1"/>
    <col min="14858" max="14858" width="7.28515625" style="27" customWidth="1"/>
    <col min="14859" max="14859" width="103.42578125" style="27" customWidth="1"/>
    <col min="14860" max="14860" width="16.140625" style="27" customWidth="1"/>
    <col min="14861" max="14862" width="0" style="27" hidden="1" customWidth="1"/>
    <col min="14863" max="14863" width="15.85546875" style="27" customWidth="1"/>
    <col min="14864" max="15106" width="9" style="27"/>
    <col min="15107" max="15107" width="5.5703125" style="27" customWidth="1"/>
    <col min="15108" max="15108" width="5.140625" style="27" customWidth="1"/>
    <col min="15109" max="15109" width="5" style="27" customWidth="1"/>
    <col min="15110" max="15110" width="5.140625" style="27" customWidth="1"/>
    <col min="15111" max="15111" width="5.42578125" style="27" customWidth="1"/>
    <col min="15112" max="15112" width="5" style="27" customWidth="1"/>
    <col min="15113" max="15113" width="6.7109375" style="27" customWidth="1"/>
    <col min="15114" max="15114" width="7.28515625" style="27" customWidth="1"/>
    <col min="15115" max="15115" width="103.42578125" style="27" customWidth="1"/>
    <col min="15116" max="15116" width="16.140625" style="27" customWidth="1"/>
    <col min="15117" max="15118" width="0" style="27" hidden="1" customWidth="1"/>
    <col min="15119" max="15119" width="15.85546875" style="27" customWidth="1"/>
    <col min="15120" max="15362" width="9" style="27"/>
    <col min="15363" max="15363" width="5.5703125" style="27" customWidth="1"/>
    <col min="15364" max="15364" width="5.140625" style="27" customWidth="1"/>
    <col min="15365" max="15365" width="5" style="27" customWidth="1"/>
    <col min="15366" max="15366" width="5.140625" style="27" customWidth="1"/>
    <col min="15367" max="15367" width="5.42578125" style="27" customWidth="1"/>
    <col min="15368" max="15368" width="5" style="27" customWidth="1"/>
    <col min="15369" max="15369" width="6.7109375" style="27" customWidth="1"/>
    <col min="15370" max="15370" width="7.28515625" style="27" customWidth="1"/>
    <col min="15371" max="15371" width="103.42578125" style="27" customWidth="1"/>
    <col min="15372" max="15372" width="16.140625" style="27" customWidth="1"/>
    <col min="15373" max="15374" width="0" style="27" hidden="1" customWidth="1"/>
    <col min="15375" max="15375" width="15.85546875" style="27" customWidth="1"/>
    <col min="15376" max="15618" width="9" style="27"/>
    <col min="15619" max="15619" width="5.5703125" style="27" customWidth="1"/>
    <col min="15620" max="15620" width="5.140625" style="27" customWidth="1"/>
    <col min="15621" max="15621" width="5" style="27" customWidth="1"/>
    <col min="15622" max="15622" width="5.140625" style="27" customWidth="1"/>
    <col min="15623" max="15623" width="5.42578125" style="27" customWidth="1"/>
    <col min="15624" max="15624" width="5" style="27" customWidth="1"/>
    <col min="15625" max="15625" width="6.7109375" style="27" customWidth="1"/>
    <col min="15626" max="15626" width="7.28515625" style="27" customWidth="1"/>
    <col min="15627" max="15627" width="103.42578125" style="27" customWidth="1"/>
    <col min="15628" max="15628" width="16.140625" style="27" customWidth="1"/>
    <col min="15629" max="15630" width="0" style="27" hidden="1" customWidth="1"/>
    <col min="15631" max="15631" width="15.85546875" style="27" customWidth="1"/>
    <col min="15632" max="15874" width="9" style="27"/>
    <col min="15875" max="15875" width="5.5703125" style="27" customWidth="1"/>
    <col min="15876" max="15876" width="5.140625" style="27" customWidth="1"/>
    <col min="15877" max="15877" width="5" style="27" customWidth="1"/>
    <col min="15878" max="15878" width="5.140625" style="27" customWidth="1"/>
    <col min="15879" max="15879" width="5.42578125" style="27" customWidth="1"/>
    <col min="15880" max="15880" width="5" style="27" customWidth="1"/>
    <col min="15881" max="15881" width="6.7109375" style="27" customWidth="1"/>
    <col min="15882" max="15882" width="7.28515625" style="27" customWidth="1"/>
    <col min="15883" max="15883" width="103.42578125" style="27" customWidth="1"/>
    <col min="15884" max="15884" width="16.140625" style="27" customWidth="1"/>
    <col min="15885" max="15886" width="0" style="27" hidden="1" customWidth="1"/>
    <col min="15887" max="15887" width="15.85546875" style="27" customWidth="1"/>
    <col min="15888" max="16130" width="9" style="27"/>
    <col min="16131" max="16131" width="5.5703125" style="27" customWidth="1"/>
    <col min="16132" max="16132" width="5.140625" style="27" customWidth="1"/>
    <col min="16133" max="16133" width="5" style="27" customWidth="1"/>
    <col min="16134" max="16134" width="5.140625" style="27" customWidth="1"/>
    <col min="16135" max="16135" width="5.42578125" style="27" customWidth="1"/>
    <col min="16136" max="16136" width="5" style="27" customWidth="1"/>
    <col min="16137" max="16137" width="6.7109375" style="27" customWidth="1"/>
    <col min="16138" max="16138" width="7.28515625" style="27" customWidth="1"/>
    <col min="16139" max="16139" width="103.42578125" style="27" customWidth="1"/>
    <col min="16140" max="16140" width="16.140625" style="27" customWidth="1"/>
    <col min="16141" max="16142" width="0" style="27" hidden="1" customWidth="1"/>
    <col min="16143" max="16143" width="15.85546875" style="27" customWidth="1"/>
    <col min="16144" max="16384" width="9" style="27"/>
  </cols>
  <sheetData>
    <row r="1" spans="1:17" ht="15" x14ac:dyDescent="0.2">
      <c r="A1" s="54"/>
      <c r="B1" s="55"/>
      <c r="C1" s="55"/>
      <c r="D1" s="55"/>
      <c r="E1" s="55"/>
      <c r="F1" s="55"/>
      <c r="I1" s="57"/>
      <c r="J1" s="253"/>
      <c r="K1" s="253"/>
      <c r="L1" s="253"/>
      <c r="M1" s="253"/>
      <c r="N1" s="253"/>
      <c r="O1" s="508" t="s">
        <v>525</v>
      </c>
      <c r="P1" s="463"/>
      <c r="Q1" s="463"/>
    </row>
    <row r="2" spans="1:17" ht="15" x14ac:dyDescent="0.2">
      <c r="A2" s="54"/>
      <c r="B2" s="55"/>
      <c r="C2" s="55"/>
      <c r="D2" s="55"/>
      <c r="E2" s="55"/>
      <c r="F2" s="55"/>
      <c r="I2" s="57"/>
      <c r="J2" s="253"/>
      <c r="K2" s="253"/>
      <c r="L2" s="253"/>
      <c r="M2" s="253"/>
      <c r="N2" s="253"/>
      <c r="O2" s="508" t="s">
        <v>1</v>
      </c>
      <c r="P2" s="463"/>
      <c r="Q2" s="463"/>
    </row>
    <row r="3" spans="1:17" ht="15" x14ac:dyDescent="0.2">
      <c r="A3" s="54"/>
      <c r="B3" s="55"/>
      <c r="C3" s="55"/>
      <c r="D3" s="55"/>
      <c r="E3" s="55"/>
      <c r="F3" s="55"/>
      <c r="I3" s="57"/>
      <c r="J3" s="253"/>
      <c r="K3" s="253"/>
      <c r="L3" s="253"/>
      <c r="M3" s="476" t="s">
        <v>1738</v>
      </c>
      <c r="N3" s="463"/>
      <c r="O3" s="463"/>
      <c r="P3" s="463"/>
      <c r="Q3" s="463"/>
    </row>
    <row r="4" spans="1:17" ht="45.2" customHeight="1" x14ac:dyDescent="0.2">
      <c r="A4" s="511" t="s">
        <v>527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</row>
    <row r="5" spans="1:17" ht="15.75" x14ac:dyDescent="0.25">
      <c r="A5" s="59"/>
      <c r="B5" s="59"/>
      <c r="C5" s="59"/>
      <c r="D5" s="59"/>
      <c r="E5" s="59"/>
      <c r="F5" s="59"/>
      <c r="G5" s="59"/>
      <c r="H5" s="59"/>
      <c r="I5" s="59"/>
      <c r="K5" s="73"/>
      <c r="L5" s="73"/>
      <c r="M5" s="73"/>
      <c r="N5" s="73"/>
      <c r="O5" s="509" t="s">
        <v>494</v>
      </c>
      <c r="P5" s="472"/>
      <c r="Q5" s="472"/>
    </row>
    <row r="6" spans="1:17" ht="12.95" customHeight="1" x14ac:dyDescent="0.2">
      <c r="A6" s="512" t="s">
        <v>94</v>
      </c>
      <c r="B6" s="513"/>
      <c r="C6" s="513"/>
      <c r="D6" s="513"/>
      <c r="E6" s="513"/>
      <c r="F6" s="513"/>
      <c r="G6" s="513"/>
      <c r="H6" s="514"/>
      <c r="I6" s="518" t="s">
        <v>3</v>
      </c>
      <c r="J6" s="520" t="s">
        <v>28</v>
      </c>
      <c r="K6" s="521"/>
      <c r="L6" s="521"/>
      <c r="M6" s="521"/>
      <c r="N6" s="522"/>
      <c r="O6" s="523" t="s">
        <v>62</v>
      </c>
      <c r="P6" s="524"/>
      <c r="Q6" s="524"/>
    </row>
    <row r="7" spans="1:17" ht="25.5" customHeight="1" x14ac:dyDescent="0.2">
      <c r="A7" s="515"/>
      <c r="B7" s="516"/>
      <c r="C7" s="516"/>
      <c r="D7" s="516"/>
      <c r="E7" s="516"/>
      <c r="F7" s="516"/>
      <c r="G7" s="516"/>
      <c r="H7" s="517"/>
      <c r="I7" s="519"/>
      <c r="J7" s="254" t="s">
        <v>4</v>
      </c>
      <c r="K7" s="254"/>
      <c r="L7" s="254"/>
      <c r="M7" s="252" t="s">
        <v>1373</v>
      </c>
      <c r="N7" s="252" t="s">
        <v>6</v>
      </c>
      <c r="O7" s="254" t="s">
        <v>4</v>
      </c>
      <c r="P7" s="252" t="s">
        <v>1373</v>
      </c>
      <c r="Q7" s="252" t="s">
        <v>6</v>
      </c>
    </row>
    <row r="8" spans="1:17" ht="15.75" x14ac:dyDescent="0.2">
      <c r="A8" s="501" t="s">
        <v>495</v>
      </c>
      <c r="B8" s="502"/>
      <c r="C8" s="502"/>
      <c r="D8" s="502"/>
      <c r="E8" s="502"/>
      <c r="F8" s="502"/>
      <c r="G8" s="502"/>
      <c r="H8" s="502"/>
      <c r="I8" s="503"/>
      <c r="J8" s="68">
        <v>-410239.9</v>
      </c>
      <c r="K8" s="68">
        <f>4890423.2-'[1]Ведомственная 2016-2017'!H566-69465+31489.2</f>
        <v>-43413.218999999764</v>
      </c>
      <c r="L8" s="68">
        <f>K8-J8</f>
        <v>366826.68100000027</v>
      </c>
      <c r="M8" s="68">
        <v>-410239.9</v>
      </c>
      <c r="N8" s="68">
        <f>M8-J8</f>
        <v>0</v>
      </c>
      <c r="O8" s="68">
        <v>-232554.3</v>
      </c>
      <c r="P8" s="68">
        <v>-232554.3</v>
      </c>
      <c r="Q8" s="68">
        <f>P8-O8</f>
        <v>0</v>
      </c>
    </row>
    <row r="9" spans="1:17" ht="15" x14ac:dyDescent="0.2">
      <c r="A9" s="504" t="s">
        <v>496</v>
      </c>
      <c r="B9" s="504"/>
      <c r="C9" s="504"/>
      <c r="D9" s="504"/>
      <c r="E9" s="504"/>
      <c r="F9" s="504"/>
      <c r="G9" s="504"/>
      <c r="H9" s="504"/>
      <c r="I9" s="504"/>
      <c r="J9" s="64">
        <v>6.2</v>
      </c>
      <c r="K9" s="64">
        <f>K8/1995861.4*-100</f>
        <v>2.175162012752978</v>
      </c>
      <c r="L9" s="64">
        <f t="shared" ref="L9:L25" si="0">K9-J9</f>
        <v>-4.0248379872470217</v>
      </c>
      <c r="M9" s="64">
        <v>6.2</v>
      </c>
      <c r="N9" s="64">
        <f t="shared" ref="N9:N25" si="1">M9-J9</f>
        <v>0</v>
      </c>
      <c r="O9" s="64">
        <v>3.1</v>
      </c>
      <c r="P9" s="64">
        <v>3.1</v>
      </c>
      <c r="Q9" s="64">
        <f t="shared" ref="Q9:Q25" si="2">P9-O9</f>
        <v>0</v>
      </c>
    </row>
    <row r="10" spans="1:17" ht="15.75" x14ac:dyDescent="0.2">
      <c r="A10" s="66" t="s">
        <v>497</v>
      </c>
      <c r="B10" s="66" t="s">
        <v>498</v>
      </c>
      <c r="C10" s="66" t="s">
        <v>499</v>
      </c>
      <c r="D10" s="66" t="s">
        <v>499</v>
      </c>
      <c r="E10" s="66" t="s">
        <v>499</v>
      </c>
      <c r="F10" s="66" t="s">
        <v>499</v>
      </c>
      <c r="G10" s="66" t="s">
        <v>500</v>
      </c>
      <c r="H10" s="66" t="s">
        <v>497</v>
      </c>
      <c r="I10" s="67" t="s">
        <v>501</v>
      </c>
      <c r="J10" s="68">
        <f>J11+J16</f>
        <v>410239.89999999851</v>
      </c>
      <c r="K10" s="68" t="e">
        <f>K11+#REF!+K16</f>
        <v>#REF!</v>
      </c>
      <c r="L10" s="68" t="e">
        <f t="shared" si="0"/>
        <v>#REF!</v>
      </c>
      <c r="M10" s="68">
        <f>M11+M16</f>
        <v>410239.90000000037</v>
      </c>
      <c r="N10" s="68">
        <f t="shared" si="1"/>
        <v>1.862645149230957E-9</v>
      </c>
      <c r="O10" s="68">
        <f>O11+O16</f>
        <v>232554.29999999888</v>
      </c>
      <c r="P10" s="68">
        <f>P11+P16</f>
        <v>232554.30000000075</v>
      </c>
      <c r="Q10" s="68">
        <f t="shared" si="2"/>
        <v>1.862645149230957E-9</v>
      </c>
    </row>
    <row r="11" spans="1:17" ht="15.75" x14ac:dyDescent="0.2">
      <c r="A11" s="66" t="s">
        <v>497</v>
      </c>
      <c r="B11" s="66" t="s">
        <v>498</v>
      </c>
      <c r="C11" s="66" t="s">
        <v>502</v>
      </c>
      <c r="D11" s="66" t="s">
        <v>499</v>
      </c>
      <c r="E11" s="66" t="s">
        <v>499</v>
      </c>
      <c r="F11" s="66" t="s">
        <v>499</v>
      </c>
      <c r="G11" s="66" t="s">
        <v>500</v>
      </c>
      <c r="H11" s="66" t="s">
        <v>497</v>
      </c>
      <c r="I11" s="69" t="s">
        <v>503</v>
      </c>
      <c r="J11" s="68">
        <f>J12+J14</f>
        <v>300000</v>
      </c>
      <c r="K11" s="68">
        <f>K12+K14</f>
        <v>50000</v>
      </c>
      <c r="L11" s="68">
        <f t="shared" si="0"/>
        <v>-250000</v>
      </c>
      <c r="M11" s="68">
        <f>M12+M14</f>
        <v>300000</v>
      </c>
      <c r="N11" s="68">
        <f t="shared" si="1"/>
        <v>0</v>
      </c>
      <c r="O11" s="68">
        <f>O12+O14</f>
        <v>0</v>
      </c>
      <c r="P11" s="68">
        <f>P12+P14</f>
        <v>0</v>
      </c>
      <c r="Q11" s="68">
        <f t="shared" si="2"/>
        <v>0</v>
      </c>
    </row>
    <row r="12" spans="1:17" ht="21.2" customHeight="1" x14ac:dyDescent="0.2">
      <c r="A12" s="70" t="s">
        <v>497</v>
      </c>
      <c r="B12" s="70" t="s">
        <v>498</v>
      </c>
      <c r="C12" s="70" t="s">
        <v>502</v>
      </c>
      <c r="D12" s="70" t="s">
        <v>499</v>
      </c>
      <c r="E12" s="70" t="s">
        <v>499</v>
      </c>
      <c r="F12" s="70" t="s">
        <v>499</v>
      </c>
      <c r="G12" s="70" t="s">
        <v>500</v>
      </c>
      <c r="H12" s="70" t="s">
        <v>504</v>
      </c>
      <c r="I12" s="71" t="s">
        <v>505</v>
      </c>
      <c r="J12" s="64">
        <v>600000</v>
      </c>
      <c r="K12" s="64">
        <f>K13</f>
        <v>472000</v>
      </c>
      <c r="L12" s="64">
        <f t="shared" si="0"/>
        <v>-128000</v>
      </c>
      <c r="M12" s="64">
        <v>600000</v>
      </c>
      <c r="N12" s="64">
        <f t="shared" si="1"/>
        <v>0</v>
      </c>
      <c r="O12" s="64">
        <v>760000</v>
      </c>
      <c r="P12" s="64">
        <v>760000</v>
      </c>
      <c r="Q12" s="64">
        <f t="shared" si="2"/>
        <v>0</v>
      </c>
    </row>
    <row r="13" spans="1:17" ht="30" x14ac:dyDescent="0.2">
      <c r="A13" s="70" t="s">
        <v>506</v>
      </c>
      <c r="B13" s="70" t="s">
        <v>498</v>
      </c>
      <c r="C13" s="70" t="s">
        <v>502</v>
      </c>
      <c r="D13" s="70" t="s">
        <v>499</v>
      </c>
      <c r="E13" s="70" t="s">
        <v>499</v>
      </c>
      <c r="F13" s="70" t="s">
        <v>507</v>
      </c>
      <c r="G13" s="70" t="s">
        <v>500</v>
      </c>
      <c r="H13" s="70" t="s">
        <v>508</v>
      </c>
      <c r="I13" s="71" t="s">
        <v>479</v>
      </c>
      <c r="J13" s="64">
        <v>600000</v>
      </c>
      <c r="K13" s="64">
        <f>550000-78000</f>
        <v>472000</v>
      </c>
      <c r="L13" s="64">
        <f t="shared" si="0"/>
        <v>-128000</v>
      </c>
      <c r="M13" s="64">
        <v>600000</v>
      </c>
      <c r="N13" s="64">
        <f t="shared" si="1"/>
        <v>0</v>
      </c>
      <c r="O13" s="64">
        <v>760000</v>
      </c>
      <c r="P13" s="64">
        <v>760000</v>
      </c>
      <c r="Q13" s="64">
        <f t="shared" si="2"/>
        <v>0</v>
      </c>
    </row>
    <row r="14" spans="1:17" ht="30" x14ac:dyDescent="0.2">
      <c r="A14" s="70" t="s">
        <v>497</v>
      </c>
      <c r="B14" s="70" t="s">
        <v>498</v>
      </c>
      <c r="C14" s="70" t="s">
        <v>502</v>
      </c>
      <c r="D14" s="70" t="s">
        <v>499</v>
      </c>
      <c r="E14" s="70" t="s">
        <v>499</v>
      </c>
      <c r="F14" s="70" t="s">
        <v>499</v>
      </c>
      <c r="G14" s="70" t="s">
        <v>500</v>
      </c>
      <c r="H14" s="70" t="s">
        <v>509</v>
      </c>
      <c r="I14" s="71" t="s">
        <v>510</v>
      </c>
      <c r="J14" s="64">
        <v>-300000</v>
      </c>
      <c r="K14" s="64">
        <f>K15</f>
        <v>-422000</v>
      </c>
      <c r="L14" s="64">
        <f t="shared" si="0"/>
        <v>-122000</v>
      </c>
      <c r="M14" s="64">
        <v>-300000</v>
      </c>
      <c r="N14" s="64">
        <f t="shared" si="1"/>
        <v>0</v>
      </c>
      <c r="O14" s="64">
        <v>-760000</v>
      </c>
      <c r="P14" s="64">
        <v>-760000</v>
      </c>
      <c r="Q14" s="64">
        <f t="shared" si="2"/>
        <v>0</v>
      </c>
    </row>
    <row r="15" spans="1:17" ht="30" x14ac:dyDescent="0.2">
      <c r="A15" s="70" t="s">
        <v>506</v>
      </c>
      <c r="B15" s="70" t="s">
        <v>498</v>
      </c>
      <c r="C15" s="70" t="s">
        <v>502</v>
      </c>
      <c r="D15" s="70" t="s">
        <v>499</v>
      </c>
      <c r="E15" s="70" t="s">
        <v>499</v>
      </c>
      <c r="F15" s="70" t="s">
        <v>507</v>
      </c>
      <c r="G15" s="70" t="s">
        <v>500</v>
      </c>
      <c r="H15" s="70" t="s">
        <v>511</v>
      </c>
      <c r="I15" s="71" t="s">
        <v>481</v>
      </c>
      <c r="J15" s="64">
        <v>-300000</v>
      </c>
      <c r="K15" s="64">
        <f>-500000+78000</f>
        <v>-422000</v>
      </c>
      <c r="L15" s="64">
        <f t="shared" si="0"/>
        <v>-122000</v>
      </c>
      <c r="M15" s="64">
        <v>-300000</v>
      </c>
      <c r="N15" s="64">
        <f t="shared" si="1"/>
        <v>0</v>
      </c>
      <c r="O15" s="64">
        <v>-760000</v>
      </c>
      <c r="P15" s="64">
        <v>-760000</v>
      </c>
      <c r="Q15" s="64">
        <f t="shared" si="2"/>
        <v>0</v>
      </c>
    </row>
    <row r="16" spans="1:17" ht="15.75" x14ac:dyDescent="0.2">
      <c r="A16" s="66" t="s">
        <v>497</v>
      </c>
      <c r="B16" s="66" t="s">
        <v>498</v>
      </c>
      <c r="C16" s="66" t="s">
        <v>512</v>
      </c>
      <c r="D16" s="66" t="s">
        <v>499</v>
      </c>
      <c r="E16" s="66" t="s">
        <v>499</v>
      </c>
      <c r="F16" s="66" t="s">
        <v>499</v>
      </c>
      <c r="G16" s="66" t="s">
        <v>500</v>
      </c>
      <c r="H16" s="66" t="s">
        <v>497</v>
      </c>
      <c r="I16" s="69" t="s">
        <v>513</v>
      </c>
      <c r="J16" s="68">
        <f>J17+J21</f>
        <v>110239.89999999851</v>
      </c>
      <c r="K16" s="68">
        <f>K17+K21</f>
        <v>42933.599999999627</v>
      </c>
      <c r="L16" s="68">
        <f t="shared" si="0"/>
        <v>-67306.299999998882</v>
      </c>
      <c r="M16" s="68">
        <f>M17+M21</f>
        <v>110239.90000000037</v>
      </c>
      <c r="N16" s="68">
        <f t="shared" si="1"/>
        <v>1.862645149230957E-9</v>
      </c>
      <c r="O16" s="68">
        <f>O17+O21</f>
        <v>232554.29999999888</v>
      </c>
      <c r="P16" s="68">
        <f>P17+P21</f>
        <v>232554.30000000075</v>
      </c>
      <c r="Q16" s="68">
        <f t="shared" si="2"/>
        <v>1.862645149230957E-9</v>
      </c>
    </row>
    <row r="17" spans="1:17" ht="20.45" customHeight="1" x14ac:dyDescent="0.2">
      <c r="A17" s="70" t="s">
        <v>497</v>
      </c>
      <c r="B17" s="70" t="s">
        <v>498</v>
      </c>
      <c r="C17" s="70" t="s">
        <v>512</v>
      </c>
      <c r="D17" s="70" t="s">
        <v>499</v>
      </c>
      <c r="E17" s="70" t="s">
        <v>499</v>
      </c>
      <c r="F17" s="70" t="s">
        <v>499</v>
      </c>
      <c r="G17" s="70" t="s">
        <v>500</v>
      </c>
      <c r="H17" s="70" t="s">
        <v>514</v>
      </c>
      <c r="I17" s="71" t="s">
        <v>515</v>
      </c>
      <c r="J17" s="64">
        <f t="shared" ref="J17:M19" si="3">J18</f>
        <v>-13802974.800000001</v>
      </c>
      <c r="K17" s="64">
        <f t="shared" si="3"/>
        <v>-5411246.4000000004</v>
      </c>
      <c r="L17" s="64">
        <f t="shared" si="0"/>
        <v>8391728.4000000004</v>
      </c>
      <c r="M17" s="64">
        <f t="shared" si="3"/>
        <v>-12938692.1</v>
      </c>
      <c r="N17" s="64">
        <f t="shared" si="1"/>
        <v>864282.70000000112</v>
      </c>
      <c r="O17" s="64">
        <f t="shared" ref="O17:P19" si="4">O18</f>
        <v>-14237847.800000001</v>
      </c>
      <c r="P17" s="64">
        <f t="shared" si="4"/>
        <v>-15452707.699999999</v>
      </c>
      <c r="Q17" s="64">
        <f t="shared" si="2"/>
        <v>-1214859.8999999985</v>
      </c>
    </row>
    <row r="18" spans="1:17" ht="26.45" customHeight="1" x14ac:dyDescent="0.2">
      <c r="A18" s="70" t="s">
        <v>497</v>
      </c>
      <c r="B18" s="70" t="s">
        <v>498</v>
      </c>
      <c r="C18" s="70" t="s">
        <v>512</v>
      </c>
      <c r="D18" s="70" t="s">
        <v>502</v>
      </c>
      <c r="E18" s="70" t="s">
        <v>499</v>
      </c>
      <c r="F18" s="70" t="s">
        <v>499</v>
      </c>
      <c r="G18" s="70" t="s">
        <v>500</v>
      </c>
      <c r="H18" s="70" t="s">
        <v>514</v>
      </c>
      <c r="I18" s="71" t="s">
        <v>516</v>
      </c>
      <c r="J18" s="64">
        <f t="shared" si="3"/>
        <v>-13802974.800000001</v>
      </c>
      <c r="K18" s="64">
        <f t="shared" si="3"/>
        <v>-5411246.4000000004</v>
      </c>
      <c r="L18" s="64">
        <f t="shared" si="0"/>
        <v>8391728.4000000004</v>
      </c>
      <c r="M18" s="64">
        <f t="shared" si="3"/>
        <v>-12938692.1</v>
      </c>
      <c r="N18" s="64">
        <f t="shared" si="1"/>
        <v>864282.70000000112</v>
      </c>
      <c r="O18" s="64">
        <f t="shared" si="4"/>
        <v>-14237847.800000001</v>
      </c>
      <c r="P18" s="64">
        <f t="shared" si="4"/>
        <v>-15452707.699999999</v>
      </c>
      <c r="Q18" s="64">
        <f t="shared" si="2"/>
        <v>-1214859.8999999985</v>
      </c>
    </row>
    <row r="19" spans="1:17" ht="22.35" customHeight="1" x14ac:dyDescent="0.2">
      <c r="A19" s="70" t="s">
        <v>497</v>
      </c>
      <c r="B19" s="70" t="s">
        <v>498</v>
      </c>
      <c r="C19" s="70" t="s">
        <v>512</v>
      </c>
      <c r="D19" s="70" t="s">
        <v>502</v>
      </c>
      <c r="E19" s="70" t="s">
        <v>498</v>
      </c>
      <c r="F19" s="70" t="s">
        <v>499</v>
      </c>
      <c r="G19" s="70" t="s">
        <v>500</v>
      </c>
      <c r="H19" s="70" t="s">
        <v>517</v>
      </c>
      <c r="I19" s="71" t="s">
        <v>518</v>
      </c>
      <c r="J19" s="64">
        <f t="shared" si="3"/>
        <v>-13802974.800000001</v>
      </c>
      <c r="K19" s="64">
        <f t="shared" si="3"/>
        <v>-5411246.4000000004</v>
      </c>
      <c r="L19" s="64">
        <f t="shared" si="0"/>
        <v>8391728.4000000004</v>
      </c>
      <c r="M19" s="64">
        <f t="shared" si="3"/>
        <v>-12938692.1</v>
      </c>
      <c r="N19" s="64">
        <f t="shared" si="1"/>
        <v>864282.70000000112</v>
      </c>
      <c r="O19" s="64">
        <f t="shared" si="4"/>
        <v>-14237847.800000001</v>
      </c>
      <c r="P19" s="64">
        <f t="shared" si="4"/>
        <v>-15452707.699999999</v>
      </c>
      <c r="Q19" s="64">
        <f t="shared" si="2"/>
        <v>-1214859.8999999985</v>
      </c>
    </row>
    <row r="20" spans="1:17" ht="34.5" customHeight="1" x14ac:dyDescent="0.2">
      <c r="A20" s="70" t="s">
        <v>506</v>
      </c>
      <c r="B20" s="70" t="s">
        <v>498</v>
      </c>
      <c r="C20" s="70" t="s">
        <v>512</v>
      </c>
      <c r="D20" s="70" t="s">
        <v>502</v>
      </c>
      <c r="E20" s="70" t="s">
        <v>498</v>
      </c>
      <c r="F20" s="70" t="s">
        <v>507</v>
      </c>
      <c r="G20" s="70" t="s">
        <v>500</v>
      </c>
      <c r="H20" s="70" t="s">
        <v>517</v>
      </c>
      <c r="I20" s="71" t="s">
        <v>487</v>
      </c>
      <c r="J20" s="64">
        <v>-13802974.800000001</v>
      </c>
      <c r="K20" s="64">
        <f>-5440423.2+46510.8-17334</f>
        <v>-5411246.4000000004</v>
      </c>
      <c r="L20" s="64">
        <f t="shared" si="0"/>
        <v>8391728.4000000004</v>
      </c>
      <c r="M20" s="64">
        <v>-12938692.1</v>
      </c>
      <c r="N20" s="64">
        <f t="shared" si="1"/>
        <v>864282.70000000112</v>
      </c>
      <c r="O20" s="64">
        <v>-14237847.800000001</v>
      </c>
      <c r="P20" s="64">
        <v>-15452707.699999999</v>
      </c>
      <c r="Q20" s="64">
        <f t="shared" si="2"/>
        <v>-1214859.8999999985</v>
      </c>
    </row>
    <row r="21" spans="1:17" ht="25.9" customHeight="1" x14ac:dyDescent="0.2">
      <c r="A21" s="70" t="s">
        <v>497</v>
      </c>
      <c r="B21" s="70" t="s">
        <v>498</v>
      </c>
      <c r="C21" s="70" t="s">
        <v>512</v>
      </c>
      <c r="D21" s="70" t="s">
        <v>499</v>
      </c>
      <c r="E21" s="70" t="s">
        <v>499</v>
      </c>
      <c r="F21" s="70" t="s">
        <v>499</v>
      </c>
      <c r="G21" s="70" t="s">
        <v>500</v>
      </c>
      <c r="H21" s="70" t="s">
        <v>519</v>
      </c>
      <c r="I21" s="71" t="s">
        <v>520</v>
      </c>
      <c r="J21" s="64">
        <f t="shared" ref="J21:M23" si="5">J22</f>
        <v>13913214.699999999</v>
      </c>
      <c r="K21" s="64">
        <f t="shared" si="5"/>
        <v>5454180</v>
      </c>
      <c r="L21" s="64">
        <f t="shared" si="0"/>
        <v>-8459034.6999999993</v>
      </c>
      <c r="M21" s="64">
        <f t="shared" si="5"/>
        <v>13048932</v>
      </c>
      <c r="N21" s="64">
        <f t="shared" si="1"/>
        <v>-864282.69999999925</v>
      </c>
      <c r="O21" s="64">
        <f t="shared" ref="O21:P23" si="6">O22</f>
        <v>14470402.1</v>
      </c>
      <c r="P21" s="64">
        <f t="shared" si="6"/>
        <v>15685262</v>
      </c>
      <c r="Q21" s="64">
        <f t="shared" si="2"/>
        <v>1214859.9000000004</v>
      </c>
    </row>
    <row r="22" spans="1:17" ht="21.2" customHeight="1" x14ac:dyDescent="0.2">
      <c r="A22" s="70" t="s">
        <v>497</v>
      </c>
      <c r="B22" s="70" t="s">
        <v>498</v>
      </c>
      <c r="C22" s="70" t="s">
        <v>512</v>
      </c>
      <c r="D22" s="70" t="s">
        <v>502</v>
      </c>
      <c r="E22" s="70" t="s">
        <v>499</v>
      </c>
      <c r="F22" s="70" t="s">
        <v>499</v>
      </c>
      <c r="G22" s="70" t="s">
        <v>500</v>
      </c>
      <c r="H22" s="70" t="s">
        <v>519</v>
      </c>
      <c r="I22" s="71" t="s">
        <v>521</v>
      </c>
      <c r="J22" s="64">
        <f t="shared" si="5"/>
        <v>13913214.699999999</v>
      </c>
      <c r="K22" s="64">
        <f t="shared" si="5"/>
        <v>5454180</v>
      </c>
      <c r="L22" s="64">
        <f t="shared" si="0"/>
        <v>-8459034.6999999993</v>
      </c>
      <c r="M22" s="64">
        <f t="shared" si="5"/>
        <v>13048932</v>
      </c>
      <c r="N22" s="64">
        <f t="shared" si="1"/>
        <v>-864282.69999999925</v>
      </c>
      <c r="O22" s="64">
        <f t="shared" si="6"/>
        <v>14470402.1</v>
      </c>
      <c r="P22" s="64">
        <f t="shared" si="6"/>
        <v>15685262</v>
      </c>
      <c r="Q22" s="64">
        <f t="shared" si="2"/>
        <v>1214859.9000000004</v>
      </c>
    </row>
    <row r="23" spans="1:17" ht="20.45" customHeight="1" x14ac:dyDescent="0.2">
      <c r="A23" s="70" t="s">
        <v>497</v>
      </c>
      <c r="B23" s="70" t="s">
        <v>498</v>
      </c>
      <c r="C23" s="70" t="s">
        <v>512</v>
      </c>
      <c r="D23" s="70" t="s">
        <v>502</v>
      </c>
      <c r="E23" s="70" t="s">
        <v>498</v>
      </c>
      <c r="F23" s="70" t="s">
        <v>499</v>
      </c>
      <c r="G23" s="70" t="s">
        <v>500</v>
      </c>
      <c r="H23" s="70" t="s">
        <v>522</v>
      </c>
      <c r="I23" s="71" t="s">
        <v>523</v>
      </c>
      <c r="J23" s="64">
        <f t="shared" si="5"/>
        <v>13913214.699999999</v>
      </c>
      <c r="K23" s="64">
        <f t="shared" si="5"/>
        <v>5454180</v>
      </c>
      <c r="L23" s="64">
        <f t="shared" si="0"/>
        <v>-8459034.6999999993</v>
      </c>
      <c r="M23" s="64">
        <f t="shared" si="5"/>
        <v>13048932</v>
      </c>
      <c r="N23" s="64">
        <f t="shared" si="1"/>
        <v>-864282.69999999925</v>
      </c>
      <c r="O23" s="64">
        <f t="shared" si="6"/>
        <v>14470402.1</v>
      </c>
      <c r="P23" s="64">
        <f t="shared" si="6"/>
        <v>15685262</v>
      </c>
      <c r="Q23" s="64">
        <f t="shared" si="2"/>
        <v>1214859.9000000004</v>
      </c>
    </row>
    <row r="24" spans="1:17" ht="33.75" customHeight="1" x14ac:dyDescent="0.2">
      <c r="A24" s="70" t="s">
        <v>506</v>
      </c>
      <c r="B24" s="70" t="s">
        <v>498</v>
      </c>
      <c r="C24" s="70" t="s">
        <v>512</v>
      </c>
      <c r="D24" s="70" t="s">
        <v>502</v>
      </c>
      <c r="E24" s="70" t="s">
        <v>498</v>
      </c>
      <c r="F24" s="70" t="s">
        <v>507</v>
      </c>
      <c r="G24" s="70" t="s">
        <v>500</v>
      </c>
      <c r="H24" s="70" t="s">
        <v>522</v>
      </c>
      <c r="I24" s="71" t="s">
        <v>489</v>
      </c>
      <c r="J24" s="64">
        <v>13913214.699999999</v>
      </c>
      <c r="K24" s="64">
        <f>5483356.8-46510.8+17334</f>
        <v>5454180</v>
      </c>
      <c r="L24" s="64">
        <f t="shared" si="0"/>
        <v>-8459034.6999999993</v>
      </c>
      <c r="M24" s="64">
        <v>13048932</v>
      </c>
      <c r="N24" s="64">
        <f t="shared" si="1"/>
        <v>-864282.69999999925</v>
      </c>
      <c r="O24" s="64">
        <v>14470402.1</v>
      </c>
      <c r="P24" s="64">
        <v>15685262</v>
      </c>
      <c r="Q24" s="64">
        <f t="shared" si="2"/>
        <v>1214859.9000000004</v>
      </c>
    </row>
    <row r="25" spans="1:17" ht="15.75" x14ac:dyDescent="0.2">
      <c r="A25" s="505" t="s">
        <v>524</v>
      </c>
      <c r="B25" s="506"/>
      <c r="C25" s="506"/>
      <c r="D25" s="506"/>
      <c r="E25" s="506"/>
      <c r="F25" s="506"/>
      <c r="G25" s="506"/>
      <c r="H25" s="506"/>
      <c r="I25" s="507"/>
      <c r="J25" s="68">
        <f>J16+J11</f>
        <v>410239.89999999851</v>
      </c>
      <c r="K25" s="68" t="e">
        <f>K16+K11+#REF!</f>
        <v>#REF!</v>
      </c>
      <c r="L25" s="68" t="e">
        <f t="shared" si="0"/>
        <v>#REF!</v>
      </c>
      <c r="M25" s="68">
        <f>M16+M11</f>
        <v>410239.90000000037</v>
      </c>
      <c r="N25" s="68">
        <f t="shared" si="1"/>
        <v>1.862645149230957E-9</v>
      </c>
      <c r="O25" s="68">
        <f>O16+O11</f>
        <v>232554.29999999888</v>
      </c>
      <c r="P25" s="68">
        <f>P16+P11</f>
        <v>232554.30000000075</v>
      </c>
      <c r="Q25" s="68">
        <f t="shared" si="2"/>
        <v>1.862645149230957E-9</v>
      </c>
    </row>
  </sheetData>
  <mergeCells count="12">
    <mergeCell ref="O1:Q1"/>
    <mergeCell ref="O2:Q2"/>
    <mergeCell ref="M3:Q3"/>
    <mergeCell ref="A9:I9"/>
    <mergeCell ref="A25:I25"/>
    <mergeCell ref="A4:O4"/>
    <mergeCell ref="A6:H7"/>
    <mergeCell ref="I6:I7"/>
    <mergeCell ref="A8:I8"/>
    <mergeCell ref="J6:N6"/>
    <mergeCell ref="O6:Q6"/>
    <mergeCell ref="O5:Q5"/>
  </mergeCells>
  <pageMargins left="0.78740157480314965" right="0.39370078740157483" top="0.78740157480314965" bottom="0.78740157480314965" header="0" footer="0"/>
  <pageSetup paperSize="9" scale="60" firstPageNumber="73" orientation="landscape" useFirstPageNumber="1" r:id="rId1"/>
  <headerFooter>
    <oddFooter>&amp;CСтраница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9" defaultRowHeight="12" x14ac:dyDescent="0.2"/>
  <cols>
    <col min="1" max="1" width="7.7109375" style="27" customWidth="1"/>
    <col min="2" max="2" width="24.7109375" style="27" customWidth="1"/>
    <col min="3" max="3" width="67.7109375" style="27" customWidth="1"/>
    <col min="4" max="16384" width="9" style="27"/>
  </cols>
  <sheetData>
    <row r="1" spans="1:3" ht="14.25" x14ac:dyDescent="0.2">
      <c r="A1" s="38"/>
      <c r="B1" s="39"/>
      <c r="C1" s="152" t="s">
        <v>492</v>
      </c>
    </row>
    <row r="2" spans="1:3" ht="14.25" x14ac:dyDescent="0.2">
      <c r="A2" s="38"/>
      <c r="B2" s="39"/>
      <c r="C2" s="152" t="s">
        <v>1</v>
      </c>
    </row>
    <row r="3" spans="1:3" ht="14.25" x14ac:dyDescent="0.2">
      <c r="A3" s="38"/>
      <c r="B3" s="39"/>
      <c r="C3" s="153" t="s">
        <v>474</v>
      </c>
    </row>
    <row r="4" spans="1:3" ht="70.349999999999994" customHeight="1" x14ac:dyDescent="0.2">
      <c r="A4" s="525" t="s">
        <v>475</v>
      </c>
      <c r="B4" s="526"/>
      <c r="C4" s="526"/>
    </row>
    <row r="5" spans="1:3" ht="36" x14ac:dyDescent="0.2">
      <c r="A5" s="40" t="s">
        <v>216</v>
      </c>
      <c r="B5" s="41" t="s">
        <v>476</v>
      </c>
      <c r="C5" s="40" t="s">
        <v>477</v>
      </c>
    </row>
    <row r="6" spans="1:3" ht="22.35" customHeight="1" x14ac:dyDescent="0.2">
      <c r="A6" s="42">
        <v>901</v>
      </c>
      <c r="B6" s="43"/>
      <c r="C6" s="44" t="s">
        <v>220</v>
      </c>
    </row>
    <row r="7" spans="1:3" ht="33.75" customHeight="1" x14ac:dyDescent="0.2">
      <c r="A7" s="45">
        <v>901</v>
      </c>
      <c r="B7" s="46" t="s">
        <v>478</v>
      </c>
      <c r="C7" s="47" t="s">
        <v>479</v>
      </c>
    </row>
    <row r="8" spans="1:3" ht="33.200000000000003" customHeight="1" x14ac:dyDescent="0.2">
      <c r="A8" s="48">
        <v>901</v>
      </c>
      <c r="B8" s="49" t="s">
        <v>480</v>
      </c>
      <c r="C8" s="47" t="s">
        <v>481</v>
      </c>
    </row>
    <row r="9" spans="1:3" ht="36.4" customHeight="1" x14ac:dyDescent="0.2">
      <c r="A9" s="48">
        <v>901</v>
      </c>
      <c r="B9" s="49" t="s">
        <v>482</v>
      </c>
      <c r="C9" s="47" t="s">
        <v>483</v>
      </c>
    </row>
    <row r="10" spans="1:3" ht="38.25" x14ac:dyDescent="0.2">
      <c r="A10" s="45">
        <v>901</v>
      </c>
      <c r="B10" s="49" t="s">
        <v>484</v>
      </c>
      <c r="C10" s="47" t="s">
        <v>485</v>
      </c>
    </row>
    <row r="11" spans="1:3" ht="25.5" x14ac:dyDescent="0.2">
      <c r="A11" s="45">
        <v>901</v>
      </c>
      <c r="B11" s="49" t="s">
        <v>486</v>
      </c>
      <c r="C11" s="47" t="s">
        <v>487</v>
      </c>
    </row>
    <row r="12" spans="1:3" ht="25.5" x14ac:dyDescent="0.2">
      <c r="A12" s="45">
        <v>901</v>
      </c>
      <c r="B12" s="49" t="s">
        <v>488</v>
      </c>
      <c r="C12" s="47" t="s">
        <v>489</v>
      </c>
    </row>
    <row r="13" spans="1:3" ht="29.25" customHeight="1" x14ac:dyDescent="0.2">
      <c r="A13" s="50">
        <v>901</v>
      </c>
      <c r="B13" s="51" t="s">
        <v>490</v>
      </c>
      <c r="C13" s="52" t="s">
        <v>491</v>
      </c>
    </row>
    <row r="14" spans="1:3" x14ac:dyDescent="0.2">
      <c r="B14" s="53"/>
    </row>
  </sheetData>
  <mergeCells count="1">
    <mergeCell ref="A4:C4"/>
  </mergeCells>
  <pageMargins left="0.78740157480314965" right="0.39370078740157483" top="0.78740157480314965" bottom="0.39370078740157483" header="0.51181102362204722" footer="0.51181102362204722"/>
  <pageSetup paperSize="9" firstPageNumber="103" orientation="portrait" useFirstPageNumber="1" r:id="rId1"/>
  <headerFooter alignWithMargins="0">
    <oddFooter>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4"/>
  <sheetViews>
    <sheetView zoomScale="130" zoomScaleNormal="130" workbookViewId="0">
      <selection activeCell="D3" sqref="D3:K3"/>
    </sheetView>
  </sheetViews>
  <sheetFormatPr defaultColWidth="9" defaultRowHeight="12.75" x14ac:dyDescent="0.2"/>
  <cols>
    <col min="1" max="1" width="72.28515625" style="148" customWidth="1"/>
    <col min="2" max="2" width="4.5703125" style="74" customWidth="1"/>
    <col min="3" max="3" width="4.28515625" style="74" customWidth="1"/>
    <col min="4" max="4" width="14.28515625" style="74" customWidth="1"/>
    <col min="5" max="5" width="4.140625" style="74" customWidth="1"/>
    <col min="6" max="6" width="11" style="74" customWidth="1"/>
    <col min="7" max="7" width="16.42578125" style="74" customWidth="1"/>
    <col min="8" max="8" width="11" style="148" customWidth="1"/>
    <col min="9" max="9" width="14.7109375" style="148" customWidth="1"/>
    <col min="10" max="10" width="10.7109375" style="148" customWidth="1"/>
    <col min="11" max="11" width="14.85546875" style="148" customWidth="1"/>
    <col min="12" max="12" width="12.7109375" style="148" customWidth="1"/>
    <col min="13" max="16384" width="9" style="148"/>
  </cols>
  <sheetData>
    <row r="1" spans="1:11" x14ac:dyDescent="0.2">
      <c r="A1" s="147"/>
      <c r="B1" s="86"/>
      <c r="C1" s="87"/>
      <c r="E1" s="179"/>
      <c r="F1" s="531" t="s">
        <v>1369</v>
      </c>
      <c r="G1" s="531"/>
      <c r="H1" s="459"/>
      <c r="I1" s="459"/>
      <c r="J1" s="459"/>
      <c r="K1" s="459"/>
    </row>
    <row r="2" spans="1:11" x14ac:dyDescent="0.2">
      <c r="A2" s="93"/>
      <c r="B2" s="88"/>
      <c r="C2" s="87"/>
      <c r="D2" s="531" t="s">
        <v>1</v>
      </c>
      <c r="E2" s="531"/>
      <c r="F2" s="531"/>
      <c r="G2" s="531"/>
      <c r="H2" s="459"/>
      <c r="I2" s="459"/>
      <c r="J2" s="459"/>
      <c r="K2" s="459"/>
    </row>
    <row r="3" spans="1:11" x14ac:dyDescent="0.2">
      <c r="A3" s="93"/>
      <c r="B3" s="87"/>
      <c r="C3" s="87"/>
      <c r="D3" s="476" t="s">
        <v>1740</v>
      </c>
      <c r="E3" s="476"/>
      <c r="F3" s="476"/>
      <c r="G3" s="476"/>
      <c r="H3" s="459"/>
      <c r="I3" s="459"/>
      <c r="J3" s="459"/>
      <c r="K3" s="459"/>
    </row>
    <row r="4" spans="1:11" x14ac:dyDescent="0.2">
      <c r="A4" s="147"/>
    </row>
    <row r="5" spans="1:11" ht="59.1" customHeight="1" x14ac:dyDescent="0.2">
      <c r="A5" s="460" t="s">
        <v>1333</v>
      </c>
      <c r="B5" s="460"/>
      <c r="C5" s="460"/>
      <c r="D5" s="460"/>
      <c r="E5" s="460"/>
      <c r="F5" s="460"/>
      <c r="G5" s="460"/>
      <c r="H5" s="463"/>
      <c r="I5" s="463"/>
      <c r="J5" s="463"/>
      <c r="K5" s="463"/>
    </row>
    <row r="7" spans="1:11" x14ac:dyDescent="0.2">
      <c r="A7" s="147"/>
      <c r="B7" s="148"/>
      <c r="C7" s="148"/>
      <c r="D7" s="148"/>
      <c r="E7" s="148"/>
      <c r="F7" s="148"/>
      <c r="J7" s="530" t="s">
        <v>1280</v>
      </c>
      <c r="K7" s="497"/>
    </row>
    <row r="8" spans="1:11" x14ac:dyDescent="0.2">
      <c r="A8" s="532" t="s">
        <v>1276</v>
      </c>
      <c r="B8" s="532" t="s">
        <v>1274</v>
      </c>
      <c r="C8" s="532" t="s">
        <v>1273</v>
      </c>
      <c r="D8" s="532" t="s">
        <v>1272</v>
      </c>
      <c r="E8" s="532" t="s">
        <v>1271</v>
      </c>
      <c r="F8" s="527" t="s">
        <v>4</v>
      </c>
      <c r="G8" s="528"/>
      <c r="H8" s="527" t="s">
        <v>5</v>
      </c>
      <c r="I8" s="528"/>
      <c r="J8" s="527" t="s">
        <v>1372</v>
      </c>
      <c r="K8" s="529"/>
    </row>
    <row r="9" spans="1:11" ht="108" customHeight="1" x14ac:dyDescent="0.2">
      <c r="A9" s="532"/>
      <c r="B9" s="532"/>
      <c r="C9" s="532"/>
      <c r="D9" s="532"/>
      <c r="E9" s="532"/>
      <c r="F9" s="193" t="s">
        <v>1331</v>
      </c>
      <c r="G9" s="194" t="s">
        <v>1332</v>
      </c>
      <c r="H9" s="193" t="s">
        <v>1331</v>
      </c>
      <c r="I9" s="194" t="s">
        <v>1332</v>
      </c>
      <c r="J9" s="193" t="s">
        <v>1331</v>
      </c>
      <c r="K9" s="193" t="s">
        <v>1332</v>
      </c>
    </row>
    <row r="10" spans="1:11" x14ac:dyDescent="0.2">
      <c r="A10" s="195">
        <v>1</v>
      </c>
      <c r="B10" s="195">
        <v>2</v>
      </c>
      <c r="C10" s="195">
        <v>3</v>
      </c>
      <c r="D10" s="195">
        <v>4</v>
      </c>
      <c r="E10" s="195">
        <v>5</v>
      </c>
      <c r="F10" s="196">
        <v>6</v>
      </c>
      <c r="G10" s="197">
        <v>7</v>
      </c>
      <c r="H10" s="196">
        <v>8</v>
      </c>
      <c r="I10" s="197">
        <v>9</v>
      </c>
      <c r="J10" s="196">
        <v>10</v>
      </c>
      <c r="K10" s="198">
        <v>11</v>
      </c>
    </row>
    <row r="11" spans="1:11" s="97" customFormat="1" x14ac:dyDescent="0.2">
      <c r="A11" s="199" t="s">
        <v>606</v>
      </c>
      <c r="B11" s="212" t="s">
        <v>498</v>
      </c>
      <c r="C11" s="212"/>
      <c r="D11" s="212"/>
      <c r="E11" s="212"/>
      <c r="F11" s="213">
        <v>1297577.5000000002</v>
      </c>
      <c r="G11" s="200">
        <v>55962</v>
      </c>
      <c r="H11" s="213">
        <f>H12+H19+H31+H114+H139+H147</f>
        <v>1287322.6000000001</v>
      </c>
      <c r="I11" s="200">
        <f>I12+I19+I31+I114+I139+I147</f>
        <v>57040</v>
      </c>
      <c r="J11" s="214">
        <f>H11-F11</f>
        <v>-10254.90000000014</v>
      </c>
      <c r="K11" s="201">
        <f>I11-G11</f>
        <v>1078</v>
      </c>
    </row>
    <row r="12" spans="1:11" ht="22.5" x14ac:dyDescent="0.2">
      <c r="A12" s="202" t="s">
        <v>1270</v>
      </c>
      <c r="B12" s="209" t="s">
        <v>498</v>
      </c>
      <c r="C12" s="209" t="s">
        <v>502</v>
      </c>
      <c r="D12" s="209"/>
      <c r="E12" s="209"/>
      <c r="F12" s="215">
        <v>3220.9</v>
      </c>
      <c r="G12" s="203">
        <v>0</v>
      </c>
      <c r="H12" s="215">
        <f t="shared" ref="H12:H17" si="0">H13</f>
        <v>3220.9</v>
      </c>
      <c r="I12" s="203">
        <v>0</v>
      </c>
      <c r="J12" s="216">
        <f t="shared" ref="J12:J77" si="1">H12-F12</f>
        <v>0</v>
      </c>
      <c r="K12" s="204">
        <f t="shared" ref="K12:K77" si="2">I12-G12</f>
        <v>0</v>
      </c>
    </row>
    <row r="13" spans="1:11" x14ac:dyDescent="0.2">
      <c r="A13" s="202" t="s">
        <v>604</v>
      </c>
      <c r="B13" s="209" t="s">
        <v>498</v>
      </c>
      <c r="C13" s="209" t="s">
        <v>502</v>
      </c>
      <c r="D13" s="209" t="s">
        <v>603</v>
      </c>
      <c r="E13" s="209"/>
      <c r="F13" s="215">
        <v>3220.9</v>
      </c>
      <c r="G13" s="203">
        <v>0</v>
      </c>
      <c r="H13" s="215">
        <f t="shared" si="0"/>
        <v>3220.9</v>
      </c>
      <c r="I13" s="203">
        <v>0</v>
      </c>
      <c r="J13" s="216">
        <f t="shared" si="1"/>
        <v>0</v>
      </c>
      <c r="K13" s="204">
        <f t="shared" si="2"/>
        <v>0</v>
      </c>
    </row>
    <row r="14" spans="1:11" x14ac:dyDescent="0.2">
      <c r="A14" s="202" t="s">
        <v>602</v>
      </c>
      <c r="B14" s="209" t="s">
        <v>498</v>
      </c>
      <c r="C14" s="209" t="s">
        <v>502</v>
      </c>
      <c r="D14" s="209" t="s">
        <v>601</v>
      </c>
      <c r="E14" s="209"/>
      <c r="F14" s="215">
        <v>3220.9</v>
      </c>
      <c r="G14" s="203">
        <v>0</v>
      </c>
      <c r="H14" s="215">
        <f t="shared" si="0"/>
        <v>3220.9</v>
      </c>
      <c r="I14" s="203">
        <v>0</v>
      </c>
      <c r="J14" s="216">
        <f t="shared" si="1"/>
        <v>0</v>
      </c>
      <c r="K14" s="204">
        <f t="shared" si="2"/>
        <v>0</v>
      </c>
    </row>
    <row r="15" spans="1:11" ht="22.5" x14ac:dyDescent="0.2">
      <c r="A15" s="202" t="s">
        <v>600</v>
      </c>
      <c r="B15" s="209" t="s">
        <v>498</v>
      </c>
      <c r="C15" s="209" t="s">
        <v>502</v>
      </c>
      <c r="D15" s="209" t="s">
        <v>599</v>
      </c>
      <c r="E15" s="209"/>
      <c r="F15" s="215">
        <v>3220.9</v>
      </c>
      <c r="G15" s="203">
        <v>0</v>
      </c>
      <c r="H15" s="215">
        <f t="shared" si="0"/>
        <v>3220.9</v>
      </c>
      <c r="I15" s="203">
        <v>0</v>
      </c>
      <c r="J15" s="216">
        <f t="shared" si="1"/>
        <v>0</v>
      </c>
      <c r="K15" s="204">
        <f t="shared" si="2"/>
        <v>0</v>
      </c>
    </row>
    <row r="16" spans="1:11" x14ac:dyDescent="0.2">
      <c r="A16" s="202" t="s">
        <v>1269</v>
      </c>
      <c r="B16" s="209" t="s">
        <v>498</v>
      </c>
      <c r="C16" s="209" t="s">
        <v>502</v>
      </c>
      <c r="D16" s="209" t="s">
        <v>1268</v>
      </c>
      <c r="E16" s="209"/>
      <c r="F16" s="215">
        <v>3220.9</v>
      </c>
      <c r="G16" s="203">
        <v>0</v>
      </c>
      <c r="H16" s="215">
        <f t="shared" si="0"/>
        <v>3220.9</v>
      </c>
      <c r="I16" s="203">
        <v>0</v>
      </c>
      <c r="J16" s="216">
        <f t="shared" si="1"/>
        <v>0</v>
      </c>
      <c r="K16" s="204">
        <f t="shared" si="2"/>
        <v>0</v>
      </c>
    </row>
    <row r="17" spans="1:11" ht="33.75" x14ac:dyDescent="0.2">
      <c r="A17" s="202" t="s">
        <v>1348</v>
      </c>
      <c r="B17" s="209" t="s">
        <v>498</v>
      </c>
      <c r="C17" s="209" t="s">
        <v>502</v>
      </c>
      <c r="D17" s="209" t="s">
        <v>1268</v>
      </c>
      <c r="E17" s="209" t="s">
        <v>556</v>
      </c>
      <c r="F17" s="215">
        <v>3220.9</v>
      </c>
      <c r="G17" s="203">
        <v>0</v>
      </c>
      <c r="H17" s="215">
        <f t="shared" si="0"/>
        <v>3220.9</v>
      </c>
      <c r="I17" s="203">
        <v>0</v>
      </c>
      <c r="J17" s="216">
        <f t="shared" si="1"/>
        <v>0</v>
      </c>
      <c r="K17" s="204">
        <f t="shared" si="2"/>
        <v>0</v>
      </c>
    </row>
    <row r="18" spans="1:11" x14ac:dyDescent="0.2">
      <c r="A18" s="202" t="s">
        <v>749</v>
      </c>
      <c r="B18" s="209" t="s">
        <v>498</v>
      </c>
      <c r="C18" s="209" t="s">
        <v>502</v>
      </c>
      <c r="D18" s="209" t="s">
        <v>1268</v>
      </c>
      <c r="E18" s="209" t="s">
        <v>745</v>
      </c>
      <c r="F18" s="215">
        <v>3220.9</v>
      </c>
      <c r="G18" s="203">
        <v>0</v>
      </c>
      <c r="H18" s="215">
        <f>'Ведомственная 2020'!H19</f>
        <v>3220.9</v>
      </c>
      <c r="I18" s="203">
        <v>0</v>
      </c>
      <c r="J18" s="216">
        <f t="shared" si="1"/>
        <v>0</v>
      </c>
      <c r="K18" s="204">
        <f t="shared" si="2"/>
        <v>0</v>
      </c>
    </row>
    <row r="19" spans="1:11" ht="22.5" x14ac:dyDescent="0.2">
      <c r="A19" s="202" t="s">
        <v>771</v>
      </c>
      <c r="B19" s="209" t="s">
        <v>498</v>
      </c>
      <c r="C19" s="209" t="s">
        <v>531</v>
      </c>
      <c r="D19" s="209"/>
      <c r="E19" s="209"/>
      <c r="F19" s="215">
        <v>16835.800000000003</v>
      </c>
      <c r="G19" s="203">
        <v>0</v>
      </c>
      <c r="H19" s="215">
        <f>H20</f>
        <v>16835.800000000003</v>
      </c>
      <c r="I19" s="203">
        <v>0</v>
      </c>
      <c r="J19" s="216">
        <f t="shared" si="1"/>
        <v>0</v>
      </c>
      <c r="K19" s="204">
        <f t="shared" si="2"/>
        <v>0</v>
      </c>
    </row>
    <row r="20" spans="1:11" ht="22.5" x14ac:dyDescent="0.2">
      <c r="A20" s="202" t="s">
        <v>757</v>
      </c>
      <c r="B20" s="209" t="s">
        <v>498</v>
      </c>
      <c r="C20" s="209" t="s">
        <v>531</v>
      </c>
      <c r="D20" s="209" t="s">
        <v>756</v>
      </c>
      <c r="E20" s="209"/>
      <c r="F20" s="215">
        <v>16835.800000000003</v>
      </c>
      <c r="G20" s="203">
        <v>0</v>
      </c>
      <c r="H20" s="215">
        <f>H21+H24</f>
        <v>16835.800000000003</v>
      </c>
      <c r="I20" s="203">
        <v>0</v>
      </c>
      <c r="J20" s="216">
        <f t="shared" si="1"/>
        <v>0</v>
      </c>
      <c r="K20" s="204">
        <f t="shared" si="2"/>
        <v>0</v>
      </c>
    </row>
    <row r="21" spans="1:11" x14ac:dyDescent="0.2">
      <c r="A21" s="202" t="s">
        <v>770</v>
      </c>
      <c r="B21" s="209" t="s">
        <v>498</v>
      </c>
      <c r="C21" s="209" t="s">
        <v>531</v>
      </c>
      <c r="D21" s="209" t="s">
        <v>769</v>
      </c>
      <c r="E21" s="209"/>
      <c r="F21" s="215">
        <v>3051.6000000000004</v>
      </c>
      <c r="G21" s="203">
        <v>0</v>
      </c>
      <c r="H21" s="215">
        <f>H22</f>
        <v>3051.6000000000004</v>
      </c>
      <c r="I21" s="203">
        <v>0</v>
      </c>
      <c r="J21" s="216">
        <f t="shared" si="1"/>
        <v>0</v>
      </c>
      <c r="K21" s="204">
        <f t="shared" si="2"/>
        <v>0</v>
      </c>
    </row>
    <row r="22" spans="1:11" ht="33.75" x14ac:dyDescent="0.2">
      <c r="A22" s="202" t="s">
        <v>1348</v>
      </c>
      <c r="B22" s="209" t="s">
        <v>498</v>
      </c>
      <c r="C22" s="209" t="s">
        <v>531</v>
      </c>
      <c r="D22" s="209" t="s">
        <v>769</v>
      </c>
      <c r="E22" s="209" t="s">
        <v>556</v>
      </c>
      <c r="F22" s="215">
        <v>3051.6000000000004</v>
      </c>
      <c r="G22" s="203">
        <v>0</v>
      </c>
      <c r="H22" s="215">
        <f>H23</f>
        <v>3051.6000000000004</v>
      </c>
      <c r="I22" s="203">
        <v>0</v>
      </c>
      <c r="J22" s="216">
        <f t="shared" si="1"/>
        <v>0</v>
      </c>
      <c r="K22" s="204">
        <f t="shared" si="2"/>
        <v>0</v>
      </c>
    </row>
    <row r="23" spans="1:11" x14ac:dyDescent="0.2">
      <c r="A23" s="202" t="s">
        <v>749</v>
      </c>
      <c r="B23" s="209" t="s">
        <v>498</v>
      </c>
      <c r="C23" s="209" t="s">
        <v>531</v>
      </c>
      <c r="D23" s="209" t="s">
        <v>769</v>
      </c>
      <c r="E23" s="209" t="s">
        <v>745</v>
      </c>
      <c r="F23" s="215">
        <v>3051.6000000000004</v>
      </c>
      <c r="G23" s="203">
        <v>0</v>
      </c>
      <c r="H23" s="215">
        <f>'Ведомственная 2020'!H1078</f>
        <v>3051.6000000000004</v>
      </c>
      <c r="I23" s="203">
        <v>0</v>
      </c>
      <c r="J23" s="216">
        <f t="shared" si="1"/>
        <v>0</v>
      </c>
      <c r="K23" s="204">
        <f t="shared" si="2"/>
        <v>0</v>
      </c>
    </row>
    <row r="24" spans="1:11" x14ac:dyDescent="0.2">
      <c r="A24" s="202" t="s">
        <v>767</v>
      </c>
      <c r="B24" s="209" t="s">
        <v>498</v>
      </c>
      <c r="C24" s="209" t="s">
        <v>531</v>
      </c>
      <c r="D24" s="209" t="s">
        <v>765</v>
      </c>
      <c r="E24" s="209"/>
      <c r="F24" s="215">
        <v>13784.2</v>
      </c>
      <c r="G24" s="203">
        <v>0</v>
      </c>
      <c r="H24" s="215">
        <f>H25+H27+H29</f>
        <v>13784.2</v>
      </c>
      <c r="I24" s="203">
        <v>0</v>
      </c>
      <c r="J24" s="216">
        <f t="shared" si="1"/>
        <v>0</v>
      </c>
      <c r="K24" s="204">
        <f t="shared" si="2"/>
        <v>0</v>
      </c>
    </row>
    <row r="25" spans="1:11" ht="33.75" x14ac:dyDescent="0.2">
      <c r="A25" s="202" t="s">
        <v>1348</v>
      </c>
      <c r="B25" s="209" t="s">
        <v>498</v>
      </c>
      <c r="C25" s="209" t="s">
        <v>531</v>
      </c>
      <c r="D25" s="209" t="s">
        <v>765</v>
      </c>
      <c r="E25" s="209" t="s">
        <v>556</v>
      </c>
      <c r="F25" s="215">
        <v>9455.8000000000011</v>
      </c>
      <c r="G25" s="203">
        <v>0</v>
      </c>
      <c r="H25" s="215">
        <f>H26</f>
        <v>9455.8000000000011</v>
      </c>
      <c r="I25" s="203">
        <v>0</v>
      </c>
      <c r="J25" s="216">
        <f t="shared" si="1"/>
        <v>0</v>
      </c>
      <c r="K25" s="204">
        <f t="shared" si="2"/>
        <v>0</v>
      </c>
    </row>
    <row r="26" spans="1:11" x14ac:dyDescent="0.2">
      <c r="A26" s="202" t="s">
        <v>749</v>
      </c>
      <c r="B26" s="209" t="s">
        <v>498</v>
      </c>
      <c r="C26" s="209" t="s">
        <v>531</v>
      </c>
      <c r="D26" s="209" t="s">
        <v>765</v>
      </c>
      <c r="E26" s="209" t="s">
        <v>745</v>
      </c>
      <c r="F26" s="215">
        <v>9455.8000000000011</v>
      </c>
      <c r="G26" s="203">
        <v>0</v>
      </c>
      <c r="H26" s="215">
        <f>'Ведомственная 2020'!H1081</f>
        <v>9455.8000000000011</v>
      </c>
      <c r="I26" s="203">
        <v>0</v>
      </c>
      <c r="J26" s="216">
        <f t="shared" si="1"/>
        <v>0</v>
      </c>
      <c r="K26" s="204">
        <f t="shared" si="2"/>
        <v>0</v>
      </c>
    </row>
    <row r="27" spans="1:11" x14ac:dyDescent="0.2">
      <c r="A27" s="202" t="s">
        <v>1347</v>
      </c>
      <c r="B27" s="209" t="s">
        <v>498</v>
      </c>
      <c r="C27" s="209" t="s">
        <v>531</v>
      </c>
      <c r="D27" s="209" t="s">
        <v>765</v>
      </c>
      <c r="E27" s="209" t="s">
        <v>535</v>
      </c>
      <c r="F27" s="215">
        <v>4278.3999999999996</v>
      </c>
      <c r="G27" s="203">
        <v>0</v>
      </c>
      <c r="H27" s="215">
        <f>H28</f>
        <v>4278.3999999999996</v>
      </c>
      <c r="I27" s="203">
        <v>0</v>
      </c>
      <c r="J27" s="216">
        <f t="shared" si="1"/>
        <v>0</v>
      </c>
      <c r="K27" s="204">
        <f t="shared" si="2"/>
        <v>0</v>
      </c>
    </row>
    <row r="28" spans="1:11" ht="22.5" x14ac:dyDescent="0.2">
      <c r="A28" s="202" t="s">
        <v>534</v>
      </c>
      <c r="B28" s="209" t="s">
        <v>498</v>
      </c>
      <c r="C28" s="209" t="s">
        <v>531</v>
      </c>
      <c r="D28" s="209" t="s">
        <v>765</v>
      </c>
      <c r="E28" s="209" t="s">
        <v>529</v>
      </c>
      <c r="F28" s="215">
        <v>4278.3999999999996</v>
      </c>
      <c r="G28" s="203">
        <v>0</v>
      </c>
      <c r="H28" s="215">
        <f>'Ведомственная 2020'!H1083</f>
        <v>4278.3999999999996</v>
      </c>
      <c r="I28" s="203">
        <v>0</v>
      </c>
      <c r="J28" s="216">
        <f t="shared" si="1"/>
        <v>0</v>
      </c>
      <c r="K28" s="204">
        <f t="shared" si="2"/>
        <v>0</v>
      </c>
    </row>
    <row r="29" spans="1:11" x14ac:dyDescent="0.2">
      <c r="A29" s="202" t="s">
        <v>615</v>
      </c>
      <c r="B29" s="209" t="s">
        <v>498</v>
      </c>
      <c r="C29" s="209" t="s">
        <v>531</v>
      </c>
      <c r="D29" s="209" t="s">
        <v>765</v>
      </c>
      <c r="E29" s="209" t="s">
        <v>509</v>
      </c>
      <c r="F29" s="215">
        <v>50</v>
      </c>
      <c r="G29" s="203">
        <v>0</v>
      </c>
      <c r="H29" s="215">
        <f>H30</f>
        <v>50</v>
      </c>
      <c r="I29" s="203">
        <v>0</v>
      </c>
      <c r="J29" s="216">
        <f t="shared" si="1"/>
        <v>0</v>
      </c>
      <c r="K29" s="204">
        <f t="shared" si="2"/>
        <v>0</v>
      </c>
    </row>
    <row r="30" spans="1:11" x14ac:dyDescent="0.2">
      <c r="A30" s="202" t="s">
        <v>614</v>
      </c>
      <c r="B30" s="209" t="s">
        <v>498</v>
      </c>
      <c r="C30" s="209" t="s">
        <v>531</v>
      </c>
      <c r="D30" s="209" t="s">
        <v>765</v>
      </c>
      <c r="E30" s="209" t="s">
        <v>613</v>
      </c>
      <c r="F30" s="215">
        <v>50</v>
      </c>
      <c r="G30" s="203">
        <v>0</v>
      </c>
      <c r="H30" s="215">
        <f>'Ведомственная 2020'!H1085</f>
        <v>50</v>
      </c>
      <c r="I30" s="203">
        <v>0</v>
      </c>
      <c r="J30" s="216">
        <f t="shared" si="1"/>
        <v>0</v>
      </c>
      <c r="K30" s="204">
        <f t="shared" si="2"/>
        <v>0</v>
      </c>
    </row>
    <row r="31" spans="1:11" ht="22.5" x14ac:dyDescent="0.2">
      <c r="A31" s="202" t="s">
        <v>605</v>
      </c>
      <c r="B31" s="209" t="s">
        <v>498</v>
      </c>
      <c r="C31" s="209" t="s">
        <v>507</v>
      </c>
      <c r="D31" s="209"/>
      <c r="E31" s="209"/>
      <c r="F31" s="215">
        <v>441064.50000000006</v>
      </c>
      <c r="G31" s="203">
        <v>49583</v>
      </c>
      <c r="H31" s="215">
        <f>H32+H47+H55+H63+H71+H87+H110+H79+H103</f>
        <v>442094.50000000006</v>
      </c>
      <c r="I31" s="203">
        <f>I32+I47+I55+I63+I71+I87+I110+I79+I103</f>
        <v>50661</v>
      </c>
      <c r="J31" s="216">
        <f t="shared" si="1"/>
        <v>1030</v>
      </c>
      <c r="K31" s="204">
        <f t="shared" si="2"/>
        <v>1078</v>
      </c>
    </row>
    <row r="32" spans="1:11" x14ac:dyDescent="0.2">
      <c r="A32" s="202" t="s">
        <v>653</v>
      </c>
      <c r="B32" s="209" t="s">
        <v>498</v>
      </c>
      <c r="C32" s="209" t="s">
        <v>507</v>
      </c>
      <c r="D32" s="209" t="s">
        <v>652</v>
      </c>
      <c r="E32" s="209"/>
      <c r="F32" s="215">
        <v>4752</v>
      </c>
      <c r="G32" s="203">
        <v>4277</v>
      </c>
      <c r="H32" s="215">
        <f>H33</f>
        <v>4752</v>
      </c>
      <c r="I32" s="203">
        <f>I33</f>
        <v>4277</v>
      </c>
      <c r="J32" s="216">
        <f t="shared" si="1"/>
        <v>0</v>
      </c>
      <c r="K32" s="204">
        <f t="shared" si="2"/>
        <v>0</v>
      </c>
    </row>
    <row r="33" spans="1:11" x14ac:dyDescent="0.2">
      <c r="A33" s="202" t="s">
        <v>1267</v>
      </c>
      <c r="B33" s="209" t="s">
        <v>498</v>
      </c>
      <c r="C33" s="209" t="s">
        <v>507</v>
      </c>
      <c r="D33" s="209" t="s">
        <v>1266</v>
      </c>
      <c r="E33" s="209"/>
      <c r="F33" s="215">
        <v>4752</v>
      </c>
      <c r="G33" s="203">
        <v>4277</v>
      </c>
      <c r="H33" s="215">
        <f>H34+H38</f>
        <v>4752</v>
      </c>
      <c r="I33" s="203">
        <f>I34+I38</f>
        <v>4277</v>
      </c>
      <c r="J33" s="216">
        <f t="shared" si="1"/>
        <v>0</v>
      </c>
      <c r="K33" s="204">
        <f t="shared" si="2"/>
        <v>0</v>
      </c>
    </row>
    <row r="34" spans="1:11" ht="22.5" x14ac:dyDescent="0.2">
      <c r="A34" s="202" t="s">
        <v>1265</v>
      </c>
      <c r="B34" s="209" t="s">
        <v>498</v>
      </c>
      <c r="C34" s="209" t="s">
        <v>507</v>
      </c>
      <c r="D34" s="209" t="s">
        <v>1264</v>
      </c>
      <c r="E34" s="209"/>
      <c r="F34" s="215">
        <v>400</v>
      </c>
      <c r="G34" s="203">
        <v>0</v>
      </c>
      <c r="H34" s="215">
        <f t="shared" ref="H34:I36" si="3">H35</f>
        <v>400</v>
      </c>
      <c r="I34" s="203">
        <f t="shared" si="3"/>
        <v>0</v>
      </c>
      <c r="J34" s="216">
        <f t="shared" si="1"/>
        <v>0</v>
      </c>
      <c r="K34" s="204">
        <f t="shared" si="2"/>
        <v>0</v>
      </c>
    </row>
    <row r="35" spans="1:11" x14ac:dyDescent="0.2">
      <c r="A35" s="202" t="s">
        <v>1263</v>
      </c>
      <c r="B35" s="209" t="s">
        <v>498</v>
      </c>
      <c r="C35" s="209" t="s">
        <v>507</v>
      </c>
      <c r="D35" s="209" t="s">
        <v>1262</v>
      </c>
      <c r="E35" s="209"/>
      <c r="F35" s="215">
        <v>400</v>
      </c>
      <c r="G35" s="203">
        <v>0</v>
      </c>
      <c r="H35" s="215">
        <f t="shared" si="3"/>
        <v>400</v>
      </c>
      <c r="I35" s="203">
        <f t="shared" si="3"/>
        <v>0</v>
      </c>
      <c r="J35" s="216">
        <f t="shared" si="1"/>
        <v>0</v>
      </c>
      <c r="K35" s="204">
        <f t="shared" si="2"/>
        <v>0</v>
      </c>
    </row>
    <row r="36" spans="1:11" x14ac:dyDescent="0.2">
      <c r="A36" s="202" t="s">
        <v>1347</v>
      </c>
      <c r="B36" s="209" t="s">
        <v>498</v>
      </c>
      <c r="C36" s="209" t="s">
        <v>507</v>
      </c>
      <c r="D36" s="209" t="s">
        <v>1262</v>
      </c>
      <c r="E36" s="209" t="s">
        <v>535</v>
      </c>
      <c r="F36" s="215">
        <v>400</v>
      </c>
      <c r="G36" s="203">
        <v>0</v>
      </c>
      <c r="H36" s="215">
        <f t="shared" si="3"/>
        <v>400</v>
      </c>
      <c r="I36" s="203">
        <f t="shared" si="3"/>
        <v>0</v>
      </c>
      <c r="J36" s="216">
        <f t="shared" si="1"/>
        <v>0</v>
      </c>
      <c r="K36" s="204">
        <f t="shared" si="2"/>
        <v>0</v>
      </c>
    </row>
    <row r="37" spans="1:11" ht="22.5" x14ac:dyDescent="0.2">
      <c r="A37" s="202" t="s">
        <v>534</v>
      </c>
      <c r="B37" s="209" t="s">
        <v>498</v>
      </c>
      <c r="C37" s="209" t="s">
        <v>507</v>
      </c>
      <c r="D37" s="209" t="s">
        <v>1262</v>
      </c>
      <c r="E37" s="209" t="s">
        <v>529</v>
      </c>
      <c r="F37" s="215">
        <v>400</v>
      </c>
      <c r="G37" s="203">
        <v>0</v>
      </c>
      <c r="H37" s="215">
        <f>'Ведомственная 2020'!H26</f>
        <v>400</v>
      </c>
      <c r="I37" s="203">
        <v>0</v>
      </c>
      <c r="J37" s="216">
        <f t="shared" si="1"/>
        <v>0</v>
      </c>
      <c r="K37" s="204">
        <f t="shared" si="2"/>
        <v>0</v>
      </c>
    </row>
    <row r="38" spans="1:11" ht="33.75" x14ac:dyDescent="0.2">
      <c r="A38" s="202" t="s">
        <v>1261</v>
      </c>
      <c r="B38" s="209" t="s">
        <v>498</v>
      </c>
      <c r="C38" s="209" t="s">
        <v>507</v>
      </c>
      <c r="D38" s="209" t="s">
        <v>1260</v>
      </c>
      <c r="E38" s="209"/>
      <c r="F38" s="215">
        <v>4352</v>
      </c>
      <c r="G38" s="203">
        <v>4277</v>
      </c>
      <c r="H38" s="215">
        <f>H39+H44</f>
        <v>4352</v>
      </c>
      <c r="I38" s="203">
        <f>I39+I44</f>
        <v>4277</v>
      </c>
      <c r="J38" s="216">
        <f t="shared" si="1"/>
        <v>0</v>
      </c>
      <c r="K38" s="204">
        <f t="shared" si="2"/>
        <v>0</v>
      </c>
    </row>
    <row r="39" spans="1:11" ht="33.75" x14ac:dyDescent="0.2">
      <c r="A39" s="202" t="s">
        <v>1259</v>
      </c>
      <c r="B39" s="209" t="s">
        <v>498</v>
      </c>
      <c r="C39" s="209" t="s">
        <v>507</v>
      </c>
      <c r="D39" s="209" t="s">
        <v>1258</v>
      </c>
      <c r="E39" s="209"/>
      <c r="F39" s="215">
        <v>4277</v>
      </c>
      <c r="G39" s="203">
        <v>4277</v>
      </c>
      <c r="H39" s="215">
        <f>H40+H42</f>
        <v>4277</v>
      </c>
      <c r="I39" s="203">
        <f>I40+I42</f>
        <v>4277</v>
      </c>
      <c r="J39" s="216">
        <f t="shared" si="1"/>
        <v>0</v>
      </c>
      <c r="K39" s="204">
        <f t="shared" si="2"/>
        <v>0</v>
      </c>
    </row>
    <row r="40" spans="1:11" ht="33.75" x14ac:dyDescent="0.2">
      <c r="A40" s="202" t="s">
        <v>1348</v>
      </c>
      <c r="B40" s="209" t="s">
        <v>498</v>
      </c>
      <c r="C40" s="209" t="s">
        <v>507</v>
      </c>
      <c r="D40" s="209" t="s">
        <v>1258</v>
      </c>
      <c r="E40" s="209" t="s">
        <v>556</v>
      </c>
      <c r="F40" s="215">
        <v>3977</v>
      </c>
      <c r="G40" s="203">
        <v>3977</v>
      </c>
      <c r="H40" s="215">
        <f>H41</f>
        <v>3977</v>
      </c>
      <c r="I40" s="203">
        <f>I41</f>
        <v>3977</v>
      </c>
      <c r="J40" s="216">
        <f t="shared" si="1"/>
        <v>0</v>
      </c>
      <c r="K40" s="204">
        <f t="shared" si="2"/>
        <v>0</v>
      </c>
    </row>
    <row r="41" spans="1:11" x14ac:dyDescent="0.2">
      <c r="A41" s="202" t="s">
        <v>749</v>
      </c>
      <c r="B41" s="209" t="s">
        <v>498</v>
      </c>
      <c r="C41" s="209" t="s">
        <v>507</v>
      </c>
      <c r="D41" s="209" t="s">
        <v>1258</v>
      </c>
      <c r="E41" s="209" t="s">
        <v>745</v>
      </c>
      <c r="F41" s="215">
        <v>3977</v>
      </c>
      <c r="G41" s="203">
        <v>3977</v>
      </c>
      <c r="H41" s="215">
        <f>'Ведомственная 2020'!H30</f>
        <v>3977</v>
      </c>
      <c r="I41" s="203">
        <f>H41</f>
        <v>3977</v>
      </c>
      <c r="J41" s="216">
        <f t="shared" si="1"/>
        <v>0</v>
      </c>
      <c r="K41" s="204">
        <f t="shared" si="2"/>
        <v>0</v>
      </c>
    </row>
    <row r="42" spans="1:11" s="404" customFormat="1" x14ac:dyDescent="0.2">
      <c r="A42" s="202" t="s">
        <v>1347</v>
      </c>
      <c r="B42" s="209" t="s">
        <v>498</v>
      </c>
      <c r="C42" s="209" t="s">
        <v>507</v>
      </c>
      <c r="D42" s="209" t="s">
        <v>1258</v>
      </c>
      <c r="E42" s="209">
        <v>200</v>
      </c>
      <c r="F42" s="215">
        <v>300</v>
      </c>
      <c r="G42" s="203">
        <v>300</v>
      </c>
      <c r="H42" s="215">
        <f>H43</f>
        <v>300</v>
      </c>
      <c r="I42" s="203">
        <f>I43</f>
        <v>300</v>
      </c>
      <c r="J42" s="216">
        <f t="shared" ref="J42:J43" si="4">H42-F42</f>
        <v>0</v>
      </c>
      <c r="K42" s="204">
        <f t="shared" ref="K42:K43" si="5">I42-G42</f>
        <v>0</v>
      </c>
    </row>
    <row r="43" spans="1:11" s="404" customFormat="1" ht="22.5" x14ac:dyDescent="0.2">
      <c r="A43" s="202" t="s">
        <v>534</v>
      </c>
      <c r="B43" s="209" t="s">
        <v>498</v>
      </c>
      <c r="C43" s="209" t="s">
        <v>507</v>
      </c>
      <c r="D43" s="209" t="s">
        <v>1258</v>
      </c>
      <c r="E43" s="209">
        <v>240</v>
      </c>
      <c r="F43" s="215">
        <v>300</v>
      </c>
      <c r="G43" s="203">
        <v>300</v>
      </c>
      <c r="H43" s="215">
        <f>'Ведомственная 2020'!H32</f>
        <v>300</v>
      </c>
      <c r="I43" s="203">
        <f>H43</f>
        <v>300</v>
      </c>
      <c r="J43" s="216">
        <f t="shared" si="4"/>
        <v>0</v>
      </c>
      <c r="K43" s="204">
        <f t="shared" si="5"/>
        <v>0</v>
      </c>
    </row>
    <row r="44" spans="1:11" ht="33.75" x14ac:dyDescent="0.2">
      <c r="A44" s="202" t="s">
        <v>1257</v>
      </c>
      <c r="B44" s="209" t="s">
        <v>498</v>
      </c>
      <c r="C44" s="209" t="s">
        <v>507</v>
      </c>
      <c r="D44" s="209" t="s">
        <v>1256</v>
      </c>
      <c r="E44" s="209"/>
      <c r="F44" s="215">
        <v>75</v>
      </c>
      <c r="G44" s="203">
        <v>0</v>
      </c>
      <c r="H44" s="215">
        <f>H45</f>
        <v>75</v>
      </c>
      <c r="I44" s="203">
        <f>I45</f>
        <v>0</v>
      </c>
      <c r="J44" s="216">
        <f t="shared" si="1"/>
        <v>0</v>
      </c>
      <c r="K44" s="204">
        <f t="shared" si="2"/>
        <v>0</v>
      </c>
    </row>
    <row r="45" spans="1:11" x14ac:dyDescent="0.2">
      <c r="A45" s="202" t="s">
        <v>1347</v>
      </c>
      <c r="B45" s="209" t="s">
        <v>498</v>
      </c>
      <c r="C45" s="209" t="s">
        <v>507</v>
      </c>
      <c r="D45" s="209" t="s">
        <v>1256</v>
      </c>
      <c r="E45" s="209" t="s">
        <v>535</v>
      </c>
      <c r="F45" s="215">
        <v>75</v>
      </c>
      <c r="G45" s="203">
        <v>0</v>
      </c>
      <c r="H45" s="215">
        <f>H46</f>
        <v>75</v>
      </c>
      <c r="I45" s="203">
        <f>I46</f>
        <v>0</v>
      </c>
      <c r="J45" s="216">
        <f t="shared" si="1"/>
        <v>0</v>
      </c>
      <c r="K45" s="204">
        <f t="shared" si="2"/>
        <v>0</v>
      </c>
    </row>
    <row r="46" spans="1:11" ht="22.5" x14ac:dyDescent="0.2">
      <c r="A46" s="202" t="s">
        <v>534</v>
      </c>
      <c r="B46" s="209" t="s">
        <v>498</v>
      </c>
      <c r="C46" s="209" t="s">
        <v>507</v>
      </c>
      <c r="D46" s="209" t="s">
        <v>1256</v>
      </c>
      <c r="E46" s="209" t="s">
        <v>529</v>
      </c>
      <c r="F46" s="215">
        <v>75</v>
      </c>
      <c r="G46" s="203">
        <v>0</v>
      </c>
      <c r="H46" s="215">
        <f>'Ведомственная 2020'!H35</f>
        <v>75</v>
      </c>
      <c r="I46" s="203">
        <v>0</v>
      </c>
      <c r="J46" s="216">
        <f t="shared" si="1"/>
        <v>0</v>
      </c>
      <c r="K46" s="204">
        <f t="shared" si="2"/>
        <v>0</v>
      </c>
    </row>
    <row r="47" spans="1:11" x14ac:dyDescent="0.2">
      <c r="A47" s="202" t="s">
        <v>666</v>
      </c>
      <c r="B47" s="209" t="s">
        <v>498</v>
      </c>
      <c r="C47" s="209" t="s">
        <v>507</v>
      </c>
      <c r="D47" s="209" t="s">
        <v>665</v>
      </c>
      <c r="E47" s="209"/>
      <c r="F47" s="215">
        <v>10805</v>
      </c>
      <c r="G47" s="203">
        <v>10805</v>
      </c>
      <c r="H47" s="215">
        <f t="shared" ref="H47:I49" si="6">H48</f>
        <v>11883.000000000002</v>
      </c>
      <c r="I47" s="203">
        <f t="shared" si="6"/>
        <v>11883.000000000002</v>
      </c>
      <c r="J47" s="216">
        <f t="shared" si="1"/>
        <v>1078.0000000000018</v>
      </c>
      <c r="K47" s="204">
        <f t="shared" si="2"/>
        <v>1078.0000000000018</v>
      </c>
    </row>
    <row r="48" spans="1:11" x14ac:dyDescent="0.2">
      <c r="A48" s="202" t="s">
        <v>688</v>
      </c>
      <c r="B48" s="209" t="s">
        <v>498</v>
      </c>
      <c r="C48" s="209" t="s">
        <v>507</v>
      </c>
      <c r="D48" s="209" t="s">
        <v>687</v>
      </c>
      <c r="E48" s="209"/>
      <c r="F48" s="215">
        <v>10805</v>
      </c>
      <c r="G48" s="203">
        <v>10805</v>
      </c>
      <c r="H48" s="215">
        <f t="shared" si="6"/>
        <v>11883.000000000002</v>
      </c>
      <c r="I48" s="203">
        <f t="shared" si="6"/>
        <v>11883.000000000002</v>
      </c>
      <c r="J48" s="216">
        <f t="shared" si="1"/>
        <v>1078.0000000000018</v>
      </c>
      <c r="K48" s="204">
        <f t="shared" si="2"/>
        <v>1078.0000000000018</v>
      </c>
    </row>
    <row r="49" spans="1:11" ht="33.75" x14ac:dyDescent="0.2">
      <c r="A49" s="202" t="s">
        <v>708</v>
      </c>
      <c r="B49" s="209" t="s">
        <v>498</v>
      </c>
      <c r="C49" s="209" t="s">
        <v>507</v>
      </c>
      <c r="D49" s="209" t="s">
        <v>707</v>
      </c>
      <c r="E49" s="209"/>
      <c r="F49" s="215">
        <v>10805</v>
      </c>
      <c r="G49" s="203">
        <v>10805</v>
      </c>
      <c r="H49" s="215">
        <f t="shared" si="6"/>
        <v>11883.000000000002</v>
      </c>
      <c r="I49" s="203">
        <f t="shared" si="6"/>
        <v>11883.000000000002</v>
      </c>
      <c r="J49" s="216">
        <f t="shared" si="1"/>
        <v>1078.0000000000018</v>
      </c>
      <c r="K49" s="204">
        <f t="shared" si="2"/>
        <v>1078.0000000000018</v>
      </c>
    </row>
    <row r="50" spans="1:11" ht="33.75" x14ac:dyDescent="0.2">
      <c r="A50" s="202" t="s">
        <v>1255</v>
      </c>
      <c r="B50" s="209" t="s">
        <v>498</v>
      </c>
      <c r="C50" s="209" t="s">
        <v>507</v>
      </c>
      <c r="D50" s="209" t="s">
        <v>1254</v>
      </c>
      <c r="E50" s="209"/>
      <c r="F50" s="215">
        <v>10805</v>
      </c>
      <c r="G50" s="203">
        <v>10805</v>
      </c>
      <c r="H50" s="215">
        <f>H51+H53</f>
        <v>11883.000000000002</v>
      </c>
      <c r="I50" s="203">
        <f>I51+I53</f>
        <v>11883.000000000002</v>
      </c>
      <c r="J50" s="216">
        <f t="shared" si="1"/>
        <v>1078.0000000000018</v>
      </c>
      <c r="K50" s="204">
        <f t="shared" si="2"/>
        <v>1078.0000000000018</v>
      </c>
    </row>
    <row r="51" spans="1:11" ht="33.75" x14ac:dyDescent="0.2">
      <c r="A51" s="202" t="s">
        <v>1348</v>
      </c>
      <c r="B51" s="209" t="s">
        <v>498</v>
      </c>
      <c r="C51" s="209" t="s">
        <v>507</v>
      </c>
      <c r="D51" s="209" t="s">
        <v>1254</v>
      </c>
      <c r="E51" s="209" t="s">
        <v>556</v>
      </c>
      <c r="F51" s="215">
        <v>10627</v>
      </c>
      <c r="G51" s="203">
        <v>10627</v>
      </c>
      <c r="H51" s="215">
        <f>H52</f>
        <v>11742.400000000001</v>
      </c>
      <c r="I51" s="203">
        <f>I52</f>
        <v>11742.400000000001</v>
      </c>
      <c r="J51" s="216">
        <f t="shared" si="1"/>
        <v>1115.4000000000015</v>
      </c>
      <c r="K51" s="204">
        <f t="shared" si="2"/>
        <v>1115.4000000000015</v>
      </c>
    </row>
    <row r="52" spans="1:11" x14ac:dyDescent="0.2">
      <c r="A52" s="202" t="s">
        <v>749</v>
      </c>
      <c r="B52" s="209" t="s">
        <v>498</v>
      </c>
      <c r="C52" s="209" t="s">
        <v>507</v>
      </c>
      <c r="D52" s="209" t="s">
        <v>1254</v>
      </c>
      <c r="E52" s="209" t="s">
        <v>745</v>
      </c>
      <c r="F52" s="215">
        <v>10627</v>
      </c>
      <c r="G52" s="203">
        <v>10627</v>
      </c>
      <c r="H52" s="215">
        <f>'Ведомственная 2020'!H41</f>
        <v>11742.400000000001</v>
      </c>
      <c r="I52" s="203">
        <f>H52</f>
        <v>11742.400000000001</v>
      </c>
      <c r="J52" s="216">
        <f t="shared" si="1"/>
        <v>1115.4000000000015</v>
      </c>
      <c r="K52" s="204">
        <f t="shared" si="2"/>
        <v>1115.4000000000015</v>
      </c>
    </row>
    <row r="53" spans="1:11" x14ac:dyDescent="0.2">
      <c r="A53" s="202" t="s">
        <v>1347</v>
      </c>
      <c r="B53" s="209" t="s">
        <v>498</v>
      </c>
      <c r="C53" s="209" t="s">
        <v>507</v>
      </c>
      <c r="D53" s="209" t="s">
        <v>1254</v>
      </c>
      <c r="E53" s="209" t="s">
        <v>535</v>
      </c>
      <c r="F53" s="215">
        <v>178</v>
      </c>
      <c r="G53" s="203">
        <v>178</v>
      </c>
      <c r="H53" s="215">
        <f>H54</f>
        <v>140.6</v>
      </c>
      <c r="I53" s="203">
        <f>I54</f>
        <v>140.6</v>
      </c>
      <c r="J53" s="216">
        <f t="shared" si="1"/>
        <v>-37.400000000000006</v>
      </c>
      <c r="K53" s="204">
        <f t="shared" si="2"/>
        <v>-37.400000000000006</v>
      </c>
    </row>
    <row r="54" spans="1:11" ht="22.5" x14ac:dyDescent="0.2">
      <c r="A54" s="202" t="s">
        <v>534</v>
      </c>
      <c r="B54" s="209" t="s">
        <v>498</v>
      </c>
      <c r="C54" s="209" t="s">
        <v>507</v>
      </c>
      <c r="D54" s="209" t="s">
        <v>1254</v>
      </c>
      <c r="E54" s="209" t="s">
        <v>529</v>
      </c>
      <c r="F54" s="215">
        <v>178</v>
      </c>
      <c r="G54" s="203">
        <v>178</v>
      </c>
      <c r="H54" s="215">
        <f>'Ведомственная 2020'!H43</f>
        <v>140.6</v>
      </c>
      <c r="I54" s="203">
        <f>H54</f>
        <v>140.6</v>
      </c>
      <c r="J54" s="216">
        <f t="shared" si="1"/>
        <v>-37.400000000000006</v>
      </c>
      <c r="K54" s="204">
        <f t="shared" si="2"/>
        <v>-37.400000000000006</v>
      </c>
    </row>
    <row r="55" spans="1:11" x14ac:dyDescent="0.2">
      <c r="A55" s="202" t="s">
        <v>568</v>
      </c>
      <c r="B55" s="209" t="s">
        <v>498</v>
      </c>
      <c r="C55" s="209" t="s">
        <v>507</v>
      </c>
      <c r="D55" s="209" t="s">
        <v>567</v>
      </c>
      <c r="E55" s="209"/>
      <c r="F55" s="215">
        <v>10658</v>
      </c>
      <c r="G55" s="203">
        <v>10658</v>
      </c>
      <c r="H55" s="215">
        <f t="shared" ref="H55:I57" si="7">H56</f>
        <v>10658</v>
      </c>
      <c r="I55" s="203">
        <f t="shared" si="7"/>
        <v>10658</v>
      </c>
      <c r="J55" s="216">
        <f t="shared" si="1"/>
        <v>0</v>
      </c>
      <c r="K55" s="204">
        <f t="shared" si="2"/>
        <v>0</v>
      </c>
    </row>
    <row r="56" spans="1:11" x14ac:dyDescent="0.2">
      <c r="A56" s="202" t="s">
        <v>855</v>
      </c>
      <c r="B56" s="209" t="s">
        <v>498</v>
      </c>
      <c r="C56" s="209" t="s">
        <v>507</v>
      </c>
      <c r="D56" s="209" t="s">
        <v>854</v>
      </c>
      <c r="E56" s="209"/>
      <c r="F56" s="215">
        <v>10658</v>
      </c>
      <c r="G56" s="203">
        <v>10658</v>
      </c>
      <c r="H56" s="215">
        <f t="shared" si="7"/>
        <v>10658</v>
      </c>
      <c r="I56" s="203">
        <f t="shared" si="7"/>
        <v>10658</v>
      </c>
      <c r="J56" s="216">
        <f t="shared" si="1"/>
        <v>0</v>
      </c>
      <c r="K56" s="204">
        <f t="shared" si="2"/>
        <v>0</v>
      </c>
    </row>
    <row r="57" spans="1:11" ht="33.75" x14ac:dyDescent="0.2">
      <c r="A57" s="202" t="s">
        <v>853</v>
      </c>
      <c r="B57" s="209" t="s">
        <v>498</v>
      </c>
      <c r="C57" s="209" t="s">
        <v>507</v>
      </c>
      <c r="D57" s="209" t="s">
        <v>852</v>
      </c>
      <c r="E57" s="209"/>
      <c r="F57" s="215">
        <v>10658</v>
      </c>
      <c r="G57" s="203">
        <v>10658</v>
      </c>
      <c r="H57" s="215">
        <f t="shared" si="7"/>
        <v>10658</v>
      </c>
      <c r="I57" s="203">
        <f t="shared" si="7"/>
        <v>10658</v>
      </c>
      <c r="J57" s="216">
        <f t="shared" si="1"/>
        <v>0</v>
      </c>
      <c r="K57" s="204">
        <f t="shared" si="2"/>
        <v>0</v>
      </c>
    </row>
    <row r="58" spans="1:11" ht="22.5" x14ac:dyDescent="0.2">
      <c r="A58" s="202" t="s">
        <v>1253</v>
      </c>
      <c r="B58" s="209" t="s">
        <v>498</v>
      </c>
      <c r="C58" s="209" t="s">
        <v>507</v>
      </c>
      <c r="D58" s="209" t="s">
        <v>1252</v>
      </c>
      <c r="E58" s="209"/>
      <c r="F58" s="215">
        <v>10658</v>
      </c>
      <c r="G58" s="203">
        <v>10658</v>
      </c>
      <c r="H58" s="215">
        <f>H59+H61</f>
        <v>10658</v>
      </c>
      <c r="I58" s="203">
        <f>I59+I61</f>
        <v>10658</v>
      </c>
      <c r="J58" s="216">
        <f t="shared" si="1"/>
        <v>0</v>
      </c>
      <c r="K58" s="204">
        <f t="shared" si="2"/>
        <v>0</v>
      </c>
    </row>
    <row r="59" spans="1:11" ht="33.75" x14ac:dyDescent="0.2">
      <c r="A59" s="202" t="s">
        <v>1348</v>
      </c>
      <c r="B59" s="209" t="s">
        <v>498</v>
      </c>
      <c r="C59" s="209" t="s">
        <v>507</v>
      </c>
      <c r="D59" s="209" t="s">
        <v>1252</v>
      </c>
      <c r="E59" s="209" t="s">
        <v>556</v>
      </c>
      <c r="F59" s="215">
        <v>9543.4</v>
      </c>
      <c r="G59" s="203">
        <v>9543.4</v>
      </c>
      <c r="H59" s="215">
        <f>H60</f>
        <v>9543.4</v>
      </c>
      <c r="I59" s="203">
        <f>I60</f>
        <v>9543.4</v>
      </c>
      <c r="J59" s="216">
        <f t="shared" si="1"/>
        <v>0</v>
      </c>
      <c r="K59" s="204">
        <f t="shared" si="2"/>
        <v>0</v>
      </c>
    </row>
    <row r="60" spans="1:11" x14ac:dyDescent="0.2">
      <c r="A60" s="202" t="s">
        <v>749</v>
      </c>
      <c r="B60" s="209" t="s">
        <v>498</v>
      </c>
      <c r="C60" s="209" t="s">
        <v>507</v>
      </c>
      <c r="D60" s="209" t="s">
        <v>1252</v>
      </c>
      <c r="E60" s="209" t="s">
        <v>745</v>
      </c>
      <c r="F60" s="215">
        <v>9543.4</v>
      </c>
      <c r="G60" s="203">
        <v>9543.4</v>
      </c>
      <c r="H60" s="215">
        <f>'Ведомственная 2020'!H49</f>
        <v>9543.4</v>
      </c>
      <c r="I60" s="203">
        <f>H60</f>
        <v>9543.4</v>
      </c>
      <c r="J60" s="216">
        <f t="shared" si="1"/>
        <v>0</v>
      </c>
      <c r="K60" s="204">
        <f t="shared" si="2"/>
        <v>0</v>
      </c>
    </row>
    <row r="61" spans="1:11" x14ac:dyDescent="0.2">
      <c r="A61" s="202" t="s">
        <v>1347</v>
      </c>
      <c r="B61" s="209" t="s">
        <v>498</v>
      </c>
      <c r="C61" s="209" t="s">
        <v>507</v>
      </c>
      <c r="D61" s="209" t="s">
        <v>1252</v>
      </c>
      <c r="E61" s="209" t="s">
        <v>535</v>
      </c>
      <c r="F61" s="215">
        <v>1114.5999999999999</v>
      </c>
      <c r="G61" s="203">
        <v>1114.5999999999999</v>
      </c>
      <c r="H61" s="215">
        <f>H62</f>
        <v>1114.5999999999999</v>
      </c>
      <c r="I61" s="203">
        <f>I62</f>
        <v>1114.5999999999999</v>
      </c>
      <c r="J61" s="216">
        <f t="shared" si="1"/>
        <v>0</v>
      </c>
      <c r="K61" s="204">
        <f t="shared" si="2"/>
        <v>0</v>
      </c>
    </row>
    <row r="62" spans="1:11" ht="22.5" x14ac:dyDescent="0.2">
      <c r="A62" s="202" t="s">
        <v>534</v>
      </c>
      <c r="B62" s="209" t="s">
        <v>498</v>
      </c>
      <c r="C62" s="209" t="s">
        <v>507</v>
      </c>
      <c r="D62" s="209" t="s">
        <v>1252</v>
      </c>
      <c r="E62" s="209" t="s">
        <v>529</v>
      </c>
      <c r="F62" s="215">
        <v>1114.5999999999999</v>
      </c>
      <c r="G62" s="203">
        <v>1114.5999999999999</v>
      </c>
      <c r="H62" s="215">
        <f>'Ведомственная 2020'!H51</f>
        <v>1114.5999999999999</v>
      </c>
      <c r="I62" s="203">
        <f>H62</f>
        <v>1114.5999999999999</v>
      </c>
      <c r="J62" s="216">
        <f t="shared" si="1"/>
        <v>0</v>
      </c>
      <c r="K62" s="204">
        <f t="shared" si="2"/>
        <v>0</v>
      </c>
    </row>
    <row r="63" spans="1:11" x14ac:dyDescent="0.2">
      <c r="A63" s="202" t="s">
        <v>1145</v>
      </c>
      <c r="B63" s="209" t="s">
        <v>498</v>
      </c>
      <c r="C63" s="209" t="s">
        <v>507</v>
      </c>
      <c r="D63" s="209" t="s">
        <v>1144</v>
      </c>
      <c r="E63" s="209"/>
      <c r="F63" s="215">
        <v>1283</v>
      </c>
      <c r="G63" s="203">
        <v>1283</v>
      </c>
      <c r="H63" s="215">
        <f t="shared" ref="H63:I65" si="8">H64</f>
        <v>1283</v>
      </c>
      <c r="I63" s="203">
        <f t="shared" si="8"/>
        <v>1283</v>
      </c>
      <c r="J63" s="216">
        <f t="shared" si="1"/>
        <v>0</v>
      </c>
      <c r="K63" s="204">
        <f t="shared" si="2"/>
        <v>0</v>
      </c>
    </row>
    <row r="64" spans="1:11" x14ac:dyDescent="0.2">
      <c r="A64" s="202" t="s">
        <v>1137</v>
      </c>
      <c r="B64" s="209" t="s">
        <v>498</v>
      </c>
      <c r="C64" s="209" t="s">
        <v>507</v>
      </c>
      <c r="D64" s="209" t="s">
        <v>1136</v>
      </c>
      <c r="E64" s="209"/>
      <c r="F64" s="215">
        <v>1283</v>
      </c>
      <c r="G64" s="203">
        <v>1283</v>
      </c>
      <c r="H64" s="215">
        <f t="shared" si="8"/>
        <v>1283</v>
      </c>
      <c r="I64" s="203">
        <f t="shared" si="8"/>
        <v>1283</v>
      </c>
      <c r="J64" s="216">
        <f t="shared" si="1"/>
        <v>0</v>
      </c>
      <c r="K64" s="204">
        <f t="shared" si="2"/>
        <v>0</v>
      </c>
    </row>
    <row r="65" spans="1:11" ht="33.75" x14ac:dyDescent="0.2">
      <c r="A65" s="202" t="s">
        <v>1135</v>
      </c>
      <c r="B65" s="209" t="s">
        <v>498</v>
      </c>
      <c r="C65" s="209" t="s">
        <v>507</v>
      </c>
      <c r="D65" s="209" t="s">
        <v>1134</v>
      </c>
      <c r="E65" s="209"/>
      <c r="F65" s="215">
        <v>1283</v>
      </c>
      <c r="G65" s="203">
        <v>1283</v>
      </c>
      <c r="H65" s="215">
        <f t="shared" si="8"/>
        <v>1283</v>
      </c>
      <c r="I65" s="203">
        <f t="shared" si="8"/>
        <v>1283</v>
      </c>
      <c r="J65" s="216">
        <f t="shared" si="1"/>
        <v>0</v>
      </c>
      <c r="K65" s="204">
        <f t="shared" si="2"/>
        <v>0</v>
      </c>
    </row>
    <row r="66" spans="1:11" ht="22.5" x14ac:dyDescent="0.2">
      <c r="A66" s="202" t="s">
        <v>1606</v>
      </c>
      <c r="B66" s="209" t="s">
        <v>498</v>
      </c>
      <c r="C66" s="209" t="s">
        <v>507</v>
      </c>
      <c r="D66" s="209" t="s">
        <v>1133</v>
      </c>
      <c r="E66" s="209"/>
      <c r="F66" s="215">
        <v>1283</v>
      </c>
      <c r="G66" s="203">
        <v>1283</v>
      </c>
      <c r="H66" s="215">
        <f>H67+H69</f>
        <v>1283</v>
      </c>
      <c r="I66" s="203">
        <f>I67+I69</f>
        <v>1283</v>
      </c>
      <c r="J66" s="216">
        <f t="shared" si="1"/>
        <v>0</v>
      </c>
      <c r="K66" s="204">
        <f t="shared" si="2"/>
        <v>0</v>
      </c>
    </row>
    <row r="67" spans="1:11" ht="33.75" x14ac:dyDescent="0.2">
      <c r="A67" s="202" t="s">
        <v>1348</v>
      </c>
      <c r="B67" s="209" t="s">
        <v>498</v>
      </c>
      <c r="C67" s="209" t="s">
        <v>507</v>
      </c>
      <c r="D67" s="209" t="s">
        <v>1133</v>
      </c>
      <c r="E67" s="209" t="s">
        <v>556</v>
      </c>
      <c r="F67" s="215">
        <v>1069.2</v>
      </c>
      <c r="G67" s="203">
        <v>1069.2</v>
      </c>
      <c r="H67" s="215">
        <f>H68</f>
        <v>1069.2</v>
      </c>
      <c r="I67" s="203">
        <f>I68</f>
        <v>1069.2</v>
      </c>
      <c r="J67" s="216">
        <f t="shared" si="1"/>
        <v>0</v>
      </c>
      <c r="K67" s="204">
        <f t="shared" si="2"/>
        <v>0</v>
      </c>
    </row>
    <row r="68" spans="1:11" x14ac:dyDescent="0.2">
      <c r="A68" s="202" t="s">
        <v>749</v>
      </c>
      <c r="B68" s="209" t="s">
        <v>498</v>
      </c>
      <c r="C68" s="209" t="s">
        <v>507</v>
      </c>
      <c r="D68" s="209" t="s">
        <v>1133</v>
      </c>
      <c r="E68" s="209" t="s">
        <v>745</v>
      </c>
      <c r="F68" s="215">
        <v>1069.2</v>
      </c>
      <c r="G68" s="203">
        <v>1069.2</v>
      </c>
      <c r="H68" s="215">
        <f>'Ведомственная 2020'!H57</f>
        <v>1069.2</v>
      </c>
      <c r="I68" s="203">
        <f>H68</f>
        <v>1069.2</v>
      </c>
      <c r="J68" s="216">
        <f t="shared" si="1"/>
        <v>0</v>
      </c>
      <c r="K68" s="204">
        <f t="shared" si="2"/>
        <v>0</v>
      </c>
    </row>
    <row r="69" spans="1:11" x14ac:dyDescent="0.2">
      <c r="A69" s="202" t="s">
        <v>1347</v>
      </c>
      <c r="B69" s="209" t="s">
        <v>498</v>
      </c>
      <c r="C69" s="209" t="s">
        <v>507</v>
      </c>
      <c r="D69" s="209" t="s">
        <v>1133</v>
      </c>
      <c r="E69" s="209" t="s">
        <v>535</v>
      </c>
      <c r="F69" s="215">
        <v>213.8</v>
      </c>
      <c r="G69" s="203">
        <v>213.8</v>
      </c>
      <c r="H69" s="215">
        <f>H70</f>
        <v>213.8</v>
      </c>
      <c r="I69" s="203">
        <f>I70</f>
        <v>213.8</v>
      </c>
      <c r="J69" s="216">
        <f t="shared" si="1"/>
        <v>0</v>
      </c>
      <c r="K69" s="204">
        <f t="shared" si="2"/>
        <v>0</v>
      </c>
    </row>
    <row r="70" spans="1:11" ht="22.5" x14ac:dyDescent="0.2">
      <c r="A70" s="202" t="s">
        <v>534</v>
      </c>
      <c r="B70" s="209" t="s">
        <v>498</v>
      </c>
      <c r="C70" s="209" t="s">
        <v>507</v>
      </c>
      <c r="D70" s="209" t="s">
        <v>1133</v>
      </c>
      <c r="E70" s="209" t="s">
        <v>529</v>
      </c>
      <c r="F70" s="215">
        <v>213.8</v>
      </c>
      <c r="G70" s="203">
        <v>213.8</v>
      </c>
      <c r="H70" s="215">
        <f>'Ведомственная 2020'!H59</f>
        <v>213.8</v>
      </c>
      <c r="I70" s="203">
        <f>H70</f>
        <v>213.8</v>
      </c>
      <c r="J70" s="216">
        <f t="shared" si="1"/>
        <v>0</v>
      </c>
      <c r="K70" s="204">
        <f t="shared" si="2"/>
        <v>0</v>
      </c>
    </row>
    <row r="71" spans="1:11" x14ac:dyDescent="0.2">
      <c r="A71" s="202" t="s">
        <v>839</v>
      </c>
      <c r="B71" s="209" t="s">
        <v>498</v>
      </c>
      <c r="C71" s="209" t="s">
        <v>507</v>
      </c>
      <c r="D71" s="209" t="s">
        <v>838</v>
      </c>
      <c r="E71" s="209"/>
      <c r="F71" s="215">
        <v>3793</v>
      </c>
      <c r="G71" s="203">
        <v>3793</v>
      </c>
      <c r="H71" s="215">
        <f t="shared" ref="H71:I73" si="9">H72</f>
        <v>3793</v>
      </c>
      <c r="I71" s="203">
        <f t="shared" si="9"/>
        <v>3793</v>
      </c>
      <c r="J71" s="216">
        <f t="shared" si="1"/>
        <v>0</v>
      </c>
      <c r="K71" s="204">
        <f t="shared" si="2"/>
        <v>0</v>
      </c>
    </row>
    <row r="72" spans="1:11" ht="22.5" x14ac:dyDescent="0.2">
      <c r="A72" s="202" t="s">
        <v>1251</v>
      </c>
      <c r="B72" s="209" t="s">
        <v>498</v>
      </c>
      <c r="C72" s="209" t="s">
        <v>507</v>
      </c>
      <c r="D72" s="209" t="s">
        <v>1250</v>
      </c>
      <c r="E72" s="209"/>
      <c r="F72" s="215">
        <v>3793</v>
      </c>
      <c r="G72" s="203">
        <v>3793</v>
      </c>
      <c r="H72" s="215">
        <f t="shared" si="9"/>
        <v>3793</v>
      </c>
      <c r="I72" s="203">
        <f t="shared" si="9"/>
        <v>3793</v>
      </c>
      <c r="J72" s="216">
        <f t="shared" si="1"/>
        <v>0</v>
      </c>
      <c r="K72" s="204">
        <f t="shared" si="2"/>
        <v>0</v>
      </c>
    </row>
    <row r="73" spans="1:11" ht="22.5" x14ac:dyDescent="0.2">
      <c r="A73" s="202" t="s">
        <v>1249</v>
      </c>
      <c r="B73" s="209" t="s">
        <v>498</v>
      </c>
      <c r="C73" s="209" t="s">
        <v>507</v>
      </c>
      <c r="D73" s="209" t="s">
        <v>1248</v>
      </c>
      <c r="E73" s="209"/>
      <c r="F73" s="215">
        <v>3793</v>
      </c>
      <c r="G73" s="203">
        <v>3793</v>
      </c>
      <c r="H73" s="215">
        <f t="shared" si="9"/>
        <v>3793</v>
      </c>
      <c r="I73" s="203">
        <f t="shared" si="9"/>
        <v>3793</v>
      </c>
      <c r="J73" s="216">
        <f t="shared" si="1"/>
        <v>0</v>
      </c>
      <c r="K73" s="204">
        <f t="shared" si="2"/>
        <v>0</v>
      </c>
    </row>
    <row r="74" spans="1:11" ht="90" x14ac:dyDescent="0.2">
      <c r="A74" s="202" t="s">
        <v>1247</v>
      </c>
      <c r="B74" s="209" t="s">
        <v>498</v>
      </c>
      <c r="C74" s="209" t="s">
        <v>507</v>
      </c>
      <c r="D74" s="209" t="s">
        <v>1246</v>
      </c>
      <c r="E74" s="209"/>
      <c r="F74" s="215">
        <v>3793</v>
      </c>
      <c r="G74" s="203">
        <v>3793</v>
      </c>
      <c r="H74" s="215">
        <f>H75+H77</f>
        <v>3793</v>
      </c>
      <c r="I74" s="203">
        <f>I75+I77</f>
        <v>3793</v>
      </c>
      <c r="J74" s="216">
        <f t="shared" si="1"/>
        <v>0</v>
      </c>
      <c r="K74" s="204">
        <f t="shared" si="2"/>
        <v>0</v>
      </c>
    </row>
    <row r="75" spans="1:11" ht="33.75" x14ac:dyDescent="0.2">
      <c r="A75" s="202" t="s">
        <v>1348</v>
      </c>
      <c r="B75" s="209" t="s">
        <v>498</v>
      </c>
      <c r="C75" s="209" t="s">
        <v>507</v>
      </c>
      <c r="D75" s="209" t="s">
        <v>1246</v>
      </c>
      <c r="E75" s="209" t="s">
        <v>556</v>
      </c>
      <c r="F75" s="215">
        <v>2977.8</v>
      </c>
      <c r="G75" s="203">
        <v>2977.8</v>
      </c>
      <c r="H75" s="215">
        <f>H76</f>
        <v>2977.8</v>
      </c>
      <c r="I75" s="203">
        <f>I76</f>
        <v>2977.8</v>
      </c>
      <c r="J75" s="216">
        <f t="shared" si="1"/>
        <v>0</v>
      </c>
      <c r="K75" s="204">
        <f t="shared" si="2"/>
        <v>0</v>
      </c>
    </row>
    <row r="76" spans="1:11" x14ac:dyDescent="0.2">
      <c r="A76" s="202" t="s">
        <v>749</v>
      </c>
      <c r="B76" s="209" t="s">
        <v>498</v>
      </c>
      <c r="C76" s="209" t="s">
        <v>507</v>
      </c>
      <c r="D76" s="209" t="s">
        <v>1246</v>
      </c>
      <c r="E76" s="209" t="s">
        <v>745</v>
      </c>
      <c r="F76" s="215">
        <v>2977.8</v>
      </c>
      <c r="G76" s="203">
        <v>2977.8</v>
      </c>
      <c r="H76" s="215">
        <f>'Ведомственная 2020'!H65</f>
        <v>2977.8</v>
      </c>
      <c r="I76" s="203">
        <f>H76</f>
        <v>2977.8</v>
      </c>
      <c r="J76" s="216">
        <f t="shared" si="1"/>
        <v>0</v>
      </c>
      <c r="K76" s="204">
        <f t="shared" si="2"/>
        <v>0</v>
      </c>
    </row>
    <row r="77" spans="1:11" x14ac:dyDescent="0.2">
      <c r="A77" s="202" t="s">
        <v>1347</v>
      </c>
      <c r="B77" s="209" t="s">
        <v>498</v>
      </c>
      <c r="C77" s="209" t="s">
        <v>507</v>
      </c>
      <c r="D77" s="209" t="s">
        <v>1246</v>
      </c>
      <c r="E77" s="209" t="s">
        <v>535</v>
      </c>
      <c r="F77" s="215">
        <v>815.2</v>
      </c>
      <c r="G77" s="203">
        <v>815.2</v>
      </c>
      <c r="H77" s="215">
        <f>H78</f>
        <v>815.2</v>
      </c>
      <c r="I77" s="203">
        <f>I78</f>
        <v>815.2</v>
      </c>
      <c r="J77" s="216">
        <f t="shared" si="1"/>
        <v>0</v>
      </c>
      <c r="K77" s="204">
        <f t="shared" si="2"/>
        <v>0</v>
      </c>
    </row>
    <row r="78" spans="1:11" ht="22.5" x14ac:dyDescent="0.2">
      <c r="A78" s="202" t="s">
        <v>534</v>
      </c>
      <c r="B78" s="209" t="s">
        <v>498</v>
      </c>
      <c r="C78" s="209" t="s">
        <v>507</v>
      </c>
      <c r="D78" s="209" t="s">
        <v>1246</v>
      </c>
      <c r="E78" s="209" t="s">
        <v>529</v>
      </c>
      <c r="F78" s="215">
        <v>815.2</v>
      </c>
      <c r="G78" s="203">
        <v>815.2</v>
      </c>
      <c r="H78" s="215">
        <f>'Ведомственная 2020'!H67</f>
        <v>815.2</v>
      </c>
      <c r="I78" s="203">
        <f>H78</f>
        <v>815.2</v>
      </c>
      <c r="J78" s="216">
        <f t="shared" ref="J78:J157" si="10">H78-F78</f>
        <v>0</v>
      </c>
      <c r="K78" s="204">
        <f t="shared" ref="K78:K157" si="11">I78-G78</f>
        <v>0</v>
      </c>
    </row>
    <row r="79" spans="1:11" s="306" customFormat="1" x14ac:dyDescent="0.2">
      <c r="A79" s="202" t="s">
        <v>943</v>
      </c>
      <c r="B79" s="209" t="s">
        <v>498</v>
      </c>
      <c r="C79" s="209" t="s">
        <v>507</v>
      </c>
      <c r="D79" s="209" t="s">
        <v>942</v>
      </c>
      <c r="E79" s="209"/>
      <c r="F79" s="215">
        <v>631.99999999999989</v>
      </c>
      <c r="G79" s="203">
        <v>631.99999999999989</v>
      </c>
      <c r="H79" s="215">
        <f t="shared" ref="H79:I81" si="12">H80</f>
        <v>631.99999999999989</v>
      </c>
      <c r="I79" s="203">
        <f t="shared" si="12"/>
        <v>631.99999999999989</v>
      </c>
      <c r="J79" s="216">
        <f t="shared" ref="J79:J86" si="13">H79-F79</f>
        <v>0</v>
      </c>
      <c r="K79" s="204">
        <f t="shared" ref="K79:K86" si="14">I79-G79</f>
        <v>0</v>
      </c>
    </row>
    <row r="80" spans="1:11" s="306" customFormat="1" x14ac:dyDescent="0.2">
      <c r="A80" s="202" t="s">
        <v>602</v>
      </c>
      <c r="B80" s="209" t="s">
        <v>498</v>
      </c>
      <c r="C80" s="209" t="s">
        <v>507</v>
      </c>
      <c r="D80" s="209" t="s">
        <v>941</v>
      </c>
      <c r="E80" s="209"/>
      <c r="F80" s="215">
        <v>631.99999999999989</v>
      </c>
      <c r="G80" s="203">
        <v>631.99999999999989</v>
      </c>
      <c r="H80" s="215">
        <f t="shared" si="12"/>
        <v>631.99999999999989</v>
      </c>
      <c r="I80" s="203">
        <f t="shared" si="12"/>
        <v>631.99999999999989</v>
      </c>
      <c r="J80" s="216">
        <f t="shared" si="13"/>
        <v>0</v>
      </c>
      <c r="K80" s="204">
        <f t="shared" si="14"/>
        <v>0</v>
      </c>
    </row>
    <row r="81" spans="1:11" s="306" customFormat="1" ht="22.5" x14ac:dyDescent="0.2">
      <c r="A81" s="202" t="s">
        <v>600</v>
      </c>
      <c r="B81" s="209" t="s">
        <v>498</v>
      </c>
      <c r="C81" s="209" t="s">
        <v>507</v>
      </c>
      <c r="D81" s="209" t="s">
        <v>940</v>
      </c>
      <c r="E81" s="209"/>
      <c r="F81" s="215">
        <v>631.99999999999989</v>
      </c>
      <c r="G81" s="203">
        <v>631.99999999999989</v>
      </c>
      <c r="H81" s="215">
        <f t="shared" si="12"/>
        <v>631.99999999999989</v>
      </c>
      <c r="I81" s="203">
        <f t="shared" si="12"/>
        <v>631.99999999999989</v>
      </c>
      <c r="J81" s="216">
        <f t="shared" si="13"/>
        <v>0</v>
      </c>
      <c r="K81" s="204">
        <f t="shared" si="14"/>
        <v>0</v>
      </c>
    </row>
    <row r="82" spans="1:11" s="306" customFormat="1" ht="22.5" x14ac:dyDescent="0.2">
      <c r="A82" s="202" t="s">
        <v>939</v>
      </c>
      <c r="B82" s="209" t="s">
        <v>498</v>
      </c>
      <c r="C82" s="209" t="s">
        <v>507</v>
      </c>
      <c r="D82" s="209" t="s">
        <v>938</v>
      </c>
      <c r="E82" s="209"/>
      <c r="F82" s="215">
        <v>631.99999999999989</v>
      </c>
      <c r="G82" s="203">
        <v>631.99999999999989</v>
      </c>
      <c r="H82" s="215">
        <f t="shared" ref="H82:I82" si="15">H83+H85</f>
        <v>631.99999999999989</v>
      </c>
      <c r="I82" s="203">
        <f t="shared" si="15"/>
        <v>631.99999999999989</v>
      </c>
      <c r="J82" s="216">
        <f t="shared" si="13"/>
        <v>0</v>
      </c>
      <c r="K82" s="204">
        <f t="shared" si="14"/>
        <v>0</v>
      </c>
    </row>
    <row r="83" spans="1:11" s="306" customFormat="1" ht="33.75" x14ac:dyDescent="0.2">
      <c r="A83" s="202" t="s">
        <v>1348</v>
      </c>
      <c r="B83" s="209" t="s">
        <v>498</v>
      </c>
      <c r="C83" s="209" t="s">
        <v>507</v>
      </c>
      <c r="D83" s="209" t="s">
        <v>938</v>
      </c>
      <c r="E83" s="209" t="s">
        <v>556</v>
      </c>
      <c r="F83" s="215">
        <v>569.89999999999986</v>
      </c>
      <c r="G83" s="203">
        <v>569.89999999999986</v>
      </c>
      <c r="H83" s="215">
        <f t="shared" ref="H83:I83" si="16">H84</f>
        <v>569.89999999999986</v>
      </c>
      <c r="I83" s="203">
        <f t="shared" si="16"/>
        <v>569.89999999999986</v>
      </c>
      <c r="J83" s="216">
        <f t="shared" si="13"/>
        <v>0</v>
      </c>
      <c r="K83" s="204">
        <f t="shared" si="14"/>
        <v>0</v>
      </c>
    </row>
    <row r="84" spans="1:11" s="306" customFormat="1" x14ac:dyDescent="0.2">
      <c r="A84" s="202" t="s">
        <v>749</v>
      </c>
      <c r="B84" s="209" t="s">
        <v>498</v>
      </c>
      <c r="C84" s="209" t="s">
        <v>507</v>
      </c>
      <c r="D84" s="209" t="s">
        <v>938</v>
      </c>
      <c r="E84" s="209" t="s">
        <v>745</v>
      </c>
      <c r="F84" s="215">
        <v>569.89999999999986</v>
      </c>
      <c r="G84" s="203">
        <v>569.89999999999986</v>
      </c>
      <c r="H84" s="215">
        <f>'Ведомственная 2020'!H73</f>
        <v>569.89999999999986</v>
      </c>
      <c r="I84" s="203">
        <f>H84</f>
        <v>569.89999999999986</v>
      </c>
      <c r="J84" s="216">
        <f t="shared" si="13"/>
        <v>0</v>
      </c>
      <c r="K84" s="204">
        <f t="shared" si="14"/>
        <v>0</v>
      </c>
    </row>
    <row r="85" spans="1:11" s="306" customFormat="1" x14ac:dyDescent="0.2">
      <c r="A85" s="202" t="s">
        <v>1347</v>
      </c>
      <c r="B85" s="209" t="s">
        <v>498</v>
      </c>
      <c r="C85" s="209" t="s">
        <v>507</v>
      </c>
      <c r="D85" s="209" t="s">
        <v>938</v>
      </c>
      <c r="E85" s="209" t="s">
        <v>535</v>
      </c>
      <c r="F85" s="215">
        <v>62.1</v>
      </c>
      <c r="G85" s="203">
        <v>62.1</v>
      </c>
      <c r="H85" s="215">
        <f>'Ведомственная 2020'!H75</f>
        <v>62.1</v>
      </c>
      <c r="I85" s="203">
        <f>I86</f>
        <v>62.1</v>
      </c>
      <c r="J85" s="216">
        <f t="shared" si="13"/>
        <v>0</v>
      </c>
      <c r="K85" s="204">
        <f t="shared" si="14"/>
        <v>0</v>
      </c>
    </row>
    <row r="86" spans="1:11" s="306" customFormat="1" ht="22.5" x14ac:dyDescent="0.2">
      <c r="A86" s="202" t="s">
        <v>534</v>
      </c>
      <c r="B86" s="209" t="s">
        <v>498</v>
      </c>
      <c r="C86" s="209" t="s">
        <v>507</v>
      </c>
      <c r="D86" s="209" t="s">
        <v>938</v>
      </c>
      <c r="E86" s="209" t="s">
        <v>529</v>
      </c>
      <c r="F86" s="215">
        <v>62.1</v>
      </c>
      <c r="G86" s="203">
        <v>62.1</v>
      </c>
      <c r="H86" s="215">
        <f>'Ведомственная 2020'!H75</f>
        <v>62.1</v>
      </c>
      <c r="I86" s="203">
        <f>H86</f>
        <v>62.1</v>
      </c>
      <c r="J86" s="216">
        <f t="shared" si="13"/>
        <v>0</v>
      </c>
      <c r="K86" s="204">
        <f t="shared" si="14"/>
        <v>0</v>
      </c>
    </row>
    <row r="87" spans="1:11" x14ac:dyDescent="0.2">
      <c r="A87" s="202" t="s">
        <v>604</v>
      </c>
      <c r="B87" s="209" t="s">
        <v>498</v>
      </c>
      <c r="C87" s="209" t="s">
        <v>507</v>
      </c>
      <c r="D87" s="209" t="s">
        <v>603</v>
      </c>
      <c r="E87" s="209"/>
      <c r="F87" s="215">
        <v>405247.70000000007</v>
      </c>
      <c r="G87" s="203">
        <v>15290</v>
      </c>
      <c r="H87" s="215">
        <f>H88+H95</f>
        <v>405199.70000000007</v>
      </c>
      <c r="I87" s="203">
        <f>I88+I95</f>
        <v>15290</v>
      </c>
      <c r="J87" s="216">
        <f t="shared" si="10"/>
        <v>-48</v>
      </c>
      <c r="K87" s="204">
        <f t="shared" si="11"/>
        <v>0</v>
      </c>
    </row>
    <row r="88" spans="1:11" x14ac:dyDescent="0.2">
      <c r="A88" s="202" t="s">
        <v>1042</v>
      </c>
      <c r="B88" s="209" t="s">
        <v>498</v>
      </c>
      <c r="C88" s="209" t="s">
        <v>507</v>
      </c>
      <c r="D88" s="209" t="s">
        <v>1041</v>
      </c>
      <c r="E88" s="209"/>
      <c r="F88" s="215">
        <v>15290</v>
      </c>
      <c r="G88" s="203">
        <v>15290</v>
      </c>
      <c r="H88" s="215">
        <f t="shared" ref="H88:I91" si="17">H89</f>
        <v>15290</v>
      </c>
      <c r="I88" s="203">
        <f t="shared" si="17"/>
        <v>15290</v>
      </c>
      <c r="J88" s="216">
        <f t="shared" si="10"/>
        <v>0</v>
      </c>
      <c r="K88" s="204">
        <f t="shared" si="11"/>
        <v>0</v>
      </c>
    </row>
    <row r="89" spans="1:11" ht="22.5" x14ac:dyDescent="0.2">
      <c r="A89" s="202" t="s">
        <v>1245</v>
      </c>
      <c r="B89" s="209" t="s">
        <v>498</v>
      </c>
      <c r="C89" s="209" t="s">
        <v>507</v>
      </c>
      <c r="D89" s="209" t="s">
        <v>1244</v>
      </c>
      <c r="E89" s="209"/>
      <c r="F89" s="215">
        <v>15290</v>
      </c>
      <c r="G89" s="203">
        <v>15290</v>
      </c>
      <c r="H89" s="215">
        <f t="shared" si="17"/>
        <v>15290</v>
      </c>
      <c r="I89" s="203">
        <f t="shared" si="17"/>
        <v>15290</v>
      </c>
      <c r="J89" s="216">
        <f t="shared" si="10"/>
        <v>0</v>
      </c>
      <c r="K89" s="204">
        <f t="shared" si="11"/>
        <v>0</v>
      </c>
    </row>
    <row r="90" spans="1:11" ht="22.5" x14ac:dyDescent="0.2">
      <c r="A90" s="202" t="s">
        <v>1243</v>
      </c>
      <c r="B90" s="209" t="s">
        <v>498</v>
      </c>
      <c r="C90" s="209" t="s">
        <v>507</v>
      </c>
      <c r="D90" s="209" t="s">
        <v>1242</v>
      </c>
      <c r="E90" s="209"/>
      <c r="F90" s="215">
        <v>15290</v>
      </c>
      <c r="G90" s="203">
        <v>15290</v>
      </c>
      <c r="H90" s="215">
        <f>H91+H93</f>
        <v>15290</v>
      </c>
      <c r="I90" s="203">
        <f>I91+I93</f>
        <v>15290</v>
      </c>
      <c r="J90" s="216">
        <f t="shared" si="10"/>
        <v>0</v>
      </c>
      <c r="K90" s="204">
        <f t="shared" si="11"/>
        <v>0</v>
      </c>
    </row>
    <row r="91" spans="1:11" ht="33.75" x14ac:dyDescent="0.2">
      <c r="A91" s="202" t="s">
        <v>1348</v>
      </c>
      <c r="B91" s="209" t="s">
        <v>498</v>
      </c>
      <c r="C91" s="209" t="s">
        <v>507</v>
      </c>
      <c r="D91" s="209" t="s">
        <v>1242</v>
      </c>
      <c r="E91" s="209" t="s">
        <v>556</v>
      </c>
      <c r="F91" s="215">
        <v>13080.5</v>
      </c>
      <c r="G91" s="203">
        <v>13080.5</v>
      </c>
      <c r="H91" s="215">
        <f t="shared" si="17"/>
        <v>13080.5</v>
      </c>
      <c r="I91" s="203">
        <f t="shared" si="17"/>
        <v>13080.5</v>
      </c>
      <c r="J91" s="216">
        <f t="shared" si="10"/>
        <v>0</v>
      </c>
      <c r="K91" s="204">
        <f t="shared" si="11"/>
        <v>0</v>
      </c>
    </row>
    <row r="92" spans="1:11" x14ac:dyDescent="0.2">
      <c r="A92" s="202" t="s">
        <v>749</v>
      </c>
      <c r="B92" s="209" t="s">
        <v>498</v>
      </c>
      <c r="C92" s="209" t="s">
        <v>507</v>
      </c>
      <c r="D92" s="209" t="s">
        <v>1242</v>
      </c>
      <c r="E92" s="209" t="s">
        <v>745</v>
      </c>
      <c r="F92" s="215">
        <v>13080.5</v>
      </c>
      <c r="G92" s="203">
        <v>13080.5</v>
      </c>
      <c r="H92" s="215">
        <f>'Ведомственная 2020'!H81</f>
        <v>13080.5</v>
      </c>
      <c r="I92" s="203">
        <f>H92</f>
        <v>13080.5</v>
      </c>
      <c r="J92" s="216">
        <f t="shared" si="10"/>
        <v>0</v>
      </c>
      <c r="K92" s="204">
        <f t="shared" si="11"/>
        <v>0</v>
      </c>
    </row>
    <row r="93" spans="1:11" s="302" customFormat="1" x14ac:dyDescent="0.2">
      <c r="A93" s="202" t="s">
        <v>1347</v>
      </c>
      <c r="B93" s="209" t="s">
        <v>498</v>
      </c>
      <c r="C93" s="209" t="s">
        <v>507</v>
      </c>
      <c r="D93" s="209" t="s">
        <v>1242</v>
      </c>
      <c r="E93" s="209" t="s">
        <v>535</v>
      </c>
      <c r="F93" s="215">
        <v>2209.5</v>
      </c>
      <c r="G93" s="203">
        <v>2209.5</v>
      </c>
      <c r="H93" s="215">
        <f t="shared" ref="H93:I93" si="18">H94</f>
        <v>2209.5</v>
      </c>
      <c r="I93" s="203">
        <f t="shared" si="18"/>
        <v>2209.5</v>
      </c>
      <c r="J93" s="216">
        <f t="shared" ref="J93:J94" si="19">H93-F93</f>
        <v>0</v>
      </c>
      <c r="K93" s="204">
        <f t="shared" ref="K93:K94" si="20">I93-G93</f>
        <v>0</v>
      </c>
    </row>
    <row r="94" spans="1:11" s="302" customFormat="1" ht="22.5" x14ac:dyDescent="0.2">
      <c r="A94" s="202" t="s">
        <v>534</v>
      </c>
      <c r="B94" s="209" t="s">
        <v>498</v>
      </c>
      <c r="C94" s="209" t="s">
        <v>507</v>
      </c>
      <c r="D94" s="209" t="s">
        <v>1242</v>
      </c>
      <c r="E94" s="209" t="s">
        <v>529</v>
      </c>
      <c r="F94" s="215">
        <v>2209.5</v>
      </c>
      <c r="G94" s="203">
        <v>2209.5</v>
      </c>
      <c r="H94" s="215">
        <f>'Ведомственная 2020'!H83</f>
        <v>2209.5</v>
      </c>
      <c r="I94" s="203">
        <f>H94</f>
        <v>2209.5</v>
      </c>
      <c r="J94" s="216">
        <f t="shared" si="19"/>
        <v>0</v>
      </c>
      <c r="K94" s="204">
        <f t="shared" si="20"/>
        <v>0</v>
      </c>
    </row>
    <row r="95" spans="1:11" x14ac:dyDescent="0.2">
      <c r="A95" s="202" t="s">
        <v>602</v>
      </c>
      <c r="B95" s="209" t="s">
        <v>498</v>
      </c>
      <c r="C95" s="209" t="s">
        <v>507</v>
      </c>
      <c r="D95" s="209" t="s">
        <v>601</v>
      </c>
      <c r="E95" s="209"/>
      <c r="F95" s="215">
        <v>389957.70000000007</v>
      </c>
      <c r="G95" s="203">
        <v>0</v>
      </c>
      <c r="H95" s="215">
        <f>H96</f>
        <v>389909.70000000007</v>
      </c>
      <c r="I95" s="203">
        <f>I96</f>
        <v>0</v>
      </c>
      <c r="J95" s="216">
        <f t="shared" si="10"/>
        <v>-48</v>
      </c>
      <c r="K95" s="204">
        <f t="shared" si="11"/>
        <v>0</v>
      </c>
    </row>
    <row r="96" spans="1:11" ht="22.5" x14ac:dyDescent="0.2">
      <c r="A96" s="202" t="s">
        <v>600</v>
      </c>
      <c r="B96" s="209" t="s">
        <v>498</v>
      </c>
      <c r="C96" s="209" t="s">
        <v>507</v>
      </c>
      <c r="D96" s="209" t="s">
        <v>599</v>
      </c>
      <c r="E96" s="209"/>
      <c r="F96" s="215">
        <v>389957.70000000007</v>
      </c>
      <c r="G96" s="203">
        <v>0</v>
      </c>
      <c r="H96" s="215">
        <f>H97</f>
        <v>389909.70000000007</v>
      </c>
      <c r="I96" s="203">
        <f>I97</f>
        <v>0</v>
      </c>
      <c r="J96" s="216">
        <f t="shared" si="10"/>
        <v>-48</v>
      </c>
      <c r="K96" s="204">
        <f t="shared" si="11"/>
        <v>0</v>
      </c>
    </row>
    <row r="97" spans="1:11" x14ac:dyDescent="0.2">
      <c r="A97" s="202" t="s">
        <v>598</v>
      </c>
      <c r="B97" s="209" t="s">
        <v>498</v>
      </c>
      <c r="C97" s="209" t="s">
        <v>507</v>
      </c>
      <c r="D97" s="209" t="s">
        <v>597</v>
      </c>
      <c r="E97" s="209"/>
      <c r="F97" s="215">
        <v>389957.70000000007</v>
      </c>
      <c r="G97" s="203">
        <v>0</v>
      </c>
      <c r="H97" s="215">
        <f>H98+H100+H102</f>
        <v>389909.70000000007</v>
      </c>
      <c r="I97" s="203">
        <f>I98+I100+I102</f>
        <v>0</v>
      </c>
      <c r="J97" s="216">
        <f t="shared" si="10"/>
        <v>-48</v>
      </c>
      <c r="K97" s="204">
        <f t="shared" si="11"/>
        <v>0</v>
      </c>
    </row>
    <row r="98" spans="1:11" ht="33.75" x14ac:dyDescent="0.2">
      <c r="A98" s="202" t="s">
        <v>1348</v>
      </c>
      <c r="B98" s="209" t="s">
        <v>498</v>
      </c>
      <c r="C98" s="209" t="s">
        <v>507</v>
      </c>
      <c r="D98" s="209" t="s">
        <v>597</v>
      </c>
      <c r="E98" s="209" t="s">
        <v>556</v>
      </c>
      <c r="F98" s="215">
        <v>307785.40000000002</v>
      </c>
      <c r="G98" s="203">
        <v>0</v>
      </c>
      <c r="H98" s="215">
        <f>H99</f>
        <v>307785.40000000002</v>
      </c>
      <c r="I98" s="203">
        <f>I99</f>
        <v>0</v>
      </c>
      <c r="J98" s="216">
        <f t="shared" si="10"/>
        <v>0</v>
      </c>
      <c r="K98" s="204">
        <f t="shared" si="11"/>
        <v>0</v>
      </c>
    </row>
    <row r="99" spans="1:11" x14ac:dyDescent="0.2">
      <c r="A99" s="202" t="s">
        <v>749</v>
      </c>
      <c r="B99" s="209" t="s">
        <v>498</v>
      </c>
      <c r="C99" s="209" t="s">
        <v>507</v>
      </c>
      <c r="D99" s="209" t="s">
        <v>597</v>
      </c>
      <c r="E99" s="209" t="s">
        <v>745</v>
      </c>
      <c r="F99" s="215">
        <v>307785.40000000002</v>
      </c>
      <c r="G99" s="203">
        <v>0</v>
      </c>
      <c r="H99" s="215">
        <f>'Ведомственная 2020'!H88</f>
        <v>307785.40000000002</v>
      </c>
      <c r="I99" s="203">
        <v>0</v>
      </c>
      <c r="J99" s="216">
        <f t="shared" si="10"/>
        <v>0</v>
      </c>
      <c r="K99" s="204">
        <f t="shared" si="11"/>
        <v>0</v>
      </c>
    </row>
    <row r="100" spans="1:11" x14ac:dyDescent="0.2">
      <c r="A100" s="202" t="s">
        <v>1347</v>
      </c>
      <c r="B100" s="209" t="s">
        <v>498</v>
      </c>
      <c r="C100" s="209" t="s">
        <v>507</v>
      </c>
      <c r="D100" s="209" t="s">
        <v>597</v>
      </c>
      <c r="E100" s="209" t="s">
        <v>535</v>
      </c>
      <c r="F100" s="215">
        <v>80288.899999999994</v>
      </c>
      <c r="G100" s="203">
        <v>0</v>
      </c>
      <c r="H100" s="215">
        <f>H101</f>
        <v>80240.899999999994</v>
      </c>
      <c r="I100" s="203">
        <f>I101</f>
        <v>0</v>
      </c>
      <c r="J100" s="216">
        <f t="shared" si="10"/>
        <v>-48</v>
      </c>
      <c r="K100" s="204">
        <f t="shared" si="11"/>
        <v>0</v>
      </c>
    </row>
    <row r="101" spans="1:11" ht="22.5" x14ac:dyDescent="0.2">
      <c r="A101" s="202" t="s">
        <v>534</v>
      </c>
      <c r="B101" s="209" t="s">
        <v>498</v>
      </c>
      <c r="C101" s="209" t="s">
        <v>507</v>
      </c>
      <c r="D101" s="209" t="s">
        <v>597</v>
      </c>
      <c r="E101" s="209" t="s">
        <v>529</v>
      </c>
      <c r="F101" s="215">
        <v>80288.899999999994</v>
      </c>
      <c r="G101" s="203">
        <v>0</v>
      </c>
      <c r="H101" s="215">
        <f>'Ведомственная 2020'!H90+'Ведомственная 2020'!H1124+'Ведомственная 2020'!H1294+'Ведомственная 2020'!H1370+'Ведомственная 2020'!H1416</f>
        <v>80240.899999999994</v>
      </c>
      <c r="I101" s="203">
        <v>0</v>
      </c>
      <c r="J101" s="216">
        <f t="shared" si="10"/>
        <v>-48</v>
      </c>
      <c r="K101" s="204">
        <f t="shared" si="11"/>
        <v>0</v>
      </c>
    </row>
    <row r="102" spans="1:11" x14ac:dyDescent="0.2">
      <c r="A102" s="202" t="s">
        <v>615</v>
      </c>
      <c r="B102" s="209" t="s">
        <v>498</v>
      </c>
      <c r="C102" s="209" t="s">
        <v>507</v>
      </c>
      <c r="D102" s="209" t="s">
        <v>597</v>
      </c>
      <c r="E102" s="209" t="s">
        <v>509</v>
      </c>
      <c r="F102" s="215">
        <v>1883.4</v>
      </c>
      <c r="G102" s="203">
        <v>0</v>
      </c>
      <c r="H102" s="215">
        <f>H109</f>
        <v>1883.4</v>
      </c>
      <c r="I102" s="203">
        <f>I109</f>
        <v>0</v>
      </c>
      <c r="J102" s="216">
        <f t="shared" si="10"/>
        <v>0</v>
      </c>
      <c r="K102" s="204">
        <f t="shared" si="11"/>
        <v>0</v>
      </c>
    </row>
    <row r="103" spans="1:11" s="306" customFormat="1" x14ac:dyDescent="0.2">
      <c r="A103" s="202" t="s">
        <v>994</v>
      </c>
      <c r="B103" s="209" t="s">
        <v>498</v>
      </c>
      <c r="C103" s="209" t="s">
        <v>507</v>
      </c>
      <c r="D103" s="209" t="s">
        <v>993</v>
      </c>
      <c r="E103" s="209"/>
      <c r="F103" s="215">
        <v>2845</v>
      </c>
      <c r="G103" s="203">
        <v>2845</v>
      </c>
      <c r="H103" s="215">
        <f t="shared" ref="H103:I107" si="21">H104</f>
        <v>2845</v>
      </c>
      <c r="I103" s="203">
        <f t="shared" si="21"/>
        <v>2845</v>
      </c>
      <c r="J103" s="216">
        <f t="shared" ref="J103:J108" si="22">H103-F103</f>
        <v>0</v>
      </c>
      <c r="K103" s="204">
        <f t="shared" ref="K103:K108" si="23">I103-G103</f>
        <v>0</v>
      </c>
    </row>
    <row r="104" spans="1:11" s="306" customFormat="1" x14ac:dyDescent="0.2">
      <c r="A104" s="202" t="s">
        <v>992</v>
      </c>
      <c r="B104" s="209" t="s">
        <v>498</v>
      </c>
      <c r="C104" s="209" t="s">
        <v>507</v>
      </c>
      <c r="D104" s="209" t="s">
        <v>991</v>
      </c>
      <c r="E104" s="209"/>
      <c r="F104" s="215">
        <v>2845</v>
      </c>
      <c r="G104" s="203">
        <v>2845</v>
      </c>
      <c r="H104" s="215">
        <f t="shared" si="21"/>
        <v>2845</v>
      </c>
      <c r="I104" s="203">
        <f t="shared" si="21"/>
        <v>2845</v>
      </c>
      <c r="J104" s="216">
        <f t="shared" si="22"/>
        <v>0</v>
      </c>
      <c r="K104" s="204">
        <f t="shared" si="23"/>
        <v>0</v>
      </c>
    </row>
    <row r="105" spans="1:11" s="306" customFormat="1" ht="33.75" x14ac:dyDescent="0.2">
      <c r="A105" s="202" t="s">
        <v>1050</v>
      </c>
      <c r="B105" s="209" t="s">
        <v>498</v>
      </c>
      <c r="C105" s="209" t="s">
        <v>507</v>
      </c>
      <c r="D105" s="209" t="s">
        <v>1049</v>
      </c>
      <c r="E105" s="209"/>
      <c r="F105" s="215">
        <v>2845</v>
      </c>
      <c r="G105" s="203">
        <v>2845</v>
      </c>
      <c r="H105" s="215">
        <f t="shared" si="21"/>
        <v>2845</v>
      </c>
      <c r="I105" s="203">
        <f t="shared" si="21"/>
        <v>2845</v>
      </c>
      <c r="J105" s="216">
        <f t="shared" si="22"/>
        <v>0</v>
      </c>
      <c r="K105" s="204">
        <f t="shared" si="23"/>
        <v>0</v>
      </c>
    </row>
    <row r="106" spans="1:11" s="306" customFormat="1" ht="78.75" x14ac:dyDescent="0.2">
      <c r="A106" s="202" t="s">
        <v>1048</v>
      </c>
      <c r="B106" s="209" t="s">
        <v>498</v>
      </c>
      <c r="C106" s="209" t="s">
        <v>507</v>
      </c>
      <c r="D106" s="209" t="s">
        <v>1047</v>
      </c>
      <c r="E106" s="209"/>
      <c r="F106" s="215">
        <v>2845</v>
      </c>
      <c r="G106" s="203">
        <v>2845</v>
      </c>
      <c r="H106" s="215">
        <f t="shared" si="21"/>
        <v>2845</v>
      </c>
      <c r="I106" s="203">
        <f t="shared" si="21"/>
        <v>2845</v>
      </c>
      <c r="J106" s="216">
        <f t="shared" si="22"/>
        <v>0</v>
      </c>
      <c r="K106" s="204">
        <f t="shared" si="23"/>
        <v>0</v>
      </c>
    </row>
    <row r="107" spans="1:11" s="306" customFormat="1" ht="33.75" x14ac:dyDescent="0.2">
      <c r="A107" s="202" t="s">
        <v>1348</v>
      </c>
      <c r="B107" s="209" t="s">
        <v>498</v>
      </c>
      <c r="C107" s="209" t="s">
        <v>507</v>
      </c>
      <c r="D107" s="209" t="s">
        <v>1047</v>
      </c>
      <c r="E107" s="209">
        <v>100</v>
      </c>
      <c r="F107" s="215">
        <v>2845</v>
      </c>
      <c r="G107" s="203">
        <v>2845</v>
      </c>
      <c r="H107" s="215">
        <f t="shared" si="21"/>
        <v>2845</v>
      </c>
      <c r="I107" s="203">
        <f t="shared" si="21"/>
        <v>2845</v>
      </c>
      <c r="J107" s="216">
        <f t="shared" si="22"/>
        <v>0</v>
      </c>
      <c r="K107" s="204">
        <f t="shared" si="23"/>
        <v>0</v>
      </c>
    </row>
    <row r="108" spans="1:11" s="306" customFormat="1" x14ac:dyDescent="0.2">
      <c r="A108" s="202" t="s">
        <v>749</v>
      </c>
      <c r="B108" s="209" t="s">
        <v>498</v>
      </c>
      <c r="C108" s="209" t="s">
        <v>507</v>
      </c>
      <c r="D108" s="209" t="s">
        <v>1047</v>
      </c>
      <c r="E108" s="209">
        <v>120</v>
      </c>
      <c r="F108" s="215">
        <v>2845</v>
      </c>
      <c r="G108" s="203">
        <v>2845</v>
      </c>
      <c r="H108" s="215">
        <f>'Ведомственная 2020'!H98</f>
        <v>2845</v>
      </c>
      <c r="I108" s="203">
        <f>H108</f>
        <v>2845</v>
      </c>
      <c r="J108" s="216">
        <f t="shared" si="22"/>
        <v>0</v>
      </c>
      <c r="K108" s="204">
        <f t="shared" si="23"/>
        <v>0</v>
      </c>
    </row>
    <row r="109" spans="1:11" x14ac:dyDescent="0.2">
      <c r="A109" s="202" t="s">
        <v>614</v>
      </c>
      <c r="B109" s="209" t="s">
        <v>498</v>
      </c>
      <c r="C109" s="209" t="s">
        <v>507</v>
      </c>
      <c r="D109" s="209" t="s">
        <v>597</v>
      </c>
      <c r="E109" s="209" t="s">
        <v>613</v>
      </c>
      <c r="F109" s="215">
        <v>1883.4</v>
      </c>
      <c r="G109" s="203">
        <v>0</v>
      </c>
      <c r="H109" s="215">
        <f>'Ведомственная 2020'!H92+'Ведомственная 2020'!H1126+'Ведомственная 2020'!H1372</f>
        <v>1883.4</v>
      </c>
      <c r="I109" s="203">
        <v>0</v>
      </c>
      <c r="J109" s="216">
        <f t="shared" si="10"/>
        <v>0</v>
      </c>
      <c r="K109" s="204">
        <f t="shared" si="11"/>
        <v>0</v>
      </c>
    </row>
    <row r="110" spans="1:11" x14ac:dyDescent="0.2">
      <c r="A110" s="202" t="s">
        <v>595</v>
      </c>
      <c r="B110" s="209" t="s">
        <v>498</v>
      </c>
      <c r="C110" s="209" t="s">
        <v>507</v>
      </c>
      <c r="D110" s="209" t="s">
        <v>594</v>
      </c>
      <c r="E110" s="209"/>
      <c r="F110" s="215">
        <v>1048.8</v>
      </c>
      <c r="G110" s="203">
        <v>0</v>
      </c>
      <c r="H110" s="215">
        <f t="shared" ref="H110:I112" si="24">H111</f>
        <v>1048.8</v>
      </c>
      <c r="I110" s="203">
        <f t="shared" si="24"/>
        <v>0</v>
      </c>
      <c r="J110" s="216">
        <f t="shared" si="10"/>
        <v>0</v>
      </c>
      <c r="K110" s="204">
        <f t="shared" si="11"/>
        <v>0</v>
      </c>
    </row>
    <row r="111" spans="1:11" x14ac:dyDescent="0.2">
      <c r="A111" s="202" t="s">
        <v>871</v>
      </c>
      <c r="B111" s="209" t="s">
        <v>498</v>
      </c>
      <c r="C111" s="209" t="s">
        <v>507</v>
      </c>
      <c r="D111" s="209" t="s">
        <v>870</v>
      </c>
      <c r="E111" s="209"/>
      <c r="F111" s="215">
        <v>1048.8</v>
      </c>
      <c r="G111" s="203">
        <v>0</v>
      </c>
      <c r="H111" s="215">
        <f t="shared" si="24"/>
        <v>1048.8</v>
      </c>
      <c r="I111" s="203">
        <f t="shared" si="24"/>
        <v>0</v>
      </c>
      <c r="J111" s="216">
        <f t="shared" si="10"/>
        <v>0</v>
      </c>
      <c r="K111" s="204">
        <f t="shared" si="11"/>
        <v>0</v>
      </c>
    </row>
    <row r="112" spans="1:11" x14ac:dyDescent="0.2">
      <c r="A112" s="202" t="s">
        <v>553</v>
      </c>
      <c r="B112" s="209" t="s">
        <v>498</v>
      </c>
      <c r="C112" s="209" t="s">
        <v>507</v>
      </c>
      <c r="D112" s="209" t="s">
        <v>870</v>
      </c>
      <c r="E112" s="209" t="s">
        <v>552</v>
      </c>
      <c r="F112" s="215">
        <v>1048.8</v>
      </c>
      <c r="G112" s="203">
        <v>0</v>
      </c>
      <c r="H112" s="215">
        <f t="shared" si="24"/>
        <v>1048.8</v>
      </c>
      <c r="I112" s="203">
        <f t="shared" si="24"/>
        <v>0</v>
      </c>
      <c r="J112" s="216">
        <f t="shared" si="10"/>
        <v>0</v>
      </c>
      <c r="K112" s="204">
        <f t="shared" si="11"/>
        <v>0</v>
      </c>
    </row>
    <row r="113" spans="1:11" x14ac:dyDescent="0.2">
      <c r="A113" s="202" t="s">
        <v>936</v>
      </c>
      <c r="B113" s="209" t="s">
        <v>498</v>
      </c>
      <c r="C113" s="209" t="s">
        <v>507</v>
      </c>
      <c r="D113" s="209" t="s">
        <v>870</v>
      </c>
      <c r="E113" s="209" t="s">
        <v>934</v>
      </c>
      <c r="F113" s="215">
        <v>1048.8</v>
      </c>
      <c r="G113" s="203">
        <v>0</v>
      </c>
      <c r="H113" s="215">
        <f>'Ведомственная 2020'!H102</f>
        <v>1048.8</v>
      </c>
      <c r="I113" s="203">
        <v>0</v>
      </c>
      <c r="J113" s="216">
        <f t="shared" si="10"/>
        <v>0</v>
      </c>
      <c r="K113" s="204">
        <f t="shared" si="11"/>
        <v>0</v>
      </c>
    </row>
    <row r="114" spans="1:11" ht="22.5" x14ac:dyDescent="0.2">
      <c r="A114" s="202" t="s">
        <v>758</v>
      </c>
      <c r="B114" s="209" t="s">
        <v>498</v>
      </c>
      <c r="C114" s="209" t="s">
        <v>747</v>
      </c>
      <c r="D114" s="209"/>
      <c r="E114" s="209"/>
      <c r="F114" s="215">
        <v>54989.799999999996</v>
      </c>
      <c r="G114" s="203">
        <v>0</v>
      </c>
      <c r="H114" s="215">
        <f>H115+H125</f>
        <v>54989.799999999996</v>
      </c>
      <c r="I114" s="203">
        <f>I115+I125</f>
        <v>0</v>
      </c>
      <c r="J114" s="216">
        <f t="shared" si="10"/>
        <v>0</v>
      </c>
      <c r="K114" s="204">
        <f t="shared" si="11"/>
        <v>0</v>
      </c>
    </row>
    <row r="115" spans="1:11" x14ac:dyDescent="0.2">
      <c r="A115" s="202" t="s">
        <v>604</v>
      </c>
      <c r="B115" s="209" t="s">
        <v>498</v>
      </c>
      <c r="C115" s="209" t="s">
        <v>747</v>
      </c>
      <c r="D115" s="209" t="s">
        <v>603</v>
      </c>
      <c r="E115" s="209"/>
      <c r="F115" s="215">
        <v>35005.899999999994</v>
      </c>
      <c r="G115" s="203">
        <v>0</v>
      </c>
      <c r="H115" s="215">
        <f t="shared" ref="H115:I117" si="25">H116</f>
        <v>35005.899999999994</v>
      </c>
      <c r="I115" s="203">
        <f t="shared" si="25"/>
        <v>0</v>
      </c>
      <c r="J115" s="216">
        <f t="shared" si="10"/>
        <v>0</v>
      </c>
      <c r="K115" s="204">
        <f t="shared" si="11"/>
        <v>0</v>
      </c>
    </row>
    <row r="116" spans="1:11" x14ac:dyDescent="0.2">
      <c r="A116" s="202" t="s">
        <v>602</v>
      </c>
      <c r="B116" s="209" t="s">
        <v>498</v>
      </c>
      <c r="C116" s="209" t="s">
        <v>747</v>
      </c>
      <c r="D116" s="209" t="s">
        <v>601</v>
      </c>
      <c r="E116" s="209"/>
      <c r="F116" s="215">
        <v>35005.899999999994</v>
      </c>
      <c r="G116" s="203">
        <v>0</v>
      </c>
      <c r="H116" s="215">
        <f t="shared" si="25"/>
        <v>35005.899999999994</v>
      </c>
      <c r="I116" s="203">
        <f t="shared" si="25"/>
        <v>0</v>
      </c>
      <c r="J116" s="216">
        <f t="shared" si="10"/>
        <v>0</v>
      </c>
      <c r="K116" s="204">
        <f t="shared" si="11"/>
        <v>0</v>
      </c>
    </row>
    <row r="117" spans="1:11" ht="22.5" x14ac:dyDescent="0.2">
      <c r="A117" s="202" t="s">
        <v>600</v>
      </c>
      <c r="B117" s="209" t="s">
        <v>498</v>
      </c>
      <c r="C117" s="209" t="s">
        <v>747</v>
      </c>
      <c r="D117" s="209" t="s">
        <v>599</v>
      </c>
      <c r="E117" s="209"/>
      <c r="F117" s="215">
        <v>35005.899999999994</v>
      </c>
      <c r="G117" s="203">
        <v>0</v>
      </c>
      <c r="H117" s="215">
        <f t="shared" si="25"/>
        <v>35005.899999999994</v>
      </c>
      <c r="I117" s="203">
        <f t="shared" si="25"/>
        <v>0</v>
      </c>
      <c r="J117" s="216">
        <f t="shared" si="10"/>
        <v>0</v>
      </c>
      <c r="K117" s="204">
        <f t="shared" si="11"/>
        <v>0</v>
      </c>
    </row>
    <row r="118" spans="1:11" x14ac:dyDescent="0.2">
      <c r="A118" s="202" t="s">
        <v>763</v>
      </c>
      <c r="B118" s="209" t="s">
        <v>498</v>
      </c>
      <c r="C118" s="209" t="s">
        <v>747</v>
      </c>
      <c r="D118" s="209" t="s">
        <v>762</v>
      </c>
      <c r="E118" s="209"/>
      <c r="F118" s="215">
        <v>35005.899999999994</v>
      </c>
      <c r="G118" s="203">
        <v>0</v>
      </c>
      <c r="H118" s="215">
        <f>H119+H121+H123</f>
        <v>35005.899999999994</v>
      </c>
      <c r="I118" s="203">
        <f>I119+I121+I123</f>
        <v>0</v>
      </c>
      <c r="J118" s="216">
        <f t="shared" si="10"/>
        <v>0</v>
      </c>
      <c r="K118" s="204">
        <f t="shared" si="11"/>
        <v>0</v>
      </c>
    </row>
    <row r="119" spans="1:11" ht="33.75" x14ac:dyDescent="0.2">
      <c r="A119" s="202" t="s">
        <v>1348</v>
      </c>
      <c r="B119" s="209" t="s">
        <v>498</v>
      </c>
      <c r="C119" s="209" t="s">
        <v>747</v>
      </c>
      <c r="D119" s="209" t="s">
        <v>762</v>
      </c>
      <c r="E119" s="209" t="s">
        <v>556</v>
      </c>
      <c r="F119" s="215">
        <v>28605.499999999996</v>
      </c>
      <c r="G119" s="203">
        <v>0</v>
      </c>
      <c r="H119" s="215">
        <f>H120</f>
        <v>28605.499999999996</v>
      </c>
      <c r="I119" s="203">
        <f>I120</f>
        <v>0</v>
      </c>
      <c r="J119" s="216">
        <f t="shared" si="10"/>
        <v>0</v>
      </c>
      <c r="K119" s="204">
        <f t="shared" si="11"/>
        <v>0</v>
      </c>
    </row>
    <row r="120" spans="1:11" x14ac:dyDescent="0.2">
      <c r="A120" s="202" t="s">
        <v>749</v>
      </c>
      <c r="B120" s="209" t="s">
        <v>498</v>
      </c>
      <c r="C120" s="209" t="s">
        <v>747</v>
      </c>
      <c r="D120" s="209" t="s">
        <v>762</v>
      </c>
      <c r="E120" s="209" t="s">
        <v>745</v>
      </c>
      <c r="F120" s="215">
        <v>28605.499999999996</v>
      </c>
      <c r="G120" s="203">
        <v>0</v>
      </c>
      <c r="H120" s="215">
        <f>'Ведомственная 2020'!H1094</f>
        <v>28605.499999999996</v>
      </c>
      <c r="I120" s="203">
        <v>0</v>
      </c>
      <c r="J120" s="216">
        <f t="shared" si="10"/>
        <v>0</v>
      </c>
      <c r="K120" s="204">
        <f t="shared" si="11"/>
        <v>0</v>
      </c>
    </row>
    <row r="121" spans="1:11" x14ac:dyDescent="0.2">
      <c r="A121" s="202" t="s">
        <v>1347</v>
      </c>
      <c r="B121" s="209" t="s">
        <v>498</v>
      </c>
      <c r="C121" s="209" t="s">
        <v>747</v>
      </c>
      <c r="D121" s="209" t="s">
        <v>762</v>
      </c>
      <c r="E121" s="209" t="s">
        <v>535</v>
      </c>
      <c r="F121" s="215">
        <v>6370.4</v>
      </c>
      <c r="G121" s="203">
        <v>0</v>
      </c>
      <c r="H121" s="215">
        <f>H122</f>
        <v>6370.4</v>
      </c>
      <c r="I121" s="203">
        <f>I122</f>
        <v>0</v>
      </c>
      <c r="J121" s="216">
        <f t="shared" si="10"/>
        <v>0</v>
      </c>
      <c r="K121" s="204">
        <f t="shared" si="11"/>
        <v>0</v>
      </c>
    </row>
    <row r="122" spans="1:11" ht="22.5" x14ac:dyDescent="0.2">
      <c r="A122" s="202" t="s">
        <v>534</v>
      </c>
      <c r="B122" s="209" t="s">
        <v>498</v>
      </c>
      <c r="C122" s="209" t="s">
        <v>747</v>
      </c>
      <c r="D122" s="209" t="s">
        <v>762</v>
      </c>
      <c r="E122" s="209" t="s">
        <v>529</v>
      </c>
      <c r="F122" s="215">
        <v>6370.4</v>
      </c>
      <c r="G122" s="203">
        <v>0</v>
      </c>
      <c r="H122" s="215">
        <f>'Ведомственная 2020'!H1096</f>
        <v>6370.4</v>
      </c>
      <c r="I122" s="203">
        <v>0</v>
      </c>
      <c r="J122" s="216">
        <f t="shared" si="10"/>
        <v>0</v>
      </c>
      <c r="K122" s="204">
        <f t="shared" si="11"/>
        <v>0</v>
      </c>
    </row>
    <row r="123" spans="1:11" x14ac:dyDescent="0.2">
      <c r="A123" s="202" t="s">
        <v>615</v>
      </c>
      <c r="B123" s="209" t="s">
        <v>498</v>
      </c>
      <c r="C123" s="209" t="s">
        <v>747</v>
      </c>
      <c r="D123" s="209" t="s">
        <v>762</v>
      </c>
      <c r="E123" s="209" t="s">
        <v>509</v>
      </c>
      <c r="F123" s="215">
        <v>30</v>
      </c>
      <c r="G123" s="203">
        <v>0</v>
      </c>
      <c r="H123" s="215">
        <f>H124</f>
        <v>30</v>
      </c>
      <c r="I123" s="203">
        <f>I124</f>
        <v>0</v>
      </c>
      <c r="J123" s="216">
        <f t="shared" si="10"/>
        <v>0</v>
      </c>
      <c r="K123" s="204">
        <f t="shared" si="11"/>
        <v>0</v>
      </c>
    </row>
    <row r="124" spans="1:11" x14ac:dyDescent="0.2">
      <c r="A124" s="202" t="s">
        <v>614</v>
      </c>
      <c r="B124" s="209" t="s">
        <v>498</v>
      </c>
      <c r="C124" s="209" t="s">
        <v>747</v>
      </c>
      <c r="D124" s="209" t="s">
        <v>762</v>
      </c>
      <c r="E124" s="209" t="s">
        <v>613</v>
      </c>
      <c r="F124" s="215">
        <v>30</v>
      </c>
      <c r="G124" s="203">
        <v>0</v>
      </c>
      <c r="H124" s="215">
        <f>'Ведомственная 2020'!H1098</f>
        <v>30</v>
      </c>
      <c r="I124" s="203">
        <v>0</v>
      </c>
      <c r="J124" s="216">
        <f t="shared" si="10"/>
        <v>0</v>
      </c>
      <c r="K124" s="204">
        <f t="shared" si="11"/>
        <v>0</v>
      </c>
    </row>
    <row r="125" spans="1:11" ht="22.5" x14ac:dyDescent="0.2">
      <c r="A125" s="202" t="s">
        <v>757</v>
      </c>
      <c r="B125" s="209" t="s">
        <v>498</v>
      </c>
      <c r="C125" s="209" t="s">
        <v>747</v>
      </c>
      <c r="D125" s="209" t="s">
        <v>756</v>
      </c>
      <c r="E125" s="209"/>
      <c r="F125" s="215">
        <v>19983.900000000001</v>
      </c>
      <c r="G125" s="203">
        <v>0</v>
      </c>
      <c r="H125" s="215">
        <f>H126+H129+H136</f>
        <v>19983.900000000001</v>
      </c>
      <c r="I125" s="203">
        <f>I126+I129+I136</f>
        <v>0</v>
      </c>
      <c r="J125" s="216">
        <f t="shared" si="10"/>
        <v>0</v>
      </c>
      <c r="K125" s="204">
        <f t="shared" si="11"/>
        <v>0</v>
      </c>
    </row>
    <row r="126" spans="1:11" x14ac:dyDescent="0.2">
      <c r="A126" s="202" t="s">
        <v>755</v>
      </c>
      <c r="B126" s="209" t="s">
        <v>498</v>
      </c>
      <c r="C126" s="209" t="s">
        <v>747</v>
      </c>
      <c r="D126" s="209" t="s">
        <v>754</v>
      </c>
      <c r="E126" s="209"/>
      <c r="F126" s="215">
        <v>2577</v>
      </c>
      <c r="G126" s="203">
        <v>0</v>
      </c>
      <c r="H126" s="215">
        <f>H127</f>
        <v>1552</v>
      </c>
      <c r="I126" s="203">
        <f>I127</f>
        <v>0</v>
      </c>
      <c r="J126" s="216">
        <f t="shared" si="10"/>
        <v>-1025</v>
      </c>
      <c r="K126" s="204">
        <f t="shared" si="11"/>
        <v>0</v>
      </c>
    </row>
    <row r="127" spans="1:11" ht="33.75" x14ac:dyDescent="0.2">
      <c r="A127" s="202" t="s">
        <v>1348</v>
      </c>
      <c r="B127" s="209" t="s">
        <v>498</v>
      </c>
      <c r="C127" s="209" t="s">
        <v>747</v>
      </c>
      <c r="D127" s="209" t="s">
        <v>754</v>
      </c>
      <c r="E127" s="209" t="s">
        <v>556</v>
      </c>
      <c r="F127" s="215">
        <v>2577</v>
      </c>
      <c r="G127" s="203">
        <v>0</v>
      </c>
      <c r="H127" s="215">
        <f>H128</f>
        <v>1552</v>
      </c>
      <c r="I127" s="203">
        <f>I128</f>
        <v>0</v>
      </c>
      <c r="J127" s="216">
        <f t="shared" si="10"/>
        <v>-1025</v>
      </c>
      <c r="K127" s="204">
        <f t="shared" si="11"/>
        <v>0</v>
      </c>
    </row>
    <row r="128" spans="1:11" x14ac:dyDescent="0.2">
      <c r="A128" s="202" t="s">
        <v>749</v>
      </c>
      <c r="B128" s="209" t="s">
        <v>498</v>
      </c>
      <c r="C128" s="209" t="s">
        <v>747</v>
      </c>
      <c r="D128" s="209" t="s">
        <v>754</v>
      </c>
      <c r="E128" s="209" t="s">
        <v>745</v>
      </c>
      <c r="F128" s="215">
        <v>2577</v>
      </c>
      <c r="G128" s="203">
        <v>0</v>
      </c>
      <c r="H128" s="215">
        <f>'Ведомственная 2020'!H1105</f>
        <v>1552</v>
      </c>
      <c r="I128" s="203">
        <v>0</v>
      </c>
      <c r="J128" s="216">
        <f t="shared" si="10"/>
        <v>-1025</v>
      </c>
      <c r="K128" s="204">
        <f t="shared" si="11"/>
        <v>0</v>
      </c>
    </row>
    <row r="129" spans="1:11" x14ac:dyDescent="0.2">
      <c r="A129" s="202" t="s">
        <v>753</v>
      </c>
      <c r="B129" s="209" t="s">
        <v>498</v>
      </c>
      <c r="C129" s="209" t="s">
        <v>747</v>
      </c>
      <c r="D129" s="209" t="s">
        <v>751</v>
      </c>
      <c r="E129" s="209"/>
      <c r="F129" s="215">
        <v>15912.2</v>
      </c>
      <c r="G129" s="203">
        <v>0</v>
      </c>
      <c r="H129" s="215">
        <f>H130+H132+H134</f>
        <v>15912.2</v>
      </c>
      <c r="I129" s="203">
        <f>I130+I132+I134</f>
        <v>0</v>
      </c>
      <c r="J129" s="216">
        <f t="shared" si="10"/>
        <v>0</v>
      </c>
      <c r="K129" s="204">
        <f t="shared" si="11"/>
        <v>0</v>
      </c>
    </row>
    <row r="130" spans="1:11" ht="33.75" x14ac:dyDescent="0.2">
      <c r="A130" s="202" t="s">
        <v>1348</v>
      </c>
      <c r="B130" s="209" t="s">
        <v>498</v>
      </c>
      <c r="C130" s="209" t="s">
        <v>747</v>
      </c>
      <c r="D130" s="209" t="s">
        <v>751</v>
      </c>
      <c r="E130" s="209" t="s">
        <v>556</v>
      </c>
      <c r="F130" s="215">
        <v>13229.800000000001</v>
      </c>
      <c r="G130" s="203">
        <v>0</v>
      </c>
      <c r="H130" s="215">
        <f>H131</f>
        <v>13229.800000000001</v>
      </c>
      <c r="I130" s="203">
        <f>I131</f>
        <v>0</v>
      </c>
      <c r="J130" s="216">
        <f t="shared" si="10"/>
        <v>0</v>
      </c>
      <c r="K130" s="204">
        <f t="shared" si="11"/>
        <v>0</v>
      </c>
    </row>
    <row r="131" spans="1:11" x14ac:dyDescent="0.2">
      <c r="A131" s="202" t="s">
        <v>749</v>
      </c>
      <c r="B131" s="209" t="s">
        <v>498</v>
      </c>
      <c r="C131" s="209" t="s">
        <v>747</v>
      </c>
      <c r="D131" s="209" t="s">
        <v>751</v>
      </c>
      <c r="E131" s="209" t="s">
        <v>745</v>
      </c>
      <c r="F131" s="215">
        <v>13229.800000000001</v>
      </c>
      <c r="G131" s="203">
        <v>0</v>
      </c>
      <c r="H131" s="215">
        <f>'Ведомственная 2020'!H1108</f>
        <v>13229.800000000001</v>
      </c>
      <c r="I131" s="203">
        <v>0</v>
      </c>
      <c r="J131" s="216">
        <f t="shared" si="10"/>
        <v>0</v>
      </c>
      <c r="K131" s="204">
        <f t="shared" si="11"/>
        <v>0</v>
      </c>
    </row>
    <row r="132" spans="1:11" x14ac:dyDescent="0.2">
      <c r="A132" s="202" t="s">
        <v>1347</v>
      </c>
      <c r="B132" s="209" t="s">
        <v>498</v>
      </c>
      <c r="C132" s="209" t="s">
        <v>747</v>
      </c>
      <c r="D132" s="209" t="s">
        <v>751</v>
      </c>
      <c r="E132" s="209" t="s">
        <v>535</v>
      </c>
      <c r="F132" s="215">
        <v>2644.4</v>
      </c>
      <c r="G132" s="203">
        <v>0</v>
      </c>
      <c r="H132" s="215">
        <f>H133</f>
        <v>2644.4</v>
      </c>
      <c r="I132" s="203">
        <f>I133</f>
        <v>0</v>
      </c>
      <c r="J132" s="216">
        <f t="shared" si="10"/>
        <v>0</v>
      </c>
      <c r="K132" s="204">
        <f t="shared" si="11"/>
        <v>0</v>
      </c>
    </row>
    <row r="133" spans="1:11" ht="22.5" x14ac:dyDescent="0.2">
      <c r="A133" s="202" t="s">
        <v>534</v>
      </c>
      <c r="B133" s="209" t="s">
        <v>498</v>
      </c>
      <c r="C133" s="209" t="s">
        <v>747</v>
      </c>
      <c r="D133" s="209" t="s">
        <v>751</v>
      </c>
      <c r="E133" s="209" t="s">
        <v>529</v>
      </c>
      <c r="F133" s="215">
        <v>2644.4</v>
      </c>
      <c r="G133" s="203">
        <v>0</v>
      </c>
      <c r="H133" s="215">
        <f>'Ведомственная 2020'!H1110</f>
        <v>2644.4</v>
      </c>
      <c r="I133" s="203">
        <v>0</v>
      </c>
      <c r="J133" s="216">
        <f t="shared" si="10"/>
        <v>0</v>
      </c>
      <c r="K133" s="204">
        <f t="shared" si="11"/>
        <v>0</v>
      </c>
    </row>
    <row r="134" spans="1:11" x14ac:dyDescent="0.2">
      <c r="A134" s="202" t="s">
        <v>615</v>
      </c>
      <c r="B134" s="209" t="s">
        <v>498</v>
      </c>
      <c r="C134" s="209" t="s">
        <v>747</v>
      </c>
      <c r="D134" s="209" t="s">
        <v>751</v>
      </c>
      <c r="E134" s="209" t="s">
        <v>509</v>
      </c>
      <c r="F134" s="215">
        <v>38</v>
      </c>
      <c r="G134" s="203">
        <v>0</v>
      </c>
      <c r="H134" s="215">
        <f>H135</f>
        <v>38</v>
      </c>
      <c r="I134" s="203">
        <f>I135</f>
        <v>0</v>
      </c>
      <c r="J134" s="216">
        <f t="shared" si="10"/>
        <v>0</v>
      </c>
      <c r="K134" s="204">
        <f t="shared" si="11"/>
        <v>0</v>
      </c>
    </row>
    <row r="135" spans="1:11" x14ac:dyDescent="0.2">
      <c r="A135" s="202" t="s">
        <v>752</v>
      </c>
      <c r="B135" s="209" t="s">
        <v>498</v>
      </c>
      <c r="C135" s="209" t="s">
        <v>747</v>
      </c>
      <c r="D135" s="209" t="s">
        <v>751</v>
      </c>
      <c r="E135" s="209" t="s">
        <v>750</v>
      </c>
      <c r="F135" s="215">
        <v>38</v>
      </c>
      <c r="G135" s="203">
        <v>0</v>
      </c>
      <c r="H135" s="215">
        <f>'Ведомственная 2020'!H1112</f>
        <v>38</v>
      </c>
      <c r="I135" s="203">
        <v>0</v>
      </c>
      <c r="J135" s="216">
        <f t="shared" si="10"/>
        <v>0</v>
      </c>
      <c r="K135" s="204">
        <f t="shared" si="11"/>
        <v>0</v>
      </c>
    </row>
    <row r="136" spans="1:11" ht="22.5" x14ac:dyDescent="0.2">
      <c r="A136" s="202" t="s">
        <v>1342</v>
      </c>
      <c r="B136" s="209" t="s">
        <v>498</v>
      </c>
      <c r="C136" s="209" t="s">
        <v>747</v>
      </c>
      <c r="D136" s="209" t="s">
        <v>746</v>
      </c>
      <c r="E136" s="209"/>
      <c r="F136" s="215">
        <v>1494.7</v>
      </c>
      <c r="G136" s="203">
        <v>0</v>
      </c>
      <c r="H136" s="215">
        <f>H137</f>
        <v>2519.6999999999998</v>
      </c>
      <c r="I136" s="203">
        <f>I137</f>
        <v>0</v>
      </c>
      <c r="J136" s="216">
        <f t="shared" si="10"/>
        <v>1024.9999999999998</v>
      </c>
      <c r="K136" s="204">
        <f t="shared" si="11"/>
        <v>0</v>
      </c>
    </row>
    <row r="137" spans="1:11" ht="33.75" x14ac:dyDescent="0.2">
      <c r="A137" s="202" t="s">
        <v>1348</v>
      </c>
      <c r="B137" s="209" t="s">
        <v>498</v>
      </c>
      <c r="C137" s="209" t="s">
        <v>747</v>
      </c>
      <c r="D137" s="209" t="s">
        <v>746</v>
      </c>
      <c r="E137" s="209" t="s">
        <v>556</v>
      </c>
      <c r="F137" s="215">
        <v>1494.7</v>
      </c>
      <c r="G137" s="203">
        <v>0</v>
      </c>
      <c r="H137" s="215">
        <f>H138</f>
        <v>2519.6999999999998</v>
      </c>
      <c r="I137" s="203">
        <f>I138</f>
        <v>0</v>
      </c>
      <c r="J137" s="216">
        <f t="shared" si="10"/>
        <v>1024.9999999999998</v>
      </c>
      <c r="K137" s="204">
        <f t="shared" si="11"/>
        <v>0</v>
      </c>
    </row>
    <row r="138" spans="1:11" x14ac:dyDescent="0.2">
      <c r="A138" s="202" t="s">
        <v>749</v>
      </c>
      <c r="B138" s="209" t="s">
        <v>498</v>
      </c>
      <c r="C138" s="209" t="s">
        <v>747</v>
      </c>
      <c r="D138" s="209" t="s">
        <v>746</v>
      </c>
      <c r="E138" s="209" t="s">
        <v>745</v>
      </c>
      <c r="F138" s="215">
        <v>1494.7</v>
      </c>
      <c r="G138" s="203">
        <v>0</v>
      </c>
      <c r="H138" s="215">
        <f>'Ведомственная 2020'!H1115</f>
        <v>2519.6999999999998</v>
      </c>
      <c r="I138" s="203">
        <v>0</v>
      </c>
      <c r="J138" s="216">
        <f t="shared" si="10"/>
        <v>1024.9999999999998</v>
      </c>
      <c r="K138" s="204">
        <f t="shared" si="11"/>
        <v>0</v>
      </c>
    </row>
    <row r="139" spans="1:11" x14ac:dyDescent="0.2">
      <c r="A139" s="202" t="s">
        <v>1241</v>
      </c>
      <c r="B139" s="209" t="s">
        <v>498</v>
      </c>
      <c r="C139" s="209" t="s">
        <v>532</v>
      </c>
      <c r="D139" s="209"/>
      <c r="E139" s="209"/>
      <c r="F139" s="215">
        <v>49072.1</v>
      </c>
      <c r="G139" s="203">
        <v>0</v>
      </c>
      <c r="H139" s="215">
        <f>H140</f>
        <v>29168.700000000004</v>
      </c>
      <c r="I139" s="203">
        <f>I140</f>
        <v>0</v>
      </c>
      <c r="J139" s="216">
        <f t="shared" si="10"/>
        <v>-19903.399999999994</v>
      </c>
      <c r="K139" s="204">
        <f t="shared" si="11"/>
        <v>0</v>
      </c>
    </row>
    <row r="140" spans="1:11" x14ac:dyDescent="0.2">
      <c r="A140" s="202" t="s">
        <v>595</v>
      </c>
      <c r="B140" s="209" t="s">
        <v>498</v>
      </c>
      <c r="C140" s="209" t="s">
        <v>532</v>
      </c>
      <c r="D140" s="209" t="s">
        <v>594</v>
      </c>
      <c r="E140" s="209"/>
      <c r="F140" s="215">
        <v>49072.1</v>
      </c>
      <c r="G140" s="203">
        <v>0</v>
      </c>
      <c r="H140" s="215">
        <f>H141+H144</f>
        <v>29168.700000000004</v>
      </c>
      <c r="I140" s="203">
        <f>I141</f>
        <v>0</v>
      </c>
      <c r="J140" s="216">
        <f t="shared" si="10"/>
        <v>-19903.399999999994</v>
      </c>
      <c r="K140" s="204">
        <f t="shared" si="11"/>
        <v>0</v>
      </c>
    </row>
    <row r="141" spans="1:11" x14ac:dyDescent="0.2">
      <c r="A141" s="202" t="s">
        <v>1240</v>
      </c>
      <c r="B141" s="209" t="s">
        <v>498</v>
      </c>
      <c r="C141" s="209" t="s">
        <v>532</v>
      </c>
      <c r="D141" s="209" t="s">
        <v>1239</v>
      </c>
      <c r="E141" s="209"/>
      <c r="F141" s="215">
        <v>48072.1</v>
      </c>
      <c r="G141" s="203">
        <v>0</v>
      </c>
      <c r="H141" s="215">
        <f>H142</f>
        <v>28168.700000000004</v>
      </c>
      <c r="I141" s="203">
        <f>I142</f>
        <v>0</v>
      </c>
      <c r="J141" s="216">
        <f t="shared" si="10"/>
        <v>-19903.399999999994</v>
      </c>
      <c r="K141" s="204">
        <f t="shared" si="11"/>
        <v>0</v>
      </c>
    </row>
    <row r="142" spans="1:11" x14ac:dyDescent="0.2">
      <c r="A142" s="202" t="s">
        <v>615</v>
      </c>
      <c r="B142" s="209" t="s">
        <v>498</v>
      </c>
      <c r="C142" s="209" t="s">
        <v>532</v>
      </c>
      <c r="D142" s="209" t="s">
        <v>1239</v>
      </c>
      <c r="E142" s="209" t="s">
        <v>509</v>
      </c>
      <c r="F142" s="215">
        <v>48072.1</v>
      </c>
      <c r="G142" s="203">
        <v>0</v>
      </c>
      <c r="H142" s="215">
        <f>H143</f>
        <v>28168.700000000004</v>
      </c>
      <c r="I142" s="203">
        <f>I143</f>
        <v>0</v>
      </c>
      <c r="J142" s="216">
        <f t="shared" si="10"/>
        <v>-19903.399999999994</v>
      </c>
      <c r="K142" s="204">
        <f t="shared" si="11"/>
        <v>0</v>
      </c>
    </row>
    <row r="143" spans="1:11" x14ac:dyDescent="0.2">
      <c r="A143" s="202" t="s">
        <v>1237</v>
      </c>
      <c r="B143" s="209" t="s">
        <v>498</v>
      </c>
      <c r="C143" s="209" t="s">
        <v>532</v>
      </c>
      <c r="D143" s="209" t="s">
        <v>1239</v>
      </c>
      <c r="E143" s="209" t="s">
        <v>1235</v>
      </c>
      <c r="F143" s="215">
        <v>48072.1</v>
      </c>
      <c r="G143" s="203">
        <v>0</v>
      </c>
      <c r="H143" s="215">
        <f>'Ведомственная 2020'!H107</f>
        <v>28168.700000000004</v>
      </c>
      <c r="I143" s="203">
        <v>0</v>
      </c>
      <c r="J143" s="216">
        <f t="shared" si="10"/>
        <v>-19903.399999999994</v>
      </c>
      <c r="K143" s="204">
        <f t="shared" si="11"/>
        <v>0</v>
      </c>
    </row>
    <row r="144" spans="1:11" ht="22.5" x14ac:dyDescent="0.2">
      <c r="A144" s="202" t="s">
        <v>1238</v>
      </c>
      <c r="B144" s="209" t="s">
        <v>498</v>
      </c>
      <c r="C144" s="209" t="s">
        <v>532</v>
      </c>
      <c r="D144" s="209" t="s">
        <v>1236</v>
      </c>
      <c r="E144" s="209"/>
      <c r="F144" s="215">
        <v>1000</v>
      </c>
      <c r="G144" s="203">
        <v>0</v>
      </c>
      <c r="H144" s="215">
        <f>H145</f>
        <v>1000</v>
      </c>
      <c r="I144" s="203">
        <f>I145</f>
        <v>0</v>
      </c>
      <c r="J144" s="216">
        <f t="shared" si="10"/>
        <v>0</v>
      </c>
      <c r="K144" s="204">
        <f t="shared" si="11"/>
        <v>0</v>
      </c>
    </row>
    <row r="145" spans="1:11" x14ac:dyDescent="0.2">
      <c r="A145" s="202" t="s">
        <v>615</v>
      </c>
      <c r="B145" s="209" t="s">
        <v>498</v>
      </c>
      <c r="C145" s="209" t="s">
        <v>532</v>
      </c>
      <c r="D145" s="209" t="s">
        <v>1236</v>
      </c>
      <c r="E145" s="209" t="s">
        <v>509</v>
      </c>
      <c r="F145" s="215">
        <v>1000</v>
      </c>
      <c r="G145" s="203">
        <v>0</v>
      </c>
      <c r="H145" s="215">
        <f>H146</f>
        <v>1000</v>
      </c>
      <c r="I145" s="203">
        <f>I146</f>
        <v>0</v>
      </c>
      <c r="J145" s="216">
        <f t="shared" si="10"/>
        <v>0</v>
      </c>
      <c r="K145" s="204">
        <f t="shared" si="11"/>
        <v>0</v>
      </c>
    </row>
    <row r="146" spans="1:11" x14ac:dyDescent="0.2">
      <c r="A146" s="202" t="s">
        <v>1237</v>
      </c>
      <c r="B146" s="209" t="s">
        <v>498</v>
      </c>
      <c r="C146" s="209" t="s">
        <v>532</v>
      </c>
      <c r="D146" s="209" t="s">
        <v>1236</v>
      </c>
      <c r="E146" s="209" t="s">
        <v>1235</v>
      </c>
      <c r="F146" s="215">
        <v>1000</v>
      </c>
      <c r="G146" s="203">
        <v>0</v>
      </c>
      <c r="H146" s="215">
        <f>'Ведомственная 2020'!H110</f>
        <v>1000</v>
      </c>
      <c r="I146" s="203">
        <v>0</v>
      </c>
      <c r="J146" s="216">
        <f t="shared" si="10"/>
        <v>0</v>
      </c>
      <c r="K146" s="204">
        <f t="shared" si="11"/>
        <v>0</v>
      </c>
    </row>
    <row r="147" spans="1:11" x14ac:dyDescent="0.2">
      <c r="A147" s="202" t="s">
        <v>596</v>
      </c>
      <c r="B147" s="209" t="s">
        <v>498</v>
      </c>
      <c r="C147" s="209" t="s">
        <v>592</v>
      </c>
      <c r="D147" s="209"/>
      <c r="E147" s="209"/>
      <c r="F147" s="215">
        <v>732394.40000000014</v>
      </c>
      <c r="G147" s="203">
        <v>6379</v>
      </c>
      <c r="H147" s="215">
        <f>H148+H154+H193+H208+H233+H224</f>
        <v>741012.90000000014</v>
      </c>
      <c r="I147" s="203">
        <f>I148+I154+I193+I208+I233</f>
        <v>6379</v>
      </c>
      <c r="J147" s="216">
        <f t="shared" si="10"/>
        <v>8618.5</v>
      </c>
      <c r="K147" s="204">
        <f t="shared" si="11"/>
        <v>0</v>
      </c>
    </row>
    <row r="148" spans="1:11" x14ac:dyDescent="0.2">
      <c r="A148" s="202" t="s">
        <v>666</v>
      </c>
      <c r="B148" s="209" t="s">
        <v>498</v>
      </c>
      <c r="C148" s="209" t="s">
        <v>592</v>
      </c>
      <c r="D148" s="209" t="s">
        <v>665</v>
      </c>
      <c r="E148" s="209"/>
      <c r="F148" s="215">
        <v>4653</v>
      </c>
      <c r="G148" s="203">
        <v>4653</v>
      </c>
      <c r="H148" s="215">
        <f t="shared" ref="H148:I152" si="26">H149</f>
        <v>4653</v>
      </c>
      <c r="I148" s="203">
        <f t="shared" si="26"/>
        <v>4653</v>
      </c>
      <c r="J148" s="216">
        <f t="shared" si="10"/>
        <v>0</v>
      </c>
      <c r="K148" s="204">
        <f t="shared" si="11"/>
        <v>0</v>
      </c>
    </row>
    <row r="149" spans="1:11" x14ac:dyDescent="0.2">
      <c r="A149" s="202" t="s">
        <v>664</v>
      </c>
      <c r="B149" s="209" t="s">
        <v>498</v>
      </c>
      <c r="C149" s="209" t="s">
        <v>592</v>
      </c>
      <c r="D149" s="209" t="s">
        <v>663</v>
      </c>
      <c r="E149" s="209"/>
      <c r="F149" s="215">
        <v>4653</v>
      </c>
      <c r="G149" s="203">
        <v>4653</v>
      </c>
      <c r="H149" s="215">
        <f t="shared" si="26"/>
        <v>4653</v>
      </c>
      <c r="I149" s="203">
        <f t="shared" si="26"/>
        <v>4653</v>
      </c>
      <c r="J149" s="216">
        <f t="shared" si="10"/>
        <v>0</v>
      </c>
      <c r="K149" s="204">
        <f t="shared" si="11"/>
        <v>0</v>
      </c>
    </row>
    <row r="150" spans="1:11" ht="22.5" x14ac:dyDescent="0.2">
      <c r="A150" s="202" t="s">
        <v>662</v>
      </c>
      <c r="B150" s="209" t="s">
        <v>498</v>
      </c>
      <c r="C150" s="209" t="s">
        <v>592</v>
      </c>
      <c r="D150" s="209" t="s">
        <v>661</v>
      </c>
      <c r="E150" s="209"/>
      <c r="F150" s="215">
        <v>4653</v>
      </c>
      <c r="G150" s="203">
        <v>4653</v>
      </c>
      <c r="H150" s="215">
        <f t="shared" si="26"/>
        <v>4653</v>
      </c>
      <c r="I150" s="203">
        <f t="shared" si="26"/>
        <v>4653</v>
      </c>
      <c r="J150" s="216">
        <f t="shared" si="10"/>
        <v>0</v>
      </c>
      <c r="K150" s="204">
        <f t="shared" si="11"/>
        <v>0</v>
      </c>
    </row>
    <row r="151" spans="1:11" ht="33.75" x14ac:dyDescent="0.2">
      <c r="A151" s="202" t="s">
        <v>660</v>
      </c>
      <c r="B151" s="209" t="s">
        <v>498</v>
      </c>
      <c r="C151" s="209" t="s">
        <v>592</v>
      </c>
      <c r="D151" s="209" t="s">
        <v>656</v>
      </c>
      <c r="E151" s="209"/>
      <c r="F151" s="215">
        <v>4653</v>
      </c>
      <c r="G151" s="203">
        <v>4653</v>
      </c>
      <c r="H151" s="215">
        <f t="shared" si="26"/>
        <v>4653</v>
      </c>
      <c r="I151" s="203">
        <f t="shared" si="26"/>
        <v>4653</v>
      </c>
      <c r="J151" s="216">
        <f t="shared" si="10"/>
        <v>0</v>
      </c>
      <c r="K151" s="204">
        <f t="shared" si="11"/>
        <v>0</v>
      </c>
    </row>
    <row r="152" spans="1:11" ht="33.75" x14ac:dyDescent="0.2">
      <c r="A152" s="202" t="s">
        <v>1348</v>
      </c>
      <c r="B152" s="209" t="s">
        <v>498</v>
      </c>
      <c r="C152" s="209" t="s">
        <v>592</v>
      </c>
      <c r="D152" s="209" t="s">
        <v>656</v>
      </c>
      <c r="E152" s="209" t="s">
        <v>556</v>
      </c>
      <c r="F152" s="215">
        <v>4653</v>
      </c>
      <c r="G152" s="203">
        <v>4653</v>
      </c>
      <c r="H152" s="215">
        <f t="shared" si="26"/>
        <v>4653</v>
      </c>
      <c r="I152" s="203">
        <f t="shared" si="26"/>
        <v>4653</v>
      </c>
      <c r="J152" s="216">
        <f t="shared" si="10"/>
        <v>0</v>
      </c>
      <c r="K152" s="204">
        <f t="shared" si="11"/>
        <v>0</v>
      </c>
    </row>
    <row r="153" spans="1:11" x14ac:dyDescent="0.2">
      <c r="A153" s="202" t="s">
        <v>555</v>
      </c>
      <c r="B153" s="209" t="s">
        <v>498</v>
      </c>
      <c r="C153" s="209" t="s">
        <v>592</v>
      </c>
      <c r="D153" s="209" t="s">
        <v>656</v>
      </c>
      <c r="E153" s="209" t="s">
        <v>554</v>
      </c>
      <c r="F153" s="215">
        <v>4653</v>
      </c>
      <c r="G153" s="203">
        <v>4653</v>
      </c>
      <c r="H153" s="215">
        <f>'Ведомственная 2020'!H117</f>
        <v>4653</v>
      </c>
      <c r="I153" s="203">
        <f>H153</f>
        <v>4653</v>
      </c>
      <c r="J153" s="216">
        <f t="shared" si="10"/>
        <v>0</v>
      </c>
      <c r="K153" s="204">
        <f t="shared" si="11"/>
        <v>0</v>
      </c>
    </row>
    <row r="154" spans="1:11" x14ac:dyDescent="0.2">
      <c r="A154" s="202" t="s">
        <v>604</v>
      </c>
      <c r="B154" s="209" t="s">
        <v>498</v>
      </c>
      <c r="C154" s="209" t="s">
        <v>592</v>
      </c>
      <c r="D154" s="209" t="s">
        <v>603</v>
      </c>
      <c r="E154" s="209"/>
      <c r="F154" s="215">
        <v>489140.4</v>
      </c>
      <c r="G154" s="203">
        <v>0</v>
      </c>
      <c r="H154" s="215">
        <f>H155+H164</f>
        <v>489140.4</v>
      </c>
      <c r="I154" s="203">
        <f>I155+I164</f>
        <v>0</v>
      </c>
      <c r="J154" s="216">
        <f t="shared" si="10"/>
        <v>0</v>
      </c>
      <c r="K154" s="204">
        <f t="shared" si="11"/>
        <v>0</v>
      </c>
    </row>
    <row r="155" spans="1:11" x14ac:dyDescent="0.2">
      <c r="A155" s="202" t="s">
        <v>1042</v>
      </c>
      <c r="B155" s="209" t="s">
        <v>498</v>
      </c>
      <c r="C155" s="209" t="s">
        <v>592</v>
      </c>
      <c r="D155" s="209" t="s">
        <v>1041</v>
      </c>
      <c r="E155" s="209"/>
      <c r="F155" s="215">
        <v>149305.50000000003</v>
      </c>
      <c r="G155" s="203">
        <v>0</v>
      </c>
      <c r="H155" s="215">
        <f>H156+H160</f>
        <v>149305.50000000003</v>
      </c>
      <c r="I155" s="203">
        <f>I156</f>
        <v>0</v>
      </c>
      <c r="J155" s="216">
        <f t="shared" si="10"/>
        <v>0</v>
      </c>
      <c r="K155" s="204">
        <f t="shared" si="11"/>
        <v>0</v>
      </c>
    </row>
    <row r="156" spans="1:11" ht="22.5" x14ac:dyDescent="0.2">
      <c r="A156" s="202" t="s">
        <v>1040</v>
      </c>
      <c r="B156" s="209" t="s">
        <v>498</v>
      </c>
      <c r="C156" s="209" t="s">
        <v>592</v>
      </c>
      <c r="D156" s="209" t="s">
        <v>1039</v>
      </c>
      <c r="E156" s="209"/>
      <c r="F156" s="215">
        <v>147805.50000000003</v>
      </c>
      <c r="G156" s="203">
        <v>0</v>
      </c>
      <c r="H156" s="215">
        <f>H157</f>
        <v>147805.50000000003</v>
      </c>
      <c r="I156" s="203">
        <f>I157</f>
        <v>0</v>
      </c>
      <c r="J156" s="216">
        <f t="shared" si="10"/>
        <v>0</v>
      </c>
      <c r="K156" s="204">
        <f t="shared" si="11"/>
        <v>0</v>
      </c>
    </row>
    <row r="157" spans="1:11" ht="22.5" x14ac:dyDescent="0.2">
      <c r="A157" s="202" t="s">
        <v>1234</v>
      </c>
      <c r="B157" s="209" t="s">
        <v>498</v>
      </c>
      <c r="C157" s="209" t="s">
        <v>592</v>
      </c>
      <c r="D157" s="209" t="s">
        <v>1233</v>
      </c>
      <c r="E157" s="209"/>
      <c r="F157" s="215">
        <v>147805.50000000003</v>
      </c>
      <c r="G157" s="203">
        <v>0</v>
      </c>
      <c r="H157" s="215">
        <f>H158</f>
        <v>147805.50000000003</v>
      </c>
      <c r="I157" s="203">
        <f>I158</f>
        <v>0</v>
      </c>
      <c r="J157" s="216">
        <f t="shared" si="10"/>
        <v>0</v>
      </c>
      <c r="K157" s="204">
        <f t="shared" si="11"/>
        <v>0</v>
      </c>
    </row>
    <row r="158" spans="1:11" ht="22.5" x14ac:dyDescent="0.2">
      <c r="A158" s="202" t="s">
        <v>547</v>
      </c>
      <c r="B158" s="209" t="s">
        <v>498</v>
      </c>
      <c r="C158" s="209" t="s">
        <v>592</v>
      </c>
      <c r="D158" s="209" t="s">
        <v>1233</v>
      </c>
      <c r="E158" s="209" t="s">
        <v>519</v>
      </c>
      <c r="F158" s="215">
        <v>147805.50000000003</v>
      </c>
      <c r="G158" s="203">
        <v>0</v>
      </c>
      <c r="H158" s="215">
        <f>H159</f>
        <v>147805.50000000003</v>
      </c>
      <c r="I158" s="203">
        <f>I159</f>
        <v>0</v>
      </c>
      <c r="J158" s="216">
        <f t="shared" ref="J158:J251" si="27">H158-F158</f>
        <v>0</v>
      </c>
      <c r="K158" s="204">
        <f t="shared" ref="K158:K251" si="28">I158-G158</f>
        <v>0</v>
      </c>
    </row>
    <row r="159" spans="1:11" x14ac:dyDescent="0.2">
      <c r="A159" s="202" t="s">
        <v>571</v>
      </c>
      <c r="B159" s="209" t="s">
        <v>498</v>
      </c>
      <c r="C159" s="209" t="s">
        <v>592</v>
      </c>
      <c r="D159" s="209" t="s">
        <v>1233</v>
      </c>
      <c r="E159" s="209" t="s">
        <v>522</v>
      </c>
      <c r="F159" s="215">
        <v>147805.50000000003</v>
      </c>
      <c r="G159" s="203">
        <v>0</v>
      </c>
      <c r="H159" s="215">
        <f>'Ведомственная 2020'!H123</f>
        <v>147805.50000000003</v>
      </c>
      <c r="I159" s="203">
        <v>0</v>
      </c>
      <c r="J159" s="216">
        <f t="shared" si="27"/>
        <v>0</v>
      </c>
      <c r="K159" s="204">
        <f t="shared" si="28"/>
        <v>0</v>
      </c>
    </row>
    <row r="160" spans="1:11" ht="22.5" x14ac:dyDescent="0.2">
      <c r="A160" s="202" t="s">
        <v>600</v>
      </c>
      <c r="B160" s="209" t="s">
        <v>498</v>
      </c>
      <c r="C160" s="209" t="s">
        <v>592</v>
      </c>
      <c r="D160" s="209" t="s">
        <v>1232</v>
      </c>
      <c r="E160" s="209"/>
      <c r="F160" s="215">
        <v>1500</v>
      </c>
      <c r="G160" s="203">
        <v>0</v>
      </c>
      <c r="H160" s="215">
        <f t="shared" ref="H160:I162" si="29">H161</f>
        <v>1500</v>
      </c>
      <c r="I160" s="203">
        <f t="shared" si="29"/>
        <v>0</v>
      </c>
      <c r="J160" s="216">
        <f t="shared" si="27"/>
        <v>0</v>
      </c>
      <c r="K160" s="204">
        <f t="shared" si="28"/>
        <v>0</v>
      </c>
    </row>
    <row r="161" spans="1:11" x14ac:dyDescent="0.2">
      <c r="A161" s="202" t="s">
        <v>1231</v>
      </c>
      <c r="B161" s="209" t="s">
        <v>498</v>
      </c>
      <c r="C161" s="209" t="s">
        <v>592</v>
      </c>
      <c r="D161" s="209" t="s">
        <v>1230</v>
      </c>
      <c r="E161" s="209"/>
      <c r="F161" s="215">
        <v>1500</v>
      </c>
      <c r="G161" s="203">
        <v>0</v>
      </c>
      <c r="H161" s="215">
        <f t="shared" si="29"/>
        <v>1500</v>
      </c>
      <c r="I161" s="203">
        <f t="shared" si="29"/>
        <v>0</v>
      </c>
      <c r="J161" s="216">
        <f t="shared" si="27"/>
        <v>0</v>
      </c>
      <c r="K161" s="204">
        <f t="shared" si="28"/>
        <v>0</v>
      </c>
    </row>
    <row r="162" spans="1:11" x14ac:dyDescent="0.2">
      <c r="A162" s="202" t="s">
        <v>1347</v>
      </c>
      <c r="B162" s="209" t="s">
        <v>498</v>
      </c>
      <c r="C162" s="209" t="s">
        <v>592</v>
      </c>
      <c r="D162" s="209" t="s">
        <v>1230</v>
      </c>
      <c r="E162" s="209" t="s">
        <v>535</v>
      </c>
      <c r="F162" s="215">
        <v>1500</v>
      </c>
      <c r="G162" s="203">
        <v>0</v>
      </c>
      <c r="H162" s="215">
        <f t="shared" si="29"/>
        <v>1500</v>
      </c>
      <c r="I162" s="203">
        <f t="shared" si="29"/>
        <v>0</v>
      </c>
      <c r="J162" s="216">
        <f t="shared" si="27"/>
        <v>0</v>
      </c>
      <c r="K162" s="204">
        <f t="shared" si="28"/>
        <v>0</v>
      </c>
    </row>
    <row r="163" spans="1:11" ht="22.5" x14ac:dyDescent="0.2">
      <c r="A163" s="202" t="s">
        <v>534</v>
      </c>
      <c r="B163" s="209" t="s">
        <v>498</v>
      </c>
      <c r="C163" s="209" t="s">
        <v>592</v>
      </c>
      <c r="D163" s="209" t="s">
        <v>1230</v>
      </c>
      <c r="E163" s="209" t="s">
        <v>529</v>
      </c>
      <c r="F163" s="215">
        <v>1500</v>
      </c>
      <c r="G163" s="203">
        <v>0</v>
      </c>
      <c r="H163" s="215">
        <f>'Ведомственная 2020'!H127</f>
        <v>1500</v>
      </c>
      <c r="I163" s="203">
        <v>0</v>
      </c>
      <c r="J163" s="216">
        <f t="shared" si="27"/>
        <v>0</v>
      </c>
      <c r="K163" s="204">
        <f t="shared" si="28"/>
        <v>0</v>
      </c>
    </row>
    <row r="164" spans="1:11" x14ac:dyDescent="0.2">
      <c r="A164" s="202" t="s">
        <v>602</v>
      </c>
      <c r="B164" s="209" t="s">
        <v>498</v>
      </c>
      <c r="C164" s="209" t="s">
        <v>592</v>
      </c>
      <c r="D164" s="209" t="s">
        <v>601</v>
      </c>
      <c r="E164" s="209"/>
      <c r="F164" s="215">
        <v>339834.89999999997</v>
      </c>
      <c r="G164" s="203">
        <v>0</v>
      </c>
      <c r="H164" s="215">
        <f>H165</f>
        <v>339834.89999999997</v>
      </c>
      <c r="I164" s="203">
        <f>I165</f>
        <v>0</v>
      </c>
      <c r="J164" s="216">
        <f t="shared" si="27"/>
        <v>0</v>
      </c>
      <c r="K164" s="204">
        <f t="shared" si="28"/>
        <v>0</v>
      </c>
    </row>
    <row r="165" spans="1:11" ht="22.5" x14ac:dyDescent="0.2">
      <c r="A165" s="202" t="s">
        <v>600</v>
      </c>
      <c r="B165" s="209" t="s">
        <v>498</v>
      </c>
      <c r="C165" s="209" t="s">
        <v>592</v>
      </c>
      <c r="D165" s="209" t="s">
        <v>599</v>
      </c>
      <c r="E165" s="209"/>
      <c r="F165" s="215">
        <v>339834.89999999997</v>
      </c>
      <c r="G165" s="203">
        <v>0</v>
      </c>
      <c r="H165" s="215">
        <f>H166+H169+H172+H179+H188</f>
        <v>339834.89999999997</v>
      </c>
      <c r="I165" s="203">
        <f>I166+I169+I172+I179+I188</f>
        <v>0</v>
      </c>
      <c r="J165" s="216">
        <f t="shared" si="27"/>
        <v>0</v>
      </c>
      <c r="K165" s="204">
        <f t="shared" si="28"/>
        <v>0</v>
      </c>
    </row>
    <row r="166" spans="1:11" x14ac:dyDescent="0.2">
      <c r="A166" s="202" t="s">
        <v>598</v>
      </c>
      <c r="B166" s="209" t="s">
        <v>498</v>
      </c>
      <c r="C166" s="209" t="s">
        <v>592</v>
      </c>
      <c r="D166" s="209" t="s">
        <v>597</v>
      </c>
      <c r="E166" s="209"/>
      <c r="F166" s="215">
        <v>11189.3</v>
      </c>
      <c r="G166" s="203">
        <v>0</v>
      </c>
      <c r="H166" s="215">
        <f>H167</f>
        <v>11189.3</v>
      </c>
      <c r="I166" s="203">
        <f>I167</f>
        <v>0</v>
      </c>
      <c r="J166" s="216">
        <f t="shared" si="27"/>
        <v>0</v>
      </c>
      <c r="K166" s="204">
        <f t="shared" si="28"/>
        <v>0</v>
      </c>
    </row>
    <row r="167" spans="1:11" x14ac:dyDescent="0.2">
      <c r="A167" s="202" t="s">
        <v>1347</v>
      </c>
      <c r="B167" s="209" t="s">
        <v>498</v>
      </c>
      <c r="C167" s="209" t="s">
        <v>592</v>
      </c>
      <c r="D167" s="209" t="s">
        <v>597</v>
      </c>
      <c r="E167" s="209" t="s">
        <v>535</v>
      </c>
      <c r="F167" s="215">
        <v>11189.3</v>
      </c>
      <c r="G167" s="203">
        <v>0</v>
      </c>
      <c r="H167" s="215">
        <f>H168</f>
        <v>11189.3</v>
      </c>
      <c r="I167" s="203">
        <f>I168</f>
        <v>0</v>
      </c>
      <c r="J167" s="216">
        <f t="shared" si="27"/>
        <v>0</v>
      </c>
      <c r="K167" s="204">
        <f t="shared" si="28"/>
        <v>0</v>
      </c>
    </row>
    <row r="168" spans="1:11" ht="22.5" x14ac:dyDescent="0.2">
      <c r="A168" s="202" t="s">
        <v>534</v>
      </c>
      <c r="B168" s="209" t="s">
        <v>498</v>
      </c>
      <c r="C168" s="209" t="s">
        <v>592</v>
      </c>
      <c r="D168" s="209" t="s">
        <v>597</v>
      </c>
      <c r="E168" s="209" t="s">
        <v>529</v>
      </c>
      <c r="F168" s="215">
        <v>11189.3</v>
      </c>
      <c r="G168" s="203">
        <v>0</v>
      </c>
      <c r="H168" s="215">
        <f>'Ведомственная 2020'!H132</f>
        <v>11189.3</v>
      </c>
      <c r="I168" s="203">
        <v>0</v>
      </c>
      <c r="J168" s="216">
        <f t="shared" si="27"/>
        <v>0</v>
      </c>
      <c r="K168" s="204">
        <f t="shared" si="28"/>
        <v>0</v>
      </c>
    </row>
    <row r="169" spans="1:11" x14ac:dyDescent="0.2">
      <c r="A169" s="202" t="s">
        <v>1229</v>
      </c>
      <c r="B169" s="209" t="s">
        <v>498</v>
      </c>
      <c r="C169" s="209" t="s">
        <v>592</v>
      </c>
      <c r="D169" s="209" t="s">
        <v>1228</v>
      </c>
      <c r="E169" s="209"/>
      <c r="F169" s="215">
        <v>954.8</v>
      </c>
      <c r="G169" s="203">
        <v>0</v>
      </c>
      <c r="H169" s="215">
        <f>H170</f>
        <v>954.8</v>
      </c>
      <c r="I169" s="203">
        <f>I170</f>
        <v>0</v>
      </c>
      <c r="J169" s="216">
        <f t="shared" si="27"/>
        <v>0</v>
      </c>
      <c r="K169" s="204">
        <f t="shared" si="28"/>
        <v>0</v>
      </c>
    </row>
    <row r="170" spans="1:11" x14ac:dyDescent="0.2">
      <c r="A170" s="202" t="s">
        <v>615</v>
      </c>
      <c r="B170" s="209" t="s">
        <v>498</v>
      </c>
      <c r="C170" s="209" t="s">
        <v>592</v>
      </c>
      <c r="D170" s="209" t="s">
        <v>1228</v>
      </c>
      <c r="E170" s="209" t="s">
        <v>509</v>
      </c>
      <c r="F170" s="215">
        <v>954.8</v>
      </c>
      <c r="G170" s="203">
        <v>0</v>
      </c>
      <c r="H170" s="215">
        <f>H171</f>
        <v>954.8</v>
      </c>
      <c r="I170" s="203">
        <f>I171</f>
        <v>0</v>
      </c>
      <c r="J170" s="216">
        <f t="shared" si="27"/>
        <v>0</v>
      </c>
      <c r="K170" s="204">
        <f t="shared" si="28"/>
        <v>0</v>
      </c>
    </row>
    <row r="171" spans="1:11" x14ac:dyDescent="0.2">
      <c r="A171" s="202" t="s">
        <v>752</v>
      </c>
      <c r="B171" s="209" t="s">
        <v>498</v>
      </c>
      <c r="C171" s="209" t="s">
        <v>592</v>
      </c>
      <c r="D171" s="209" t="s">
        <v>1228</v>
      </c>
      <c r="E171" s="209" t="s">
        <v>750</v>
      </c>
      <c r="F171" s="215">
        <v>954.8</v>
      </c>
      <c r="G171" s="203">
        <v>0</v>
      </c>
      <c r="H171" s="215">
        <f>'Ведомственная 2020'!H135</f>
        <v>954.8</v>
      </c>
      <c r="I171" s="203">
        <v>0</v>
      </c>
      <c r="J171" s="216">
        <f t="shared" si="27"/>
        <v>0</v>
      </c>
      <c r="K171" s="204">
        <f t="shared" si="28"/>
        <v>0</v>
      </c>
    </row>
    <row r="172" spans="1:11" ht="22.5" x14ac:dyDescent="0.2">
      <c r="A172" s="202" t="s">
        <v>761</v>
      </c>
      <c r="B172" s="209" t="s">
        <v>498</v>
      </c>
      <c r="C172" s="209" t="s">
        <v>592</v>
      </c>
      <c r="D172" s="209" t="s">
        <v>759</v>
      </c>
      <c r="E172" s="209"/>
      <c r="F172" s="215">
        <v>128099.90000000001</v>
      </c>
      <c r="G172" s="203">
        <v>0</v>
      </c>
      <c r="H172" s="215">
        <f>H173+H175+H177</f>
        <v>128099.90000000001</v>
      </c>
      <c r="I172" s="203">
        <f>I173+I175+I177</f>
        <v>0</v>
      </c>
      <c r="J172" s="216">
        <f t="shared" si="27"/>
        <v>0</v>
      </c>
      <c r="K172" s="204">
        <f t="shared" si="28"/>
        <v>0</v>
      </c>
    </row>
    <row r="173" spans="1:11" ht="33.75" x14ac:dyDescent="0.2">
      <c r="A173" s="202" t="s">
        <v>1348</v>
      </c>
      <c r="B173" s="209" t="s">
        <v>498</v>
      </c>
      <c r="C173" s="209" t="s">
        <v>592</v>
      </c>
      <c r="D173" s="209" t="s">
        <v>759</v>
      </c>
      <c r="E173" s="209" t="s">
        <v>556</v>
      </c>
      <c r="F173" s="215">
        <v>121404.6</v>
      </c>
      <c r="G173" s="203">
        <v>0</v>
      </c>
      <c r="H173" s="215">
        <f>H174</f>
        <v>121404.6</v>
      </c>
      <c r="I173" s="203">
        <f>I174</f>
        <v>0</v>
      </c>
      <c r="J173" s="216">
        <f t="shared" si="27"/>
        <v>0</v>
      </c>
      <c r="K173" s="204">
        <f t="shared" si="28"/>
        <v>0</v>
      </c>
    </row>
    <row r="174" spans="1:11" x14ac:dyDescent="0.2">
      <c r="A174" s="202" t="s">
        <v>555</v>
      </c>
      <c r="B174" s="209" t="s">
        <v>498</v>
      </c>
      <c r="C174" s="209" t="s">
        <v>592</v>
      </c>
      <c r="D174" s="209" t="s">
        <v>759</v>
      </c>
      <c r="E174" s="209" t="s">
        <v>554</v>
      </c>
      <c r="F174" s="215">
        <v>121404.6</v>
      </c>
      <c r="G174" s="203">
        <v>0</v>
      </c>
      <c r="H174" s="215">
        <f>'Ведомственная 2020'!H138</f>
        <v>121404.6</v>
      </c>
      <c r="I174" s="203">
        <v>0</v>
      </c>
      <c r="J174" s="216">
        <f t="shared" si="27"/>
        <v>0</v>
      </c>
      <c r="K174" s="204">
        <f t="shared" si="28"/>
        <v>0</v>
      </c>
    </row>
    <row r="175" spans="1:11" x14ac:dyDescent="0.2">
      <c r="A175" s="202" t="s">
        <v>1347</v>
      </c>
      <c r="B175" s="209" t="s">
        <v>498</v>
      </c>
      <c r="C175" s="209" t="s">
        <v>592</v>
      </c>
      <c r="D175" s="209" t="s">
        <v>759</v>
      </c>
      <c r="E175" s="209" t="s">
        <v>535</v>
      </c>
      <c r="F175" s="215">
        <v>6658.3</v>
      </c>
      <c r="G175" s="203">
        <v>0</v>
      </c>
      <c r="H175" s="215">
        <f>H176</f>
        <v>6658.3</v>
      </c>
      <c r="I175" s="203">
        <f>I176</f>
        <v>0</v>
      </c>
      <c r="J175" s="216">
        <f t="shared" si="27"/>
        <v>0</v>
      </c>
      <c r="K175" s="204">
        <f t="shared" si="28"/>
        <v>0</v>
      </c>
    </row>
    <row r="176" spans="1:11" ht="22.5" x14ac:dyDescent="0.2">
      <c r="A176" s="202" t="s">
        <v>534</v>
      </c>
      <c r="B176" s="209" t="s">
        <v>498</v>
      </c>
      <c r="C176" s="209" t="s">
        <v>592</v>
      </c>
      <c r="D176" s="209" t="s">
        <v>759</v>
      </c>
      <c r="E176" s="209" t="s">
        <v>529</v>
      </c>
      <c r="F176" s="215">
        <v>6658.3</v>
      </c>
      <c r="G176" s="203">
        <v>0</v>
      </c>
      <c r="H176" s="215">
        <f>'Ведомственная 2020'!H140</f>
        <v>6658.3</v>
      </c>
      <c r="I176" s="203">
        <v>0</v>
      </c>
      <c r="J176" s="216">
        <f t="shared" si="27"/>
        <v>0</v>
      </c>
      <c r="K176" s="204">
        <f t="shared" si="28"/>
        <v>0</v>
      </c>
    </row>
    <row r="177" spans="1:11" x14ac:dyDescent="0.2">
      <c r="A177" s="202" t="s">
        <v>615</v>
      </c>
      <c r="B177" s="209" t="s">
        <v>498</v>
      </c>
      <c r="C177" s="209" t="s">
        <v>592</v>
      </c>
      <c r="D177" s="209" t="s">
        <v>759</v>
      </c>
      <c r="E177" s="209" t="s">
        <v>509</v>
      </c>
      <c r="F177" s="215">
        <v>37</v>
      </c>
      <c r="G177" s="203">
        <v>0</v>
      </c>
      <c r="H177" s="215">
        <f>H178</f>
        <v>37</v>
      </c>
      <c r="I177" s="203">
        <f>I178</f>
        <v>0</v>
      </c>
      <c r="J177" s="216">
        <f t="shared" si="27"/>
        <v>0</v>
      </c>
      <c r="K177" s="204">
        <f t="shared" si="28"/>
        <v>0</v>
      </c>
    </row>
    <row r="178" spans="1:11" x14ac:dyDescent="0.2">
      <c r="A178" s="202" t="s">
        <v>614</v>
      </c>
      <c r="B178" s="209" t="s">
        <v>498</v>
      </c>
      <c r="C178" s="209" t="s">
        <v>592</v>
      </c>
      <c r="D178" s="209" t="s">
        <v>759</v>
      </c>
      <c r="E178" s="209" t="s">
        <v>613</v>
      </c>
      <c r="F178" s="215">
        <v>37</v>
      </c>
      <c r="G178" s="203">
        <v>0</v>
      </c>
      <c r="H178" s="215">
        <f>'Ведомственная 2020'!H142</f>
        <v>37</v>
      </c>
      <c r="I178" s="203">
        <v>0</v>
      </c>
      <c r="J178" s="216">
        <f t="shared" si="27"/>
        <v>0</v>
      </c>
      <c r="K178" s="204">
        <f t="shared" si="28"/>
        <v>0</v>
      </c>
    </row>
    <row r="179" spans="1:11" ht="22.5" x14ac:dyDescent="0.2">
      <c r="A179" s="202" t="s">
        <v>1227</v>
      </c>
      <c r="B179" s="209" t="s">
        <v>498</v>
      </c>
      <c r="C179" s="209" t="s">
        <v>592</v>
      </c>
      <c r="D179" s="209" t="s">
        <v>1226</v>
      </c>
      <c r="E179" s="209"/>
      <c r="F179" s="215">
        <v>176890.59999999998</v>
      </c>
      <c r="G179" s="203">
        <v>0</v>
      </c>
      <c r="H179" s="215">
        <f>H180+H182+H186+H184</f>
        <v>176890.59999999998</v>
      </c>
      <c r="I179" s="203">
        <f>I180+I182+I186</f>
        <v>0</v>
      </c>
      <c r="J179" s="216">
        <f t="shared" si="27"/>
        <v>0</v>
      </c>
      <c r="K179" s="204">
        <f t="shared" si="28"/>
        <v>0</v>
      </c>
    </row>
    <row r="180" spans="1:11" ht="33.75" x14ac:dyDescent="0.2">
      <c r="A180" s="202" t="s">
        <v>1348</v>
      </c>
      <c r="B180" s="209" t="s">
        <v>498</v>
      </c>
      <c r="C180" s="209" t="s">
        <v>592</v>
      </c>
      <c r="D180" s="209" t="s">
        <v>1226</v>
      </c>
      <c r="E180" s="209" t="s">
        <v>556</v>
      </c>
      <c r="F180" s="215">
        <v>155558</v>
      </c>
      <c r="G180" s="203">
        <v>0</v>
      </c>
      <c r="H180" s="215">
        <f>H181</f>
        <v>155558</v>
      </c>
      <c r="I180" s="203">
        <f>I181</f>
        <v>0</v>
      </c>
      <c r="J180" s="216">
        <f t="shared" si="27"/>
        <v>0</v>
      </c>
      <c r="K180" s="204">
        <f t="shared" si="28"/>
        <v>0</v>
      </c>
    </row>
    <row r="181" spans="1:11" x14ac:dyDescent="0.2">
      <c r="A181" s="202" t="s">
        <v>555</v>
      </c>
      <c r="B181" s="209" t="s">
        <v>498</v>
      </c>
      <c r="C181" s="209" t="s">
        <v>592</v>
      </c>
      <c r="D181" s="209" t="s">
        <v>1226</v>
      </c>
      <c r="E181" s="209" t="s">
        <v>554</v>
      </c>
      <c r="F181" s="215">
        <v>155558</v>
      </c>
      <c r="G181" s="203">
        <v>0</v>
      </c>
      <c r="H181" s="215">
        <f>'Ведомственная 2020'!H145</f>
        <v>155558</v>
      </c>
      <c r="I181" s="203">
        <v>0</v>
      </c>
      <c r="J181" s="216">
        <f t="shared" si="27"/>
        <v>0</v>
      </c>
      <c r="K181" s="204">
        <f t="shared" si="28"/>
        <v>0</v>
      </c>
    </row>
    <row r="182" spans="1:11" x14ac:dyDescent="0.2">
      <c r="A182" s="202" t="s">
        <v>1347</v>
      </c>
      <c r="B182" s="209" t="s">
        <v>498</v>
      </c>
      <c r="C182" s="209" t="s">
        <v>592</v>
      </c>
      <c r="D182" s="209" t="s">
        <v>1226</v>
      </c>
      <c r="E182" s="209" t="s">
        <v>535</v>
      </c>
      <c r="F182" s="215">
        <v>19859.3</v>
      </c>
      <c r="G182" s="203">
        <v>0</v>
      </c>
      <c r="H182" s="215">
        <f>H183</f>
        <v>19859.3</v>
      </c>
      <c r="I182" s="203">
        <f>I183</f>
        <v>0</v>
      </c>
      <c r="J182" s="216">
        <f t="shared" si="27"/>
        <v>0</v>
      </c>
      <c r="K182" s="204">
        <f t="shared" si="28"/>
        <v>0</v>
      </c>
    </row>
    <row r="183" spans="1:11" ht="22.5" x14ac:dyDescent="0.2">
      <c r="A183" s="202" t="s">
        <v>534</v>
      </c>
      <c r="B183" s="209" t="s">
        <v>498</v>
      </c>
      <c r="C183" s="209" t="s">
        <v>592</v>
      </c>
      <c r="D183" s="209" t="s">
        <v>1226</v>
      </c>
      <c r="E183" s="209" t="s">
        <v>529</v>
      </c>
      <c r="F183" s="215">
        <v>19859.3</v>
      </c>
      <c r="G183" s="203">
        <v>0</v>
      </c>
      <c r="H183" s="215">
        <f>'Ведомственная 2020'!H147</f>
        <v>19859.3</v>
      </c>
      <c r="I183" s="203">
        <v>0</v>
      </c>
      <c r="J183" s="216">
        <f t="shared" si="27"/>
        <v>0</v>
      </c>
      <c r="K183" s="204">
        <f t="shared" si="28"/>
        <v>0</v>
      </c>
    </row>
    <row r="184" spans="1:11" s="231" customFormat="1" x14ac:dyDescent="0.2">
      <c r="A184" s="202" t="s">
        <v>553</v>
      </c>
      <c r="B184" s="209" t="s">
        <v>498</v>
      </c>
      <c r="C184" s="209" t="s">
        <v>592</v>
      </c>
      <c r="D184" s="209" t="s">
        <v>1226</v>
      </c>
      <c r="E184" s="209">
        <v>300</v>
      </c>
      <c r="F184" s="215">
        <v>970</v>
      </c>
      <c r="G184" s="203">
        <v>0</v>
      </c>
      <c r="H184" s="215">
        <f>H185</f>
        <v>970</v>
      </c>
      <c r="I184" s="203">
        <f>I185</f>
        <v>0</v>
      </c>
      <c r="J184" s="216">
        <f t="shared" ref="J184:J185" si="30">H184-F184</f>
        <v>0</v>
      </c>
      <c r="K184" s="204">
        <f t="shared" ref="K184:K185" si="31">I184-G184</f>
        <v>0</v>
      </c>
    </row>
    <row r="185" spans="1:11" s="231" customFormat="1" x14ac:dyDescent="0.2">
      <c r="A185" s="202" t="s">
        <v>832</v>
      </c>
      <c r="B185" s="209" t="s">
        <v>498</v>
      </c>
      <c r="C185" s="209" t="s">
        <v>592</v>
      </c>
      <c r="D185" s="209" t="s">
        <v>1226</v>
      </c>
      <c r="E185" s="209">
        <v>320</v>
      </c>
      <c r="F185" s="215">
        <v>970</v>
      </c>
      <c r="G185" s="203">
        <v>0</v>
      </c>
      <c r="H185" s="215">
        <f>'Ведомственная 2020'!H149</f>
        <v>970</v>
      </c>
      <c r="I185" s="203">
        <v>0</v>
      </c>
      <c r="J185" s="216">
        <f t="shared" si="30"/>
        <v>0</v>
      </c>
      <c r="K185" s="204">
        <f t="shared" si="31"/>
        <v>0</v>
      </c>
    </row>
    <row r="186" spans="1:11" x14ac:dyDescent="0.2">
      <c r="A186" s="202" t="s">
        <v>615</v>
      </c>
      <c r="B186" s="209" t="s">
        <v>498</v>
      </c>
      <c r="C186" s="209" t="s">
        <v>592</v>
      </c>
      <c r="D186" s="209" t="s">
        <v>1226</v>
      </c>
      <c r="E186" s="209" t="s">
        <v>509</v>
      </c>
      <c r="F186" s="215">
        <v>503.3</v>
      </c>
      <c r="G186" s="203">
        <v>0</v>
      </c>
      <c r="H186" s="215">
        <f>H187</f>
        <v>503.3</v>
      </c>
      <c r="I186" s="203">
        <f>I187</f>
        <v>0</v>
      </c>
      <c r="J186" s="216">
        <f t="shared" si="27"/>
        <v>0</v>
      </c>
      <c r="K186" s="204">
        <f t="shared" si="28"/>
        <v>0</v>
      </c>
    </row>
    <row r="187" spans="1:11" x14ac:dyDescent="0.2">
      <c r="A187" s="202" t="s">
        <v>614</v>
      </c>
      <c r="B187" s="209" t="s">
        <v>498</v>
      </c>
      <c r="C187" s="209" t="s">
        <v>592</v>
      </c>
      <c r="D187" s="209" t="s">
        <v>1226</v>
      </c>
      <c r="E187" s="209" t="s">
        <v>613</v>
      </c>
      <c r="F187" s="215">
        <v>503.3</v>
      </c>
      <c r="G187" s="203">
        <v>0</v>
      </c>
      <c r="H187" s="215">
        <f>'Ведомственная 2020'!H151</f>
        <v>503.3</v>
      </c>
      <c r="I187" s="203">
        <v>0</v>
      </c>
      <c r="J187" s="216">
        <f t="shared" si="27"/>
        <v>0</v>
      </c>
      <c r="K187" s="204">
        <f t="shared" si="28"/>
        <v>0</v>
      </c>
    </row>
    <row r="188" spans="1:11" ht="33.75" x14ac:dyDescent="0.2">
      <c r="A188" s="202" t="s">
        <v>1225</v>
      </c>
      <c r="B188" s="209" t="s">
        <v>498</v>
      </c>
      <c r="C188" s="209" t="s">
        <v>592</v>
      </c>
      <c r="D188" s="209" t="s">
        <v>1224</v>
      </c>
      <c r="E188" s="209"/>
      <c r="F188" s="215">
        <v>22700.300000000003</v>
      </c>
      <c r="G188" s="203">
        <v>0</v>
      </c>
      <c r="H188" s="215">
        <f>H189+H191</f>
        <v>22700.300000000003</v>
      </c>
      <c r="I188" s="203">
        <f>I189+I191</f>
        <v>0</v>
      </c>
      <c r="J188" s="216">
        <f t="shared" si="27"/>
        <v>0</v>
      </c>
      <c r="K188" s="204">
        <f t="shared" si="28"/>
        <v>0</v>
      </c>
    </row>
    <row r="189" spans="1:11" ht="33.75" x14ac:dyDescent="0.2">
      <c r="A189" s="202" t="s">
        <v>1348</v>
      </c>
      <c r="B189" s="209" t="s">
        <v>498</v>
      </c>
      <c r="C189" s="209" t="s">
        <v>592</v>
      </c>
      <c r="D189" s="209" t="s">
        <v>1224</v>
      </c>
      <c r="E189" s="209" t="s">
        <v>556</v>
      </c>
      <c r="F189" s="215">
        <v>20981.100000000002</v>
      </c>
      <c r="G189" s="203">
        <v>0</v>
      </c>
      <c r="H189" s="215">
        <f>H190</f>
        <v>20981.100000000002</v>
      </c>
      <c r="I189" s="203">
        <f>I190</f>
        <v>0</v>
      </c>
      <c r="J189" s="216">
        <f t="shared" si="27"/>
        <v>0</v>
      </c>
      <c r="K189" s="204">
        <f t="shared" si="28"/>
        <v>0</v>
      </c>
    </row>
    <row r="190" spans="1:11" x14ac:dyDescent="0.2">
      <c r="A190" s="202" t="s">
        <v>555</v>
      </c>
      <c r="B190" s="209" t="s">
        <v>498</v>
      </c>
      <c r="C190" s="209" t="s">
        <v>592</v>
      </c>
      <c r="D190" s="209" t="s">
        <v>1224</v>
      </c>
      <c r="E190" s="209" t="s">
        <v>554</v>
      </c>
      <c r="F190" s="215">
        <v>20981.100000000002</v>
      </c>
      <c r="G190" s="203">
        <v>0</v>
      </c>
      <c r="H190" s="215">
        <f>'Ведомственная 2020'!H154</f>
        <v>20981.100000000002</v>
      </c>
      <c r="I190" s="203">
        <v>0</v>
      </c>
      <c r="J190" s="216">
        <f t="shared" si="27"/>
        <v>0</v>
      </c>
      <c r="K190" s="204">
        <f t="shared" si="28"/>
        <v>0</v>
      </c>
    </row>
    <row r="191" spans="1:11" x14ac:dyDescent="0.2">
      <c r="A191" s="202" t="s">
        <v>1347</v>
      </c>
      <c r="B191" s="209" t="s">
        <v>498</v>
      </c>
      <c r="C191" s="209" t="s">
        <v>592</v>
      </c>
      <c r="D191" s="209" t="s">
        <v>1224</v>
      </c>
      <c r="E191" s="209" t="s">
        <v>535</v>
      </c>
      <c r="F191" s="215">
        <v>1719.2</v>
      </c>
      <c r="G191" s="203">
        <v>0</v>
      </c>
      <c r="H191" s="215">
        <f>H192</f>
        <v>1719.2</v>
      </c>
      <c r="I191" s="203">
        <f>I192</f>
        <v>0</v>
      </c>
      <c r="J191" s="216">
        <f t="shared" si="27"/>
        <v>0</v>
      </c>
      <c r="K191" s="204">
        <f t="shared" si="28"/>
        <v>0</v>
      </c>
    </row>
    <row r="192" spans="1:11" ht="22.5" x14ac:dyDescent="0.2">
      <c r="A192" s="202" t="s">
        <v>534</v>
      </c>
      <c r="B192" s="209" t="s">
        <v>498</v>
      </c>
      <c r="C192" s="209" t="s">
        <v>592</v>
      </c>
      <c r="D192" s="209" t="s">
        <v>1224</v>
      </c>
      <c r="E192" s="209" t="s">
        <v>529</v>
      </c>
      <c r="F192" s="215">
        <v>1719.2</v>
      </c>
      <c r="G192" s="203">
        <v>0</v>
      </c>
      <c r="H192" s="215">
        <f>'Ведомственная 2020'!H156</f>
        <v>1719.2</v>
      </c>
      <c r="I192" s="203">
        <v>0</v>
      </c>
      <c r="J192" s="216">
        <f t="shared" si="27"/>
        <v>0</v>
      </c>
      <c r="K192" s="204">
        <f t="shared" si="28"/>
        <v>0</v>
      </c>
    </row>
    <row r="193" spans="1:11" ht="22.5" x14ac:dyDescent="0.2">
      <c r="A193" s="202" t="s">
        <v>588</v>
      </c>
      <c r="B193" s="209" t="s">
        <v>498</v>
      </c>
      <c r="C193" s="209" t="s">
        <v>592</v>
      </c>
      <c r="D193" s="209" t="s">
        <v>587</v>
      </c>
      <c r="E193" s="209"/>
      <c r="F193" s="215">
        <v>1976</v>
      </c>
      <c r="G193" s="203">
        <v>1726</v>
      </c>
      <c r="H193" s="215">
        <f>H194+H199</f>
        <v>1976</v>
      </c>
      <c r="I193" s="203">
        <f>I194+I199</f>
        <v>1726</v>
      </c>
      <c r="J193" s="216">
        <f t="shared" si="27"/>
        <v>0</v>
      </c>
      <c r="K193" s="204">
        <f t="shared" si="28"/>
        <v>0</v>
      </c>
    </row>
    <row r="194" spans="1:11" ht="33.75" x14ac:dyDescent="0.2">
      <c r="A194" s="202" t="s">
        <v>807</v>
      </c>
      <c r="B194" s="209" t="s">
        <v>498</v>
      </c>
      <c r="C194" s="209" t="s">
        <v>592</v>
      </c>
      <c r="D194" s="209" t="s">
        <v>806</v>
      </c>
      <c r="E194" s="209"/>
      <c r="F194" s="215">
        <v>250</v>
      </c>
      <c r="G194" s="203">
        <v>0</v>
      </c>
      <c r="H194" s="215">
        <f t="shared" ref="H194:I197" si="32">H195</f>
        <v>250</v>
      </c>
      <c r="I194" s="203">
        <f t="shared" si="32"/>
        <v>0</v>
      </c>
      <c r="J194" s="216">
        <f t="shared" si="27"/>
        <v>0</v>
      </c>
      <c r="K194" s="204">
        <f t="shared" si="28"/>
        <v>0</v>
      </c>
    </row>
    <row r="195" spans="1:11" ht="22.5" x14ac:dyDescent="0.2">
      <c r="A195" s="202" t="s">
        <v>799</v>
      </c>
      <c r="B195" s="209" t="s">
        <v>498</v>
      </c>
      <c r="C195" s="209" t="s">
        <v>592</v>
      </c>
      <c r="D195" s="209" t="s">
        <v>798</v>
      </c>
      <c r="E195" s="209"/>
      <c r="F195" s="215">
        <v>250</v>
      </c>
      <c r="G195" s="203">
        <v>0</v>
      </c>
      <c r="H195" s="215">
        <f t="shared" si="32"/>
        <v>250</v>
      </c>
      <c r="I195" s="203">
        <f t="shared" si="32"/>
        <v>0</v>
      </c>
      <c r="J195" s="216">
        <f t="shared" si="27"/>
        <v>0</v>
      </c>
      <c r="K195" s="204">
        <f t="shared" si="28"/>
        <v>0</v>
      </c>
    </row>
    <row r="196" spans="1:11" ht="33.75" x14ac:dyDescent="0.2">
      <c r="A196" s="202" t="s">
        <v>797</v>
      </c>
      <c r="B196" s="209" t="s">
        <v>498</v>
      </c>
      <c r="C196" s="209" t="s">
        <v>592</v>
      </c>
      <c r="D196" s="209" t="s">
        <v>796</v>
      </c>
      <c r="E196" s="209"/>
      <c r="F196" s="215">
        <v>250</v>
      </c>
      <c r="G196" s="203">
        <v>0</v>
      </c>
      <c r="H196" s="215">
        <f t="shared" si="32"/>
        <v>250</v>
      </c>
      <c r="I196" s="203">
        <f t="shared" si="32"/>
        <v>0</v>
      </c>
      <c r="J196" s="216">
        <f t="shared" si="27"/>
        <v>0</v>
      </c>
      <c r="K196" s="204">
        <f t="shared" si="28"/>
        <v>0</v>
      </c>
    </row>
    <row r="197" spans="1:11" x14ac:dyDescent="0.2">
      <c r="A197" s="202" t="s">
        <v>1347</v>
      </c>
      <c r="B197" s="209" t="s">
        <v>498</v>
      </c>
      <c r="C197" s="209" t="s">
        <v>592</v>
      </c>
      <c r="D197" s="209" t="s">
        <v>796</v>
      </c>
      <c r="E197" s="209" t="s">
        <v>535</v>
      </c>
      <c r="F197" s="215">
        <v>250</v>
      </c>
      <c r="G197" s="203">
        <v>0</v>
      </c>
      <c r="H197" s="215">
        <f t="shared" si="32"/>
        <v>250</v>
      </c>
      <c r="I197" s="203">
        <f t="shared" si="32"/>
        <v>0</v>
      </c>
      <c r="J197" s="216">
        <f t="shared" si="27"/>
        <v>0</v>
      </c>
      <c r="K197" s="204">
        <f t="shared" si="28"/>
        <v>0</v>
      </c>
    </row>
    <row r="198" spans="1:11" ht="22.5" x14ac:dyDescent="0.2">
      <c r="A198" s="202" t="s">
        <v>534</v>
      </c>
      <c r="B198" s="209" t="s">
        <v>498</v>
      </c>
      <c r="C198" s="209" t="s">
        <v>592</v>
      </c>
      <c r="D198" s="209" t="s">
        <v>796</v>
      </c>
      <c r="E198" s="209" t="s">
        <v>529</v>
      </c>
      <c r="F198" s="215">
        <v>250</v>
      </c>
      <c r="G198" s="203">
        <v>0</v>
      </c>
      <c r="H198" s="215">
        <f>'Ведомственная 2020'!H162</f>
        <v>250</v>
      </c>
      <c r="I198" s="203">
        <v>0</v>
      </c>
      <c r="J198" s="216">
        <f t="shared" si="27"/>
        <v>0</v>
      </c>
      <c r="K198" s="204">
        <f t="shared" si="28"/>
        <v>0</v>
      </c>
    </row>
    <row r="199" spans="1:11" x14ac:dyDescent="0.2">
      <c r="A199" s="202" t="s">
        <v>602</v>
      </c>
      <c r="B199" s="209" t="s">
        <v>498</v>
      </c>
      <c r="C199" s="209" t="s">
        <v>592</v>
      </c>
      <c r="D199" s="209" t="s">
        <v>1211</v>
      </c>
      <c r="E199" s="209"/>
      <c r="F199" s="215">
        <v>1726</v>
      </c>
      <c r="G199" s="203">
        <v>1726</v>
      </c>
      <c r="H199" s="215">
        <f>H204+H200</f>
        <v>1726</v>
      </c>
      <c r="I199" s="203">
        <f>I204+I200</f>
        <v>1726</v>
      </c>
      <c r="J199" s="216">
        <f t="shared" si="27"/>
        <v>0</v>
      </c>
      <c r="K199" s="204">
        <f t="shared" si="28"/>
        <v>0</v>
      </c>
    </row>
    <row r="200" spans="1:11" s="285" customFormat="1" ht="22.5" x14ac:dyDescent="0.2">
      <c r="A200" s="202" t="s">
        <v>1210</v>
      </c>
      <c r="B200" s="209" t="s">
        <v>498</v>
      </c>
      <c r="C200" s="209" t="s">
        <v>592</v>
      </c>
      <c r="D200" s="209" t="s">
        <v>1209</v>
      </c>
      <c r="E200" s="209"/>
      <c r="F200" s="215">
        <v>6</v>
      </c>
      <c r="G200" s="203">
        <v>6</v>
      </c>
      <c r="H200" s="215">
        <f t="shared" ref="H200:I202" si="33">H201</f>
        <v>6</v>
      </c>
      <c r="I200" s="203">
        <f t="shared" si="33"/>
        <v>6</v>
      </c>
      <c r="J200" s="216">
        <f t="shared" ref="J200:J203" si="34">H200-F200</f>
        <v>0</v>
      </c>
      <c r="K200" s="204">
        <f t="shared" ref="K200:K203" si="35">I200-G200</f>
        <v>0</v>
      </c>
    </row>
    <row r="201" spans="1:11" s="285" customFormat="1" ht="22.5" x14ac:dyDescent="0.2">
      <c r="A201" s="202" t="s">
        <v>1208</v>
      </c>
      <c r="B201" s="209" t="s">
        <v>498</v>
      </c>
      <c r="C201" s="209" t="s">
        <v>592</v>
      </c>
      <c r="D201" s="209" t="s">
        <v>1207</v>
      </c>
      <c r="E201" s="209"/>
      <c r="F201" s="215">
        <v>6</v>
      </c>
      <c r="G201" s="203">
        <v>6</v>
      </c>
      <c r="H201" s="215">
        <f t="shared" si="33"/>
        <v>6</v>
      </c>
      <c r="I201" s="203">
        <f t="shared" si="33"/>
        <v>6</v>
      </c>
      <c r="J201" s="216">
        <f t="shared" si="34"/>
        <v>0</v>
      </c>
      <c r="K201" s="204">
        <f t="shared" si="35"/>
        <v>0</v>
      </c>
    </row>
    <row r="202" spans="1:11" s="285" customFormat="1" x14ac:dyDescent="0.2">
      <c r="A202" s="202" t="s">
        <v>1347</v>
      </c>
      <c r="B202" s="209" t="s">
        <v>498</v>
      </c>
      <c r="C202" s="209" t="s">
        <v>592</v>
      </c>
      <c r="D202" s="209" t="s">
        <v>1207</v>
      </c>
      <c r="E202" s="209" t="s">
        <v>535</v>
      </c>
      <c r="F202" s="215">
        <v>6</v>
      </c>
      <c r="G202" s="203">
        <v>6</v>
      </c>
      <c r="H202" s="215">
        <f t="shared" si="33"/>
        <v>6</v>
      </c>
      <c r="I202" s="203">
        <f t="shared" si="33"/>
        <v>6</v>
      </c>
      <c r="J202" s="216">
        <f t="shared" si="34"/>
        <v>0</v>
      </c>
      <c r="K202" s="204">
        <f t="shared" si="35"/>
        <v>0</v>
      </c>
    </row>
    <row r="203" spans="1:11" s="285" customFormat="1" ht="22.5" x14ac:dyDescent="0.2">
      <c r="A203" s="202" t="s">
        <v>534</v>
      </c>
      <c r="B203" s="209" t="s">
        <v>498</v>
      </c>
      <c r="C203" s="209" t="s">
        <v>592</v>
      </c>
      <c r="D203" s="209" t="s">
        <v>1207</v>
      </c>
      <c r="E203" s="209" t="s">
        <v>529</v>
      </c>
      <c r="F203" s="215">
        <v>6</v>
      </c>
      <c r="G203" s="203">
        <v>6</v>
      </c>
      <c r="H203" s="215">
        <f>'Ведомственная 2020'!H167</f>
        <v>6</v>
      </c>
      <c r="I203" s="203">
        <f>H203</f>
        <v>6</v>
      </c>
      <c r="J203" s="216">
        <f t="shared" si="34"/>
        <v>0</v>
      </c>
      <c r="K203" s="204">
        <f t="shared" si="35"/>
        <v>0</v>
      </c>
    </row>
    <row r="204" spans="1:11" x14ac:dyDescent="0.2">
      <c r="A204" s="202" t="s">
        <v>1223</v>
      </c>
      <c r="B204" s="209" t="s">
        <v>498</v>
      </c>
      <c r="C204" s="209" t="s">
        <v>592</v>
      </c>
      <c r="D204" s="209" t="s">
        <v>1222</v>
      </c>
      <c r="E204" s="209"/>
      <c r="F204" s="215">
        <v>1720</v>
      </c>
      <c r="G204" s="203">
        <v>1720</v>
      </c>
      <c r="H204" s="215">
        <f t="shared" ref="H204:I206" si="36">H205</f>
        <v>1720</v>
      </c>
      <c r="I204" s="203">
        <f t="shared" si="36"/>
        <v>1720</v>
      </c>
      <c r="J204" s="216">
        <f t="shared" si="27"/>
        <v>0</v>
      </c>
      <c r="K204" s="204">
        <f t="shared" si="28"/>
        <v>0</v>
      </c>
    </row>
    <row r="205" spans="1:11" x14ac:dyDescent="0.2">
      <c r="A205" s="202" t="s">
        <v>1221</v>
      </c>
      <c r="B205" s="209" t="s">
        <v>498</v>
      </c>
      <c r="C205" s="209" t="s">
        <v>592</v>
      </c>
      <c r="D205" s="209" t="s">
        <v>1220</v>
      </c>
      <c r="E205" s="209"/>
      <c r="F205" s="215">
        <v>1720</v>
      </c>
      <c r="G205" s="203">
        <v>1720</v>
      </c>
      <c r="H205" s="215">
        <f t="shared" si="36"/>
        <v>1720</v>
      </c>
      <c r="I205" s="203">
        <f t="shared" si="36"/>
        <v>1720</v>
      </c>
      <c r="J205" s="216">
        <f t="shared" si="27"/>
        <v>0</v>
      </c>
      <c r="K205" s="204">
        <f t="shared" si="28"/>
        <v>0</v>
      </c>
    </row>
    <row r="206" spans="1:11" x14ac:dyDescent="0.2">
      <c r="A206" s="202" t="s">
        <v>1347</v>
      </c>
      <c r="B206" s="209" t="s">
        <v>498</v>
      </c>
      <c r="C206" s="209" t="s">
        <v>592</v>
      </c>
      <c r="D206" s="209" t="s">
        <v>1220</v>
      </c>
      <c r="E206" s="209" t="s">
        <v>535</v>
      </c>
      <c r="F206" s="215">
        <v>1720</v>
      </c>
      <c r="G206" s="203">
        <v>1720</v>
      </c>
      <c r="H206" s="215">
        <f t="shared" si="36"/>
        <v>1720</v>
      </c>
      <c r="I206" s="203">
        <f t="shared" si="36"/>
        <v>1720</v>
      </c>
      <c r="J206" s="216">
        <f t="shared" si="27"/>
        <v>0</v>
      </c>
      <c r="K206" s="204">
        <f t="shared" si="28"/>
        <v>0</v>
      </c>
    </row>
    <row r="207" spans="1:11" ht="22.5" x14ac:dyDescent="0.2">
      <c r="A207" s="202" t="s">
        <v>534</v>
      </c>
      <c r="B207" s="209" t="s">
        <v>498</v>
      </c>
      <c r="C207" s="209" t="s">
        <v>592</v>
      </c>
      <c r="D207" s="209" t="s">
        <v>1220</v>
      </c>
      <c r="E207" s="209" t="s">
        <v>529</v>
      </c>
      <c r="F207" s="215">
        <v>1720</v>
      </c>
      <c r="G207" s="203">
        <v>1720</v>
      </c>
      <c r="H207" s="215">
        <f>'Ведомственная 2020'!H171</f>
        <v>1720</v>
      </c>
      <c r="I207" s="203">
        <f>H207</f>
        <v>1720</v>
      </c>
      <c r="J207" s="216">
        <f t="shared" si="27"/>
        <v>0</v>
      </c>
      <c r="K207" s="204">
        <f t="shared" si="28"/>
        <v>0</v>
      </c>
    </row>
    <row r="208" spans="1:11" x14ac:dyDescent="0.2">
      <c r="A208" s="202" t="s">
        <v>742</v>
      </c>
      <c r="B208" s="209" t="s">
        <v>498</v>
      </c>
      <c r="C208" s="209" t="s">
        <v>592</v>
      </c>
      <c r="D208" s="209" t="s">
        <v>741</v>
      </c>
      <c r="E208" s="209"/>
      <c r="F208" s="215">
        <v>199479.7</v>
      </c>
      <c r="G208" s="203">
        <v>0</v>
      </c>
      <c r="H208" s="215">
        <f>H209</f>
        <v>203553.7</v>
      </c>
      <c r="I208" s="203">
        <f>I209</f>
        <v>0</v>
      </c>
      <c r="J208" s="216">
        <f t="shared" si="27"/>
        <v>4074</v>
      </c>
      <c r="K208" s="204">
        <f t="shared" si="28"/>
        <v>0</v>
      </c>
    </row>
    <row r="209" spans="1:11" ht="33.75" x14ac:dyDescent="0.2">
      <c r="A209" s="202" t="s">
        <v>1219</v>
      </c>
      <c r="B209" s="209" t="s">
        <v>498</v>
      </c>
      <c r="C209" s="209" t="s">
        <v>592</v>
      </c>
      <c r="D209" s="209" t="s">
        <v>1218</v>
      </c>
      <c r="E209" s="209"/>
      <c r="F209" s="215">
        <v>199479.7</v>
      </c>
      <c r="G209" s="203">
        <v>0</v>
      </c>
      <c r="H209" s="215">
        <f>H210+H220</f>
        <v>203553.7</v>
      </c>
      <c r="I209" s="203">
        <f>I210+I220</f>
        <v>0</v>
      </c>
      <c r="J209" s="216">
        <f t="shared" si="27"/>
        <v>4074</v>
      </c>
      <c r="K209" s="204">
        <f t="shared" si="28"/>
        <v>0</v>
      </c>
    </row>
    <row r="210" spans="1:11" ht="22.5" x14ac:dyDescent="0.2">
      <c r="A210" s="202" t="s">
        <v>1217</v>
      </c>
      <c r="B210" s="209" t="s">
        <v>498</v>
      </c>
      <c r="C210" s="209" t="s">
        <v>592</v>
      </c>
      <c r="D210" s="209" t="s">
        <v>1216</v>
      </c>
      <c r="E210" s="209"/>
      <c r="F210" s="215">
        <v>197553.7</v>
      </c>
      <c r="G210" s="203">
        <v>0</v>
      </c>
      <c r="H210" s="215">
        <f>H211+H214+H217</f>
        <v>201627.7</v>
      </c>
      <c r="I210" s="203">
        <f>I211+I214</f>
        <v>0</v>
      </c>
      <c r="J210" s="216">
        <f t="shared" si="27"/>
        <v>4074</v>
      </c>
      <c r="K210" s="204">
        <f t="shared" si="28"/>
        <v>0</v>
      </c>
    </row>
    <row r="211" spans="1:11" ht="45" x14ac:dyDescent="0.2">
      <c r="A211" s="202" t="s">
        <v>1215</v>
      </c>
      <c r="B211" s="209" t="s">
        <v>498</v>
      </c>
      <c r="C211" s="209" t="s">
        <v>592</v>
      </c>
      <c r="D211" s="209" t="s">
        <v>1214</v>
      </c>
      <c r="E211" s="209"/>
      <c r="F211" s="215">
        <v>195814.7</v>
      </c>
      <c r="G211" s="203">
        <v>0</v>
      </c>
      <c r="H211" s="215">
        <f>H212</f>
        <v>195526.7</v>
      </c>
      <c r="I211" s="203">
        <f>I212</f>
        <v>0</v>
      </c>
      <c r="J211" s="216">
        <f t="shared" si="27"/>
        <v>-288</v>
      </c>
      <c r="K211" s="204">
        <f t="shared" si="28"/>
        <v>0</v>
      </c>
    </row>
    <row r="212" spans="1:11" ht="22.5" x14ac:dyDescent="0.2">
      <c r="A212" s="202" t="s">
        <v>547</v>
      </c>
      <c r="B212" s="209" t="s">
        <v>498</v>
      </c>
      <c r="C212" s="209" t="s">
        <v>592</v>
      </c>
      <c r="D212" s="209" t="s">
        <v>1214</v>
      </c>
      <c r="E212" s="209" t="s">
        <v>519</v>
      </c>
      <c r="F212" s="215">
        <v>195814.7</v>
      </c>
      <c r="G212" s="203">
        <v>0</v>
      </c>
      <c r="H212" s="215">
        <f>H213</f>
        <v>195526.7</v>
      </c>
      <c r="I212" s="203">
        <f>I213</f>
        <v>0</v>
      </c>
      <c r="J212" s="216">
        <f t="shared" si="27"/>
        <v>-288</v>
      </c>
      <c r="K212" s="204">
        <f t="shared" si="28"/>
        <v>0</v>
      </c>
    </row>
    <row r="213" spans="1:11" x14ac:dyDescent="0.2">
      <c r="A213" s="202" t="s">
        <v>571</v>
      </c>
      <c r="B213" s="209" t="s">
        <v>498</v>
      </c>
      <c r="C213" s="209" t="s">
        <v>592</v>
      </c>
      <c r="D213" s="209" t="s">
        <v>1214</v>
      </c>
      <c r="E213" s="209" t="s">
        <v>522</v>
      </c>
      <c r="F213" s="215">
        <v>195814.7</v>
      </c>
      <c r="G213" s="203">
        <v>0</v>
      </c>
      <c r="H213" s="215">
        <f>'Ведомственная 2020'!H177</f>
        <v>195526.7</v>
      </c>
      <c r="I213" s="203">
        <v>0</v>
      </c>
      <c r="J213" s="216">
        <f t="shared" si="27"/>
        <v>-288</v>
      </c>
      <c r="K213" s="204">
        <f t="shared" si="28"/>
        <v>0</v>
      </c>
    </row>
    <row r="214" spans="1:11" s="285" customFormat="1" ht="67.5" x14ac:dyDescent="0.2">
      <c r="A214" s="202" t="s">
        <v>1395</v>
      </c>
      <c r="B214" s="209" t="s">
        <v>498</v>
      </c>
      <c r="C214" s="209" t="s">
        <v>592</v>
      </c>
      <c r="D214" s="209" t="s">
        <v>1393</v>
      </c>
      <c r="E214" s="209"/>
      <c r="F214" s="215">
        <v>1739</v>
      </c>
      <c r="G214" s="203">
        <v>0</v>
      </c>
      <c r="H214" s="215">
        <f t="shared" ref="H214:I215" si="37">H215</f>
        <v>0</v>
      </c>
      <c r="I214" s="203">
        <f t="shared" si="37"/>
        <v>0</v>
      </c>
      <c r="J214" s="216">
        <f t="shared" ref="J214:J216" si="38">H214-F214</f>
        <v>-1739</v>
      </c>
      <c r="K214" s="204">
        <f t="shared" ref="K214:K216" si="39">I214-G214</f>
        <v>0</v>
      </c>
    </row>
    <row r="215" spans="1:11" s="285" customFormat="1" ht="22.5" x14ac:dyDescent="0.2">
      <c r="A215" s="202" t="s">
        <v>547</v>
      </c>
      <c r="B215" s="209" t="s">
        <v>498</v>
      </c>
      <c r="C215" s="209" t="s">
        <v>592</v>
      </c>
      <c r="D215" s="209" t="s">
        <v>1393</v>
      </c>
      <c r="E215" s="209">
        <v>600</v>
      </c>
      <c r="F215" s="215">
        <v>1739</v>
      </c>
      <c r="G215" s="203">
        <v>0</v>
      </c>
      <c r="H215" s="215">
        <f t="shared" si="37"/>
        <v>0</v>
      </c>
      <c r="I215" s="203">
        <f t="shared" si="37"/>
        <v>0</v>
      </c>
      <c r="J215" s="216">
        <f t="shared" si="38"/>
        <v>-1739</v>
      </c>
      <c r="K215" s="204">
        <f t="shared" si="39"/>
        <v>0</v>
      </c>
    </row>
    <row r="216" spans="1:11" s="285" customFormat="1" x14ac:dyDescent="0.2">
      <c r="A216" s="202" t="s">
        <v>571</v>
      </c>
      <c r="B216" s="209" t="s">
        <v>498</v>
      </c>
      <c r="C216" s="209" t="s">
        <v>592</v>
      </c>
      <c r="D216" s="209" t="s">
        <v>1393</v>
      </c>
      <c r="E216" s="209">
        <v>610</v>
      </c>
      <c r="F216" s="215">
        <v>1739</v>
      </c>
      <c r="G216" s="203">
        <v>0</v>
      </c>
      <c r="H216" s="215">
        <f>'Ведомственная 2020'!H180</f>
        <v>0</v>
      </c>
      <c r="I216" s="203">
        <v>0</v>
      </c>
      <c r="J216" s="216">
        <f t="shared" si="38"/>
        <v>-1739</v>
      </c>
      <c r="K216" s="204">
        <f t="shared" si="39"/>
        <v>0</v>
      </c>
    </row>
    <row r="217" spans="1:11" s="417" customFormat="1" ht="90" x14ac:dyDescent="0.2">
      <c r="A217" s="420" t="s">
        <v>1614</v>
      </c>
      <c r="B217" s="209" t="s">
        <v>498</v>
      </c>
      <c r="C217" s="209" t="s">
        <v>592</v>
      </c>
      <c r="D217" s="209" t="s">
        <v>1615</v>
      </c>
      <c r="E217" s="209"/>
      <c r="F217" s="215">
        <f>F218</f>
        <v>0</v>
      </c>
      <c r="G217" s="203">
        <f t="shared" ref="G217:I218" si="40">G218</f>
        <v>0</v>
      </c>
      <c r="H217" s="215">
        <f t="shared" si="40"/>
        <v>6101</v>
      </c>
      <c r="I217" s="203">
        <f t="shared" si="40"/>
        <v>0</v>
      </c>
      <c r="J217" s="216">
        <f t="shared" ref="J217:J219" si="41">H217-F217</f>
        <v>6101</v>
      </c>
      <c r="K217" s="204">
        <f t="shared" ref="K217:K219" si="42">I217-G217</f>
        <v>0</v>
      </c>
    </row>
    <row r="218" spans="1:11" s="417" customFormat="1" ht="22.5" x14ac:dyDescent="0.2">
      <c r="A218" s="420" t="s">
        <v>547</v>
      </c>
      <c r="B218" s="209" t="s">
        <v>498</v>
      </c>
      <c r="C218" s="209" t="s">
        <v>592</v>
      </c>
      <c r="D218" s="209" t="s">
        <v>1615</v>
      </c>
      <c r="E218" s="209" t="s">
        <v>519</v>
      </c>
      <c r="F218" s="215">
        <f>F219</f>
        <v>0</v>
      </c>
      <c r="G218" s="203">
        <f t="shared" si="40"/>
        <v>0</v>
      </c>
      <c r="H218" s="215">
        <f t="shared" si="40"/>
        <v>6101</v>
      </c>
      <c r="I218" s="203">
        <f t="shared" si="40"/>
        <v>0</v>
      </c>
      <c r="J218" s="216">
        <f t="shared" si="41"/>
        <v>6101</v>
      </c>
      <c r="K218" s="204">
        <f t="shared" si="42"/>
        <v>0</v>
      </c>
    </row>
    <row r="219" spans="1:11" s="417" customFormat="1" x14ac:dyDescent="0.2">
      <c r="A219" s="420" t="s">
        <v>571</v>
      </c>
      <c r="B219" s="209" t="s">
        <v>498</v>
      </c>
      <c r="C219" s="209" t="s">
        <v>592</v>
      </c>
      <c r="D219" s="209" t="s">
        <v>1615</v>
      </c>
      <c r="E219" s="209" t="s">
        <v>522</v>
      </c>
      <c r="F219" s="215">
        <v>0</v>
      </c>
      <c r="G219" s="203">
        <v>0</v>
      </c>
      <c r="H219" s="215">
        <f>'Ведомственная 2020'!H183</f>
        <v>6101</v>
      </c>
      <c r="I219" s="203">
        <v>0</v>
      </c>
      <c r="J219" s="216">
        <f t="shared" si="41"/>
        <v>6101</v>
      </c>
      <c r="K219" s="204">
        <f t="shared" si="42"/>
        <v>0</v>
      </c>
    </row>
    <row r="220" spans="1:11" ht="33.75" x14ac:dyDescent="0.2">
      <c r="A220" s="202" t="s">
        <v>1213</v>
      </c>
      <c r="B220" s="209" t="s">
        <v>498</v>
      </c>
      <c r="C220" s="209" t="s">
        <v>592</v>
      </c>
      <c r="D220" s="209" t="s">
        <v>1212</v>
      </c>
      <c r="E220" s="209"/>
      <c r="F220" s="215">
        <v>1926</v>
      </c>
      <c r="G220" s="203">
        <v>0</v>
      </c>
      <c r="H220" s="215">
        <f>H221</f>
        <v>1926</v>
      </c>
      <c r="I220" s="203">
        <f>I221</f>
        <v>0</v>
      </c>
      <c r="J220" s="216">
        <f t="shared" si="27"/>
        <v>0</v>
      </c>
      <c r="K220" s="204">
        <f t="shared" si="28"/>
        <v>0</v>
      </c>
    </row>
    <row r="221" spans="1:11" s="285" customFormat="1" ht="74.25" customHeight="1" x14ac:dyDescent="0.2">
      <c r="A221" s="202" t="s">
        <v>1396</v>
      </c>
      <c r="B221" s="209" t="s">
        <v>498</v>
      </c>
      <c r="C221" s="209" t="s">
        <v>592</v>
      </c>
      <c r="D221" s="209" t="s">
        <v>1394</v>
      </c>
      <c r="E221" s="209"/>
      <c r="F221" s="215">
        <v>1926</v>
      </c>
      <c r="G221" s="203">
        <v>0</v>
      </c>
      <c r="H221" s="215">
        <f t="shared" ref="H221:I222" si="43">H222</f>
        <v>1926</v>
      </c>
      <c r="I221" s="203">
        <f t="shared" si="43"/>
        <v>0</v>
      </c>
      <c r="J221" s="216">
        <f t="shared" ref="J221:J223" si="44">H221-F221</f>
        <v>0</v>
      </c>
      <c r="K221" s="204">
        <f t="shared" ref="K221:K223" si="45">I221-G221</f>
        <v>0</v>
      </c>
    </row>
    <row r="222" spans="1:11" s="285" customFormat="1" ht="22.5" x14ac:dyDescent="0.2">
      <c r="A222" s="202" t="s">
        <v>547</v>
      </c>
      <c r="B222" s="209" t="s">
        <v>498</v>
      </c>
      <c r="C222" s="209" t="s">
        <v>592</v>
      </c>
      <c r="D222" s="209" t="s">
        <v>1394</v>
      </c>
      <c r="E222" s="209" t="s">
        <v>519</v>
      </c>
      <c r="F222" s="215">
        <v>1926</v>
      </c>
      <c r="G222" s="203">
        <v>0</v>
      </c>
      <c r="H222" s="215">
        <f t="shared" si="43"/>
        <v>1926</v>
      </c>
      <c r="I222" s="203">
        <f t="shared" si="43"/>
        <v>0</v>
      </c>
      <c r="J222" s="216">
        <f t="shared" si="44"/>
        <v>0</v>
      </c>
      <c r="K222" s="204">
        <f t="shared" si="45"/>
        <v>0</v>
      </c>
    </row>
    <row r="223" spans="1:11" s="285" customFormat="1" x14ac:dyDescent="0.2">
      <c r="A223" s="202" t="s">
        <v>571</v>
      </c>
      <c r="B223" s="209" t="s">
        <v>498</v>
      </c>
      <c r="C223" s="209" t="s">
        <v>592</v>
      </c>
      <c r="D223" s="209" t="s">
        <v>1394</v>
      </c>
      <c r="E223" s="209" t="s">
        <v>522</v>
      </c>
      <c r="F223" s="215">
        <v>1926</v>
      </c>
      <c r="G223" s="203">
        <v>0</v>
      </c>
      <c r="H223" s="215">
        <f>'Ведомственная 2020'!H187</f>
        <v>1926</v>
      </c>
      <c r="I223" s="203">
        <v>0</v>
      </c>
      <c r="J223" s="216">
        <f t="shared" si="44"/>
        <v>0</v>
      </c>
      <c r="K223" s="204">
        <f t="shared" si="45"/>
        <v>0</v>
      </c>
    </row>
    <row r="224" spans="1:11" s="304" customFormat="1" x14ac:dyDescent="0.2">
      <c r="A224" s="202" t="s">
        <v>994</v>
      </c>
      <c r="B224" s="209" t="s">
        <v>498</v>
      </c>
      <c r="C224" s="209" t="s">
        <v>592</v>
      </c>
      <c r="D224" s="209" t="s">
        <v>993</v>
      </c>
      <c r="E224" s="209"/>
      <c r="F224" s="215">
        <v>1950</v>
      </c>
      <c r="G224" s="203">
        <v>0</v>
      </c>
      <c r="H224" s="215">
        <f t="shared" ref="H224:I231" si="46">H225</f>
        <v>1950</v>
      </c>
      <c r="I224" s="203">
        <f t="shared" si="46"/>
        <v>0</v>
      </c>
      <c r="J224" s="216">
        <f t="shared" ref="J224:J232" si="47">H224-F224</f>
        <v>0</v>
      </c>
      <c r="K224" s="204">
        <f t="shared" ref="K224:K232" si="48">I224-G224</f>
        <v>0</v>
      </c>
    </row>
    <row r="225" spans="1:11" s="304" customFormat="1" x14ac:dyDescent="0.2">
      <c r="A225" s="202" t="s">
        <v>602</v>
      </c>
      <c r="B225" s="209" t="s">
        <v>498</v>
      </c>
      <c r="C225" s="209" t="s">
        <v>592</v>
      </c>
      <c r="D225" s="209" t="s">
        <v>1422</v>
      </c>
      <c r="E225" s="209"/>
      <c r="F225" s="215">
        <v>1950</v>
      </c>
      <c r="G225" s="203">
        <v>0</v>
      </c>
      <c r="H225" s="215">
        <f t="shared" si="46"/>
        <v>1950</v>
      </c>
      <c r="I225" s="203">
        <f t="shared" si="46"/>
        <v>0</v>
      </c>
      <c r="J225" s="216">
        <f t="shared" si="47"/>
        <v>0</v>
      </c>
      <c r="K225" s="204">
        <f t="shared" si="48"/>
        <v>0</v>
      </c>
    </row>
    <row r="226" spans="1:11" s="304" customFormat="1" ht="22.5" x14ac:dyDescent="0.2">
      <c r="A226" s="202" t="s">
        <v>600</v>
      </c>
      <c r="B226" s="209" t="s">
        <v>498</v>
      </c>
      <c r="C226" s="209" t="s">
        <v>592</v>
      </c>
      <c r="D226" s="209" t="s">
        <v>1423</v>
      </c>
      <c r="E226" s="209"/>
      <c r="F226" s="215">
        <v>1950</v>
      </c>
      <c r="G226" s="203">
        <v>0</v>
      </c>
      <c r="H226" s="215">
        <f>H230+H227</f>
        <v>1950</v>
      </c>
      <c r="I226" s="203">
        <f>I230</f>
        <v>0</v>
      </c>
      <c r="J226" s="216">
        <f t="shared" si="47"/>
        <v>0</v>
      </c>
      <c r="K226" s="204">
        <f t="shared" si="48"/>
        <v>0</v>
      </c>
    </row>
    <row r="227" spans="1:11" s="371" customFormat="1" x14ac:dyDescent="0.2">
      <c r="A227" s="202" t="s">
        <v>1231</v>
      </c>
      <c r="B227" s="209" t="s">
        <v>498</v>
      </c>
      <c r="C227" s="209" t="s">
        <v>592</v>
      </c>
      <c r="D227" s="209" t="s">
        <v>1487</v>
      </c>
      <c r="E227" s="209"/>
      <c r="F227" s="215">
        <v>1000</v>
      </c>
      <c r="G227" s="203">
        <v>0</v>
      </c>
      <c r="H227" s="215">
        <f t="shared" ref="H227:I228" si="49">H228</f>
        <v>1000</v>
      </c>
      <c r="I227" s="203">
        <f t="shared" si="49"/>
        <v>0</v>
      </c>
      <c r="J227" s="216">
        <f t="shared" ref="J227:J229" si="50">H227-F227</f>
        <v>0</v>
      </c>
      <c r="K227" s="204">
        <f t="shared" ref="K227:K229" si="51">I227-G227</f>
        <v>0</v>
      </c>
    </row>
    <row r="228" spans="1:11" s="371" customFormat="1" x14ac:dyDescent="0.2">
      <c r="A228" s="202" t="s">
        <v>1347</v>
      </c>
      <c r="B228" s="209" t="s">
        <v>498</v>
      </c>
      <c r="C228" s="209" t="s">
        <v>592</v>
      </c>
      <c r="D228" s="209" t="s">
        <v>1487</v>
      </c>
      <c r="E228" s="209">
        <v>200</v>
      </c>
      <c r="F228" s="215">
        <v>1000</v>
      </c>
      <c r="G228" s="203">
        <v>0</v>
      </c>
      <c r="H228" s="215">
        <f t="shared" si="49"/>
        <v>1000</v>
      </c>
      <c r="I228" s="203">
        <f t="shared" si="49"/>
        <v>0</v>
      </c>
      <c r="J228" s="216">
        <f t="shared" si="50"/>
        <v>0</v>
      </c>
      <c r="K228" s="204">
        <f t="shared" si="51"/>
        <v>0</v>
      </c>
    </row>
    <row r="229" spans="1:11" s="371" customFormat="1" ht="22.5" x14ac:dyDescent="0.2">
      <c r="A229" s="202" t="s">
        <v>534</v>
      </c>
      <c r="B229" s="209" t="s">
        <v>498</v>
      </c>
      <c r="C229" s="209" t="s">
        <v>592</v>
      </c>
      <c r="D229" s="209" t="s">
        <v>1487</v>
      </c>
      <c r="E229" s="209">
        <v>240</v>
      </c>
      <c r="F229" s="215">
        <v>1000</v>
      </c>
      <c r="G229" s="203">
        <v>0</v>
      </c>
      <c r="H229" s="215">
        <f>'Ведомственная 2020'!H193</f>
        <v>1000</v>
      </c>
      <c r="I229" s="203">
        <v>0</v>
      </c>
      <c r="J229" s="216">
        <f t="shared" si="50"/>
        <v>0</v>
      </c>
      <c r="K229" s="204">
        <f t="shared" si="51"/>
        <v>0</v>
      </c>
    </row>
    <row r="230" spans="1:11" s="304" customFormat="1" ht="22.5" x14ac:dyDescent="0.2">
      <c r="A230" s="202" t="s">
        <v>1421</v>
      </c>
      <c r="B230" s="209" t="s">
        <v>498</v>
      </c>
      <c r="C230" s="209" t="s">
        <v>592</v>
      </c>
      <c r="D230" s="209" t="s">
        <v>1424</v>
      </c>
      <c r="E230" s="209"/>
      <c r="F230" s="215">
        <v>950</v>
      </c>
      <c r="G230" s="203">
        <v>0</v>
      </c>
      <c r="H230" s="215">
        <f t="shared" si="46"/>
        <v>950</v>
      </c>
      <c r="I230" s="203">
        <f t="shared" si="46"/>
        <v>0</v>
      </c>
      <c r="J230" s="216">
        <f t="shared" si="47"/>
        <v>0</v>
      </c>
      <c r="K230" s="204">
        <f t="shared" si="48"/>
        <v>0</v>
      </c>
    </row>
    <row r="231" spans="1:11" s="304" customFormat="1" ht="22.5" x14ac:dyDescent="0.2">
      <c r="A231" s="202" t="s">
        <v>547</v>
      </c>
      <c r="B231" s="209" t="s">
        <v>498</v>
      </c>
      <c r="C231" s="209" t="s">
        <v>592</v>
      </c>
      <c r="D231" s="209" t="s">
        <v>1424</v>
      </c>
      <c r="E231" s="209">
        <v>600</v>
      </c>
      <c r="F231" s="215">
        <v>950</v>
      </c>
      <c r="G231" s="203">
        <v>0</v>
      </c>
      <c r="H231" s="215">
        <f t="shared" si="46"/>
        <v>950</v>
      </c>
      <c r="I231" s="203">
        <f t="shared" si="46"/>
        <v>0</v>
      </c>
      <c r="J231" s="216">
        <f t="shared" si="47"/>
        <v>0</v>
      </c>
      <c r="K231" s="204">
        <f t="shared" si="48"/>
        <v>0</v>
      </c>
    </row>
    <row r="232" spans="1:11" s="304" customFormat="1" x14ac:dyDescent="0.2">
      <c r="A232" s="202" t="s">
        <v>571</v>
      </c>
      <c r="B232" s="209" t="s">
        <v>498</v>
      </c>
      <c r="C232" s="209" t="s">
        <v>592</v>
      </c>
      <c r="D232" s="209" t="s">
        <v>1424</v>
      </c>
      <c r="E232" s="209">
        <v>610</v>
      </c>
      <c r="F232" s="215">
        <v>950</v>
      </c>
      <c r="G232" s="203">
        <v>0</v>
      </c>
      <c r="H232" s="215">
        <f>'Ведомственная 2020'!H196</f>
        <v>950</v>
      </c>
      <c r="I232" s="203">
        <v>0</v>
      </c>
      <c r="J232" s="216">
        <f t="shared" si="47"/>
        <v>0</v>
      </c>
      <c r="K232" s="204">
        <f t="shared" si="48"/>
        <v>0</v>
      </c>
    </row>
    <row r="233" spans="1:11" x14ac:dyDescent="0.2">
      <c r="A233" s="202" t="s">
        <v>595</v>
      </c>
      <c r="B233" s="209" t="s">
        <v>498</v>
      </c>
      <c r="C233" s="209" t="s">
        <v>592</v>
      </c>
      <c r="D233" s="209" t="s">
        <v>594</v>
      </c>
      <c r="E233" s="209"/>
      <c r="F233" s="215">
        <v>35195.299999999996</v>
      </c>
      <c r="G233" s="203">
        <v>0</v>
      </c>
      <c r="H233" s="215">
        <f>H243+H249+H246+H234+H240</f>
        <v>39739.799999999996</v>
      </c>
      <c r="I233" s="203">
        <f>I243+I249</f>
        <v>0</v>
      </c>
      <c r="J233" s="216">
        <f t="shared" si="27"/>
        <v>4544.5</v>
      </c>
      <c r="K233" s="204">
        <f t="shared" si="28"/>
        <v>0</v>
      </c>
    </row>
    <row r="234" spans="1:11" s="300" customFormat="1" x14ac:dyDescent="0.2">
      <c r="A234" s="202" t="s">
        <v>1240</v>
      </c>
      <c r="B234" s="209" t="s">
        <v>498</v>
      </c>
      <c r="C234" s="209" t="s">
        <v>592</v>
      </c>
      <c r="D234" s="209" t="s">
        <v>1239</v>
      </c>
      <c r="E234" s="209"/>
      <c r="F234" s="215">
        <v>3338.5</v>
      </c>
      <c r="G234" s="203">
        <v>0</v>
      </c>
      <c r="H234" s="215">
        <f>H237+H235</f>
        <v>5358.2</v>
      </c>
      <c r="I234" s="203">
        <f t="shared" ref="I234" si="52">I237</f>
        <v>0</v>
      </c>
      <c r="J234" s="216">
        <f t="shared" ref="J234:J239" si="53">H234-F234</f>
        <v>2019.6999999999998</v>
      </c>
      <c r="K234" s="204">
        <f t="shared" ref="K234:K239" si="54">I234-G234</f>
        <v>0</v>
      </c>
    </row>
    <row r="235" spans="1:11" s="391" customFormat="1" x14ac:dyDescent="0.2">
      <c r="A235" s="202" t="s">
        <v>1347</v>
      </c>
      <c r="B235" s="209" t="s">
        <v>498</v>
      </c>
      <c r="C235" s="209" t="s">
        <v>592</v>
      </c>
      <c r="D235" s="209" t="s">
        <v>1239</v>
      </c>
      <c r="E235" s="209">
        <v>200</v>
      </c>
      <c r="F235" s="215">
        <v>2388.5</v>
      </c>
      <c r="G235" s="203">
        <v>0</v>
      </c>
      <c r="H235" s="215">
        <f>H236</f>
        <v>2388.5</v>
      </c>
      <c r="I235" s="203">
        <f>I236</f>
        <v>0</v>
      </c>
      <c r="J235" s="216">
        <f t="shared" ref="J235:J236" si="55">H235-F235</f>
        <v>0</v>
      </c>
      <c r="K235" s="204">
        <f t="shared" ref="K235:K236" si="56">I235-G235</f>
        <v>0</v>
      </c>
    </row>
    <row r="236" spans="1:11" s="391" customFormat="1" ht="22.5" x14ac:dyDescent="0.2">
      <c r="A236" s="202" t="s">
        <v>534</v>
      </c>
      <c r="B236" s="209" t="s">
        <v>498</v>
      </c>
      <c r="C236" s="209" t="s">
        <v>592</v>
      </c>
      <c r="D236" s="209" t="s">
        <v>1239</v>
      </c>
      <c r="E236" s="209">
        <v>240</v>
      </c>
      <c r="F236" s="215">
        <v>2388.5</v>
      </c>
      <c r="G236" s="203">
        <v>0</v>
      </c>
      <c r="H236" s="215">
        <f>'Ведомственная 2020'!H200</f>
        <v>2388.5</v>
      </c>
      <c r="I236" s="203">
        <v>0</v>
      </c>
      <c r="J236" s="216">
        <f t="shared" si="55"/>
        <v>0</v>
      </c>
      <c r="K236" s="204">
        <f t="shared" si="56"/>
        <v>0</v>
      </c>
    </row>
    <row r="237" spans="1:11" s="300" customFormat="1" x14ac:dyDescent="0.2">
      <c r="A237" s="202" t="s">
        <v>615</v>
      </c>
      <c r="B237" s="209" t="s">
        <v>498</v>
      </c>
      <c r="C237" s="209" t="s">
        <v>592</v>
      </c>
      <c r="D237" s="209" t="s">
        <v>1239</v>
      </c>
      <c r="E237" s="209">
        <v>800</v>
      </c>
      <c r="F237" s="215">
        <v>950</v>
      </c>
      <c r="G237" s="203">
        <v>0</v>
      </c>
      <c r="H237" s="215">
        <f>H239+H238</f>
        <v>2969.7</v>
      </c>
      <c r="I237" s="203">
        <f>I239</f>
        <v>0</v>
      </c>
      <c r="J237" s="216">
        <f t="shared" si="53"/>
        <v>2019.6999999999998</v>
      </c>
      <c r="K237" s="204">
        <f t="shared" si="54"/>
        <v>0</v>
      </c>
    </row>
    <row r="238" spans="1:11" s="419" customFormat="1" ht="22.5" x14ac:dyDescent="0.2">
      <c r="A238" s="202" t="s">
        <v>1346</v>
      </c>
      <c r="B238" s="209" t="s">
        <v>498</v>
      </c>
      <c r="C238" s="209" t="s">
        <v>592</v>
      </c>
      <c r="D238" s="209" t="s">
        <v>1239</v>
      </c>
      <c r="E238" s="209">
        <v>810</v>
      </c>
      <c r="F238" s="215">
        <v>0</v>
      </c>
      <c r="G238" s="203">
        <v>0</v>
      </c>
      <c r="H238" s="215">
        <f>'Ведомственная 2020'!H202</f>
        <v>584</v>
      </c>
      <c r="I238" s="203">
        <v>0</v>
      </c>
      <c r="J238" s="216">
        <f t="shared" ref="J238" si="57">H238-F238</f>
        <v>584</v>
      </c>
      <c r="K238" s="204">
        <f t="shared" ref="K238" si="58">I238-G238</f>
        <v>0</v>
      </c>
    </row>
    <row r="239" spans="1:11" s="300" customFormat="1" x14ac:dyDescent="0.2">
      <c r="A239" s="202" t="s">
        <v>1412</v>
      </c>
      <c r="B239" s="209" t="s">
        <v>498</v>
      </c>
      <c r="C239" s="209" t="s">
        <v>592</v>
      </c>
      <c r="D239" s="209" t="s">
        <v>1239</v>
      </c>
      <c r="E239" s="209">
        <v>830</v>
      </c>
      <c r="F239" s="215">
        <v>950</v>
      </c>
      <c r="G239" s="203">
        <v>0</v>
      </c>
      <c r="H239" s="215">
        <f>'Ведомственная 2020'!H203</f>
        <v>2385.6999999999998</v>
      </c>
      <c r="I239" s="203">
        <v>0</v>
      </c>
      <c r="J239" s="216">
        <f t="shared" si="53"/>
        <v>1435.6999999999998</v>
      </c>
      <c r="K239" s="204">
        <f t="shared" si="54"/>
        <v>0</v>
      </c>
    </row>
    <row r="240" spans="1:11" s="302" customFormat="1" x14ac:dyDescent="0.2">
      <c r="A240" s="202" t="s">
        <v>1413</v>
      </c>
      <c r="B240" s="209" t="s">
        <v>498</v>
      </c>
      <c r="C240" s="209" t="s">
        <v>592</v>
      </c>
      <c r="D240" s="209" t="s">
        <v>1414</v>
      </c>
      <c r="E240" s="209"/>
      <c r="F240" s="215">
        <v>548.20000000000005</v>
      </c>
      <c r="G240" s="203">
        <v>0</v>
      </c>
      <c r="H240" s="215">
        <f t="shared" ref="H240:I241" si="59">H241</f>
        <v>3463.7</v>
      </c>
      <c r="I240" s="203">
        <f t="shared" si="59"/>
        <v>0</v>
      </c>
      <c r="J240" s="216">
        <f t="shared" ref="J240:J242" si="60">H240-F240</f>
        <v>2915.5</v>
      </c>
      <c r="K240" s="204">
        <f t="shared" ref="K240:K242" si="61">I240-G240</f>
        <v>0</v>
      </c>
    </row>
    <row r="241" spans="1:11" s="302" customFormat="1" x14ac:dyDescent="0.2">
      <c r="A241" s="202" t="s">
        <v>615</v>
      </c>
      <c r="B241" s="209" t="s">
        <v>498</v>
      </c>
      <c r="C241" s="209" t="s">
        <v>592</v>
      </c>
      <c r="D241" s="209" t="s">
        <v>1414</v>
      </c>
      <c r="E241" s="209">
        <v>800</v>
      </c>
      <c r="F241" s="215">
        <v>548.20000000000005</v>
      </c>
      <c r="G241" s="203">
        <v>0</v>
      </c>
      <c r="H241" s="215">
        <f t="shared" si="59"/>
        <v>3463.7</v>
      </c>
      <c r="I241" s="203">
        <f t="shared" si="59"/>
        <v>0</v>
      </c>
      <c r="J241" s="216">
        <f t="shared" si="60"/>
        <v>2915.5</v>
      </c>
      <c r="K241" s="204">
        <f t="shared" si="61"/>
        <v>0</v>
      </c>
    </row>
    <row r="242" spans="1:11" s="302" customFormat="1" x14ac:dyDescent="0.2">
      <c r="A242" s="202" t="s">
        <v>1412</v>
      </c>
      <c r="B242" s="209" t="s">
        <v>498</v>
      </c>
      <c r="C242" s="209" t="s">
        <v>592</v>
      </c>
      <c r="D242" s="209" t="s">
        <v>1414</v>
      </c>
      <c r="E242" s="209">
        <v>830</v>
      </c>
      <c r="F242" s="215">
        <v>548.20000000000005</v>
      </c>
      <c r="G242" s="203">
        <v>0</v>
      </c>
      <c r="H242" s="215">
        <f>'Ведомственная 2020'!H206</f>
        <v>3463.7</v>
      </c>
      <c r="I242" s="203">
        <v>0</v>
      </c>
      <c r="J242" s="216">
        <f t="shared" si="60"/>
        <v>2915.5</v>
      </c>
      <c r="K242" s="204">
        <f t="shared" si="61"/>
        <v>0</v>
      </c>
    </row>
    <row r="243" spans="1:11" x14ac:dyDescent="0.2">
      <c r="A243" s="202" t="s">
        <v>871</v>
      </c>
      <c r="B243" s="209" t="s">
        <v>498</v>
      </c>
      <c r="C243" s="209" t="s">
        <v>592</v>
      </c>
      <c r="D243" s="209" t="s">
        <v>870</v>
      </c>
      <c r="E243" s="209"/>
      <c r="F243" s="215">
        <v>715.7</v>
      </c>
      <c r="G243" s="203">
        <v>0</v>
      </c>
      <c r="H243" s="215">
        <f>H244</f>
        <v>715.7</v>
      </c>
      <c r="I243" s="203">
        <f>I244</f>
        <v>0</v>
      </c>
      <c r="J243" s="216">
        <f t="shared" si="27"/>
        <v>0</v>
      </c>
      <c r="K243" s="204">
        <f t="shared" si="28"/>
        <v>0</v>
      </c>
    </row>
    <row r="244" spans="1:11" x14ac:dyDescent="0.2">
      <c r="A244" s="202" t="s">
        <v>615</v>
      </c>
      <c r="B244" s="209" t="s">
        <v>498</v>
      </c>
      <c r="C244" s="209" t="s">
        <v>592</v>
      </c>
      <c r="D244" s="209" t="s">
        <v>870</v>
      </c>
      <c r="E244" s="209" t="s">
        <v>509</v>
      </c>
      <c r="F244" s="215">
        <v>715.7</v>
      </c>
      <c r="G244" s="203">
        <v>0</v>
      </c>
      <c r="H244" s="215">
        <f>H245</f>
        <v>715.7</v>
      </c>
      <c r="I244" s="203">
        <f>I245</f>
        <v>0</v>
      </c>
      <c r="J244" s="216">
        <f t="shared" si="27"/>
        <v>0</v>
      </c>
      <c r="K244" s="204">
        <f t="shared" si="28"/>
        <v>0</v>
      </c>
    </row>
    <row r="245" spans="1:11" x14ac:dyDescent="0.2">
      <c r="A245" s="202" t="s">
        <v>752</v>
      </c>
      <c r="B245" s="209" t="s">
        <v>498</v>
      </c>
      <c r="C245" s="209" t="s">
        <v>592</v>
      </c>
      <c r="D245" s="209" t="s">
        <v>870</v>
      </c>
      <c r="E245" s="209" t="s">
        <v>750</v>
      </c>
      <c r="F245" s="215">
        <v>715.7</v>
      </c>
      <c r="G245" s="203">
        <v>0</v>
      </c>
      <c r="H245" s="215">
        <f>'Ведомственная 2020'!H209</f>
        <v>715.7</v>
      </c>
      <c r="I245" s="203">
        <v>0</v>
      </c>
      <c r="J245" s="216">
        <f t="shared" si="27"/>
        <v>0</v>
      </c>
      <c r="K245" s="204">
        <f t="shared" si="28"/>
        <v>0</v>
      </c>
    </row>
    <row r="246" spans="1:11" s="294" customFormat="1" x14ac:dyDescent="0.2">
      <c r="A246" s="202" t="s">
        <v>1404</v>
      </c>
      <c r="B246" s="209" t="s">
        <v>498</v>
      </c>
      <c r="C246" s="209" t="s">
        <v>592</v>
      </c>
      <c r="D246" s="209" t="s">
        <v>1405</v>
      </c>
      <c r="E246" s="209"/>
      <c r="F246" s="215">
        <v>25000</v>
      </c>
      <c r="G246" s="203">
        <v>0</v>
      </c>
      <c r="H246" s="215">
        <f t="shared" ref="H246:I247" si="62">H247</f>
        <v>25000</v>
      </c>
      <c r="I246" s="203">
        <f t="shared" si="62"/>
        <v>0</v>
      </c>
      <c r="J246" s="216">
        <f t="shared" ref="J246:J248" si="63">H246-F246</f>
        <v>0</v>
      </c>
      <c r="K246" s="204">
        <f t="shared" ref="K246:K248" si="64">I246-G246</f>
        <v>0</v>
      </c>
    </row>
    <row r="247" spans="1:11" s="294" customFormat="1" ht="22.5" x14ac:dyDescent="0.2">
      <c r="A247" s="202" t="s">
        <v>547</v>
      </c>
      <c r="B247" s="209" t="s">
        <v>498</v>
      </c>
      <c r="C247" s="209" t="s">
        <v>592</v>
      </c>
      <c r="D247" s="209" t="s">
        <v>1405</v>
      </c>
      <c r="E247" s="209">
        <v>600</v>
      </c>
      <c r="F247" s="215">
        <v>25000</v>
      </c>
      <c r="G247" s="203">
        <v>0</v>
      </c>
      <c r="H247" s="215">
        <f t="shared" si="62"/>
        <v>25000</v>
      </c>
      <c r="I247" s="203">
        <f t="shared" si="62"/>
        <v>0</v>
      </c>
      <c r="J247" s="216">
        <f t="shared" si="63"/>
        <v>0</v>
      </c>
      <c r="K247" s="204">
        <f t="shared" si="64"/>
        <v>0</v>
      </c>
    </row>
    <row r="248" spans="1:11" s="294" customFormat="1" ht="22.5" x14ac:dyDescent="0.2">
      <c r="A248" s="202" t="s">
        <v>705</v>
      </c>
      <c r="B248" s="209" t="s">
        <v>498</v>
      </c>
      <c r="C248" s="209" t="s">
        <v>592</v>
      </c>
      <c r="D248" s="209" t="s">
        <v>1405</v>
      </c>
      <c r="E248" s="209">
        <v>630</v>
      </c>
      <c r="F248" s="215">
        <v>25000</v>
      </c>
      <c r="G248" s="203">
        <v>0</v>
      </c>
      <c r="H248" s="215">
        <f>'Ведомственная 2020'!H212</f>
        <v>25000</v>
      </c>
      <c r="I248" s="203">
        <v>0</v>
      </c>
      <c r="J248" s="216">
        <f t="shared" si="63"/>
        <v>0</v>
      </c>
      <c r="K248" s="204">
        <f t="shared" si="64"/>
        <v>0</v>
      </c>
    </row>
    <row r="249" spans="1:11" ht="22.5" x14ac:dyDescent="0.2">
      <c r="A249" s="202" t="s">
        <v>593</v>
      </c>
      <c r="B249" s="209" t="s">
        <v>498</v>
      </c>
      <c r="C249" s="209" t="s">
        <v>592</v>
      </c>
      <c r="D249" s="209" t="s">
        <v>591</v>
      </c>
      <c r="E249" s="209"/>
      <c r="F249" s="215">
        <v>5592.9</v>
      </c>
      <c r="G249" s="203">
        <v>0</v>
      </c>
      <c r="H249" s="215">
        <f>H250</f>
        <v>5202.2</v>
      </c>
      <c r="I249" s="203">
        <f>I250</f>
        <v>0</v>
      </c>
      <c r="J249" s="216">
        <f t="shared" si="27"/>
        <v>-390.69999999999982</v>
      </c>
      <c r="K249" s="204">
        <f t="shared" si="28"/>
        <v>0</v>
      </c>
    </row>
    <row r="250" spans="1:11" x14ac:dyDescent="0.2">
      <c r="A250" s="202" t="s">
        <v>1347</v>
      </c>
      <c r="B250" s="209" t="s">
        <v>498</v>
      </c>
      <c r="C250" s="209" t="s">
        <v>592</v>
      </c>
      <c r="D250" s="209" t="s">
        <v>591</v>
      </c>
      <c r="E250" s="209" t="s">
        <v>535</v>
      </c>
      <c r="F250" s="215">
        <v>5592.9</v>
      </c>
      <c r="G250" s="203">
        <v>0</v>
      </c>
      <c r="H250" s="215">
        <f>H251</f>
        <v>5202.2</v>
      </c>
      <c r="I250" s="203">
        <f>I251</f>
        <v>0</v>
      </c>
      <c r="J250" s="216">
        <f t="shared" si="27"/>
        <v>-390.69999999999982</v>
      </c>
      <c r="K250" s="204">
        <f t="shared" si="28"/>
        <v>0</v>
      </c>
    </row>
    <row r="251" spans="1:11" ht="22.5" x14ac:dyDescent="0.2">
      <c r="A251" s="202" t="s">
        <v>534</v>
      </c>
      <c r="B251" s="209" t="s">
        <v>498</v>
      </c>
      <c r="C251" s="209" t="s">
        <v>592</v>
      </c>
      <c r="D251" s="209" t="s">
        <v>591</v>
      </c>
      <c r="E251" s="209" t="s">
        <v>529</v>
      </c>
      <c r="F251" s="215">
        <v>5592.9</v>
      </c>
      <c r="G251" s="203">
        <v>0</v>
      </c>
      <c r="H251" s="215">
        <f>'Ведомственная 2020'!H1131+'Ведомственная 2020'!H1299+'Ведомственная 2020'!H1377</f>
        <v>5202.2</v>
      </c>
      <c r="I251" s="203">
        <v>0</v>
      </c>
      <c r="J251" s="216">
        <f t="shared" si="27"/>
        <v>-390.69999999999982</v>
      </c>
      <c r="K251" s="204">
        <f t="shared" si="28"/>
        <v>0</v>
      </c>
    </row>
    <row r="252" spans="1:11" s="97" customFormat="1" x14ac:dyDescent="0.2">
      <c r="A252" s="199" t="s">
        <v>1206</v>
      </c>
      <c r="B252" s="212" t="s">
        <v>531</v>
      </c>
      <c r="C252" s="212"/>
      <c r="D252" s="212"/>
      <c r="E252" s="212"/>
      <c r="F252" s="213">
        <v>89562.199999999983</v>
      </c>
      <c r="G252" s="200">
        <v>0</v>
      </c>
      <c r="H252" s="213">
        <f>H253+H293</f>
        <v>87243.199999999983</v>
      </c>
      <c r="I252" s="200">
        <f>I253+I293</f>
        <v>0</v>
      </c>
      <c r="J252" s="214">
        <f t="shared" ref="J252:J305" si="65">H252-F252</f>
        <v>-2319</v>
      </c>
      <c r="K252" s="201">
        <f t="shared" ref="K252:K305" si="66">I252-G252</f>
        <v>0</v>
      </c>
    </row>
    <row r="253" spans="1:11" ht="22.5" x14ac:dyDescent="0.2">
      <c r="A253" s="202" t="s">
        <v>1205</v>
      </c>
      <c r="B253" s="209" t="s">
        <v>531</v>
      </c>
      <c r="C253" s="209" t="s">
        <v>670</v>
      </c>
      <c r="D253" s="209"/>
      <c r="E253" s="209"/>
      <c r="F253" s="215">
        <v>47101.69999999999</v>
      </c>
      <c r="G253" s="203">
        <v>0</v>
      </c>
      <c r="H253" s="215">
        <f>H254</f>
        <v>47010.599999999991</v>
      </c>
      <c r="I253" s="203">
        <f>I254</f>
        <v>0</v>
      </c>
      <c r="J253" s="216">
        <f t="shared" si="65"/>
        <v>-91.099999999998545</v>
      </c>
      <c r="K253" s="204">
        <f t="shared" si="66"/>
        <v>0</v>
      </c>
    </row>
    <row r="254" spans="1:11" ht="22.5" x14ac:dyDescent="0.2">
      <c r="A254" s="202" t="s">
        <v>1005</v>
      </c>
      <c r="B254" s="209" t="s">
        <v>531</v>
      </c>
      <c r="C254" s="209" t="s">
        <v>670</v>
      </c>
      <c r="D254" s="209" t="s">
        <v>1004</v>
      </c>
      <c r="E254" s="209"/>
      <c r="F254" s="215">
        <v>47101.69999999999</v>
      </c>
      <c r="G254" s="203">
        <v>0</v>
      </c>
      <c r="H254" s="215">
        <f>H255+H263+H268+H284</f>
        <v>47010.599999999991</v>
      </c>
      <c r="I254" s="203">
        <f>I255+I263+I268+I284</f>
        <v>0</v>
      </c>
      <c r="J254" s="216">
        <f t="shared" si="65"/>
        <v>-91.099999999998545</v>
      </c>
      <c r="K254" s="204">
        <f t="shared" si="66"/>
        <v>0</v>
      </c>
    </row>
    <row r="255" spans="1:11" ht="22.5" x14ac:dyDescent="0.2">
      <c r="A255" s="202" t="s">
        <v>1204</v>
      </c>
      <c r="B255" s="209" t="s">
        <v>531</v>
      </c>
      <c r="C255" s="209" t="s">
        <v>670</v>
      </c>
      <c r="D255" s="209" t="s">
        <v>1203</v>
      </c>
      <c r="E255" s="209"/>
      <c r="F255" s="215">
        <v>6400</v>
      </c>
      <c r="G255" s="203">
        <v>0</v>
      </c>
      <c r="H255" s="215">
        <f>H256</f>
        <v>6222.9</v>
      </c>
      <c r="I255" s="203">
        <f>I256</f>
        <v>0</v>
      </c>
      <c r="J255" s="216">
        <f t="shared" si="65"/>
        <v>-177.10000000000036</v>
      </c>
      <c r="K255" s="204">
        <f t="shared" si="66"/>
        <v>0</v>
      </c>
    </row>
    <row r="256" spans="1:11" ht="22.5" x14ac:dyDescent="0.2">
      <c r="A256" s="202" t="s">
        <v>1198</v>
      </c>
      <c r="B256" s="209" t="s">
        <v>531</v>
      </c>
      <c r="C256" s="209" t="s">
        <v>670</v>
      </c>
      <c r="D256" s="209" t="s">
        <v>1197</v>
      </c>
      <c r="E256" s="209"/>
      <c r="F256" s="215">
        <v>6400</v>
      </c>
      <c r="G256" s="203">
        <v>0</v>
      </c>
      <c r="H256" s="215">
        <f>H260+H257</f>
        <v>6222.9</v>
      </c>
      <c r="I256" s="203">
        <f>I260</f>
        <v>0</v>
      </c>
      <c r="J256" s="216">
        <f t="shared" si="65"/>
        <v>-177.10000000000036</v>
      </c>
      <c r="K256" s="204">
        <f t="shared" si="66"/>
        <v>0</v>
      </c>
    </row>
    <row r="257" spans="1:11" s="377" customFormat="1" ht="22.5" x14ac:dyDescent="0.2">
      <c r="A257" s="202" t="s">
        <v>1506</v>
      </c>
      <c r="B257" s="209" t="s">
        <v>531</v>
      </c>
      <c r="C257" s="209" t="s">
        <v>670</v>
      </c>
      <c r="D257" s="209" t="s">
        <v>1507</v>
      </c>
      <c r="E257" s="209"/>
      <c r="F257" s="215">
        <v>3700</v>
      </c>
      <c r="G257" s="203">
        <v>0</v>
      </c>
      <c r="H257" s="215">
        <f t="shared" ref="H257:I258" si="67">H258</f>
        <v>3700</v>
      </c>
      <c r="I257" s="203">
        <f t="shared" si="67"/>
        <v>0</v>
      </c>
      <c r="J257" s="216">
        <f t="shared" ref="J257:J259" si="68">H257-F257</f>
        <v>0</v>
      </c>
      <c r="K257" s="204">
        <f t="shared" ref="K257:K259" si="69">I257-G257</f>
        <v>0</v>
      </c>
    </row>
    <row r="258" spans="1:11" s="377" customFormat="1" x14ac:dyDescent="0.2">
      <c r="A258" s="202" t="s">
        <v>1347</v>
      </c>
      <c r="B258" s="209" t="s">
        <v>531</v>
      </c>
      <c r="C258" s="209" t="s">
        <v>670</v>
      </c>
      <c r="D258" s="209" t="s">
        <v>1507</v>
      </c>
      <c r="E258" s="209" t="s">
        <v>535</v>
      </c>
      <c r="F258" s="215">
        <v>3700</v>
      </c>
      <c r="G258" s="203">
        <v>0</v>
      </c>
      <c r="H258" s="215">
        <f t="shared" si="67"/>
        <v>3700</v>
      </c>
      <c r="I258" s="203">
        <f t="shared" si="67"/>
        <v>0</v>
      </c>
      <c r="J258" s="216">
        <f t="shared" si="68"/>
        <v>0</v>
      </c>
      <c r="K258" s="204">
        <f t="shared" si="69"/>
        <v>0</v>
      </c>
    </row>
    <row r="259" spans="1:11" s="377" customFormat="1" ht="22.5" x14ac:dyDescent="0.2">
      <c r="A259" s="202" t="s">
        <v>534</v>
      </c>
      <c r="B259" s="209" t="s">
        <v>531</v>
      </c>
      <c r="C259" s="209" t="s">
        <v>670</v>
      </c>
      <c r="D259" s="209" t="s">
        <v>1507</v>
      </c>
      <c r="E259" s="209" t="s">
        <v>529</v>
      </c>
      <c r="F259" s="215">
        <v>3700</v>
      </c>
      <c r="G259" s="203">
        <v>0</v>
      </c>
      <c r="H259" s="215">
        <f>'Ведомственная 2020'!H220</f>
        <v>3700</v>
      </c>
      <c r="I259" s="203">
        <v>0</v>
      </c>
      <c r="J259" s="216">
        <f t="shared" si="68"/>
        <v>0</v>
      </c>
      <c r="K259" s="204">
        <f t="shared" si="69"/>
        <v>0</v>
      </c>
    </row>
    <row r="260" spans="1:11" ht="22.5" x14ac:dyDescent="0.2">
      <c r="A260" s="202" t="s">
        <v>1524</v>
      </c>
      <c r="B260" s="209" t="s">
        <v>531</v>
      </c>
      <c r="C260" s="209" t="s">
        <v>670</v>
      </c>
      <c r="D260" s="209" t="s">
        <v>1196</v>
      </c>
      <c r="E260" s="209"/>
      <c r="F260" s="215">
        <v>2700</v>
      </c>
      <c r="G260" s="203">
        <v>0</v>
      </c>
      <c r="H260" s="215">
        <f>H261</f>
        <v>2522.9</v>
      </c>
      <c r="I260" s="203">
        <f>I261</f>
        <v>0</v>
      </c>
      <c r="J260" s="216">
        <f t="shared" si="65"/>
        <v>-177.09999999999991</v>
      </c>
      <c r="K260" s="204">
        <f t="shared" si="66"/>
        <v>0</v>
      </c>
    </row>
    <row r="261" spans="1:11" s="389" customFormat="1" ht="22.5" x14ac:dyDescent="0.2">
      <c r="A261" s="202" t="s">
        <v>547</v>
      </c>
      <c r="B261" s="209" t="s">
        <v>531</v>
      </c>
      <c r="C261" s="209" t="s">
        <v>670</v>
      </c>
      <c r="D261" s="209" t="s">
        <v>1196</v>
      </c>
      <c r="E261" s="209">
        <v>600</v>
      </c>
      <c r="F261" s="215">
        <v>2700</v>
      </c>
      <c r="G261" s="203">
        <v>0</v>
      </c>
      <c r="H261" s="215">
        <f>H262</f>
        <v>2522.9</v>
      </c>
      <c r="I261" s="203">
        <f>I262</f>
        <v>0</v>
      </c>
      <c r="J261" s="216">
        <f>H261-F261</f>
        <v>-177.09999999999991</v>
      </c>
      <c r="K261" s="204">
        <f>I261-G261</f>
        <v>0</v>
      </c>
    </row>
    <row r="262" spans="1:11" s="389" customFormat="1" x14ac:dyDescent="0.2">
      <c r="A262" s="202" t="s">
        <v>571</v>
      </c>
      <c r="B262" s="209" t="s">
        <v>531</v>
      </c>
      <c r="C262" s="209" t="s">
        <v>670</v>
      </c>
      <c r="D262" s="209" t="s">
        <v>1196</v>
      </c>
      <c r="E262" s="209">
        <v>610</v>
      </c>
      <c r="F262" s="215">
        <v>2700</v>
      </c>
      <c r="G262" s="203">
        <v>0</v>
      </c>
      <c r="H262" s="215">
        <f>'Ведомственная 2020'!H223</f>
        <v>2522.9</v>
      </c>
      <c r="I262" s="203">
        <v>0</v>
      </c>
      <c r="J262" s="216">
        <f>H262-F262</f>
        <v>-177.09999999999991</v>
      </c>
      <c r="K262" s="204">
        <f>I262-G262</f>
        <v>0</v>
      </c>
    </row>
    <row r="263" spans="1:11" ht="22.5" x14ac:dyDescent="0.2">
      <c r="A263" s="202" t="s">
        <v>1195</v>
      </c>
      <c r="B263" s="209" t="s">
        <v>531</v>
      </c>
      <c r="C263" s="209" t="s">
        <v>670</v>
      </c>
      <c r="D263" s="209" t="s">
        <v>1194</v>
      </c>
      <c r="E263" s="209"/>
      <c r="F263" s="215">
        <v>1076</v>
      </c>
      <c r="G263" s="203">
        <v>0</v>
      </c>
      <c r="H263" s="215">
        <f t="shared" ref="H263:I266" si="70">H264</f>
        <v>1076</v>
      </c>
      <c r="I263" s="203">
        <f t="shared" si="70"/>
        <v>0</v>
      </c>
      <c r="J263" s="216">
        <f t="shared" si="65"/>
        <v>0</v>
      </c>
      <c r="K263" s="204">
        <f t="shared" si="66"/>
        <v>0</v>
      </c>
    </row>
    <row r="264" spans="1:11" ht="45" x14ac:dyDescent="0.2">
      <c r="A264" s="202" t="s">
        <v>1193</v>
      </c>
      <c r="B264" s="209" t="s">
        <v>531</v>
      </c>
      <c r="C264" s="209" t="s">
        <v>670</v>
      </c>
      <c r="D264" s="209" t="s">
        <v>1192</v>
      </c>
      <c r="E264" s="209"/>
      <c r="F264" s="215">
        <v>1076</v>
      </c>
      <c r="G264" s="203">
        <v>0</v>
      </c>
      <c r="H264" s="215">
        <f t="shared" si="70"/>
        <v>1076</v>
      </c>
      <c r="I264" s="203">
        <f t="shared" si="70"/>
        <v>0</v>
      </c>
      <c r="J264" s="216">
        <f t="shared" si="65"/>
        <v>0</v>
      </c>
      <c r="K264" s="204">
        <f t="shared" si="66"/>
        <v>0</v>
      </c>
    </row>
    <row r="265" spans="1:11" ht="22.5" x14ac:dyDescent="0.2">
      <c r="A265" s="202" t="s">
        <v>1191</v>
      </c>
      <c r="B265" s="209" t="s">
        <v>531</v>
      </c>
      <c r="C265" s="209" t="s">
        <v>670</v>
      </c>
      <c r="D265" s="209" t="s">
        <v>1190</v>
      </c>
      <c r="E265" s="209"/>
      <c r="F265" s="215">
        <v>1076</v>
      </c>
      <c r="G265" s="203">
        <v>0</v>
      </c>
      <c r="H265" s="215">
        <f t="shared" si="70"/>
        <v>1076</v>
      </c>
      <c r="I265" s="203">
        <f t="shared" si="70"/>
        <v>0</v>
      </c>
      <c r="J265" s="216">
        <f t="shared" si="65"/>
        <v>0</v>
      </c>
      <c r="K265" s="204">
        <f t="shared" si="66"/>
        <v>0</v>
      </c>
    </row>
    <row r="266" spans="1:11" x14ac:dyDescent="0.2">
      <c r="A266" s="202" t="s">
        <v>1347</v>
      </c>
      <c r="B266" s="209" t="s">
        <v>531</v>
      </c>
      <c r="C266" s="209" t="s">
        <v>670</v>
      </c>
      <c r="D266" s="209" t="s">
        <v>1190</v>
      </c>
      <c r="E266" s="209" t="s">
        <v>535</v>
      </c>
      <c r="F266" s="215">
        <v>1076</v>
      </c>
      <c r="G266" s="203">
        <v>0</v>
      </c>
      <c r="H266" s="215">
        <f t="shared" si="70"/>
        <v>1076</v>
      </c>
      <c r="I266" s="203">
        <f t="shared" si="70"/>
        <v>0</v>
      </c>
      <c r="J266" s="216">
        <f t="shared" si="65"/>
        <v>0</v>
      </c>
      <c r="K266" s="204">
        <f t="shared" si="66"/>
        <v>0</v>
      </c>
    </row>
    <row r="267" spans="1:11" ht="22.5" x14ac:dyDescent="0.2">
      <c r="A267" s="202" t="s">
        <v>534</v>
      </c>
      <c r="B267" s="209" t="s">
        <v>531</v>
      </c>
      <c r="C267" s="209" t="s">
        <v>670</v>
      </c>
      <c r="D267" s="209" t="s">
        <v>1190</v>
      </c>
      <c r="E267" s="209" t="s">
        <v>529</v>
      </c>
      <c r="F267" s="215">
        <v>1076</v>
      </c>
      <c r="G267" s="203">
        <v>0</v>
      </c>
      <c r="H267" s="215">
        <f>'Ведомственная 2020'!H228</f>
        <v>1076</v>
      </c>
      <c r="I267" s="203">
        <v>0</v>
      </c>
      <c r="J267" s="216">
        <f t="shared" si="65"/>
        <v>0</v>
      </c>
      <c r="K267" s="204">
        <f t="shared" si="66"/>
        <v>0</v>
      </c>
    </row>
    <row r="268" spans="1:11" x14ac:dyDescent="0.2">
      <c r="A268" s="202" t="s">
        <v>1189</v>
      </c>
      <c r="B268" s="209" t="s">
        <v>531</v>
      </c>
      <c r="C268" s="209" t="s">
        <v>670</v>
      </c>
      <c r="D268" s="209" t="s">
        <v>1188</v>
      </c>
      <c r="E268" s="209"/>
      <c r="F268" s="215">
        <v>1776.5</v>
      </c>
      <c r="G268" s="203">
        <v>0</v>
      </c>
      <c r="H268" s="215">
        <f>H269</f>
        <v>1862.5</v>
      </c>
      <c r="I268" s="203">
        <f>I269</f>
        <v>0</v>
      </c>
      <c r="J268" s="216">
        <f t="shared" si="65"/>
        <v>86</v>
      </c>
      <c r="K268" s="204">
        <f t="shared" si="66"/>
        <v>0</v>
      </c>
    </row>
    <row r="269" spans="1:11" x14ac:dyDescent="0.2">
      <c r="A269" s="202" t="s">
        <v>1187</v>
      </c>
      <c r="B269" s="209" t="s">
        <v>531</v>
      </c>
      <c r="C269" s="209" t="s">
        <v>670</v>
      </c>
      <c r="D269" s="209" t="s">
        <v>1186</v>
      </c>
      <c r="E269" s="209"/>
      <c r="F269" s="215">
        <v>1776.5</v>
      </c>
      <c r="G269" s="203">
        <v>0</v>
      </c>
      <c r="H269" s="215">
        <f>H270+H278+H281+H275</f>
        <v>1862.5</v>
      </c>
      <c r="I269" s="203">
        <f>I270+I278+I281</f>
        <v>0</v>
      </c>
      <c r="J269" s="216">
        <f t="shared" si="65"/>
        <v>86</v>
      </c>
      <c r="K269" s="204">
        <f t="shared" si="66"/>
        <v>0</v>
      </c>
    </row>
    <row r="270" spans="1:11" ht="22.5" x14ac:dyDescent="0.2">
      <c r="A270" s="202" t="s">
        <v>1185</v>
      </c>
      <c r="B270" s="209" t="s">
        <v>531</v>
      </c>
      <c r="C270" s="209" t="s">
        <v>670</v>
      </c>
      <c r="D270" s="209" t="s">
        <v>1184</v>
      </c>
      <c r="E270" s="209"/>
      <c r="F270" s="215">
        <v>879</v>
      </c>
      <c r="G270" s="203">
        <v>0</v>
      </c>
      <c r="H270" s="215">
        <f>H271+H273</f>
        <v>880</v>
      </c>
      <c r="I270" s="203">
        <f>I271</f>
        <v>0</v>
      </c>
      <c r="J270" s="216">
        <f t="shared" si="65"/>
        <v>1</v>
      </c>
      <c r="K270" s="204">
        <f t="shared" si="66"/>
        <v>0</v>
      </c>
    </row>
    <row r="271" spans="1:11" x14ac:dyDescent="0.2">
      <c r="A271" s="202" t="s">
        <v>1347</v>
      </c>
      <c r="B271" s="209" t="s">
        <v>531</v>
      </c>
      <c r="C271" s="209" t="s">
        <v>670</v>
      </c>
      <c r="D271" s="209" t="s">
        <v>1184</v>
      </c>
      <c r="E271" s="209" t="s">
        <v>535</v>
      </c>
      <c r="F271" s="215">
        <v>3</v>
      </c>
      <c r="G271" s="203">
        <v>0</v>
      </c>
      <c r="H271" s="215">
        <f>H272</f>
        <v>3</v>
      </c>
      <c r="I271" s="203">
        <f>I272</f>
        <v>0</v>
      </c>
      <c r="J271" s="216">
        <f t="shared" si="65"/>
        <v>0</v>
      </c>
      <c r="K271" s="204">
        <f t="shared" si="66"/>
        <v>0</v>
      </c>
    </row>
    <row r="272" spans="1:11" ht="22.5" x14ac:dyDescent="0.2">
      <c r="A272" s="202" t="s">
        <v>534</v>
      </c>
      <c r="B272" s="209" t="s">
        <v>531</v>
      </c>
      <c r="C272" s="209" t="s">
        <v>670</v>
      </c>
      <c r="D272" s="209" t="s">
        <v>1184</v>
      </c>
      <c r="E272" s="209" t="s">
        <v>529</v>
      </c>
      <c r="F272" s="215">
        <v>3</v>
      </c>
      <c r="G272" s="203">
        <v>0</v>
      </c>
      <c r="H272" s="215">
        <f>'Ведомственная 2020'!H233</f>
        <v>3</v>
      </c>
      <c r="I272" s="203">
        <v>0</v>
      </c>
      <c r="J272" s="216">
        <f t="shared" si="65"/>
        <v>0</v>
      </c>
      <c r="K272" s="204">
        <f t="shared" si="66"/>
        <v>0</v>
      </c>
    </row>
    <row r="273" spans="1:11" x14ac:dyDescent="0.2">
      <c r="A273" s="202" t="s">
        <v>553</v>
      </c>
      <c r="B273" s="209" t="s">
        <v>531</v>
      </c>
      <c r="C273" s="209" t="s">
        <v>670</v>
      </c>
      <c r="D273" s="209" t="s">
        <v>1184</v>
      </c>
      <c r="E273" s="209" t="s">
        <v>552</v>
      </c>
      <c r="F273" s="215">
        <v>876</v>
      </c>
      <c r="G273" s="203">
        <v>0</v>
      </c>
      <c r="H273" s="215">
        <f>H274</f>
        <v>877</v>
      </c>
      <c r="I273" s="203">
        <f>I274</f>
        <v>0</v>
      </c>
      <c r="J273" s="216">
        <f t="shared" si="65"/>
        <v>1</v>
      </c>
      <c r="K273" s="204">
        <f t="shared" si="66"/>
        <v>0</v>
      </c>
    </row>
    <row r="274" spans="1:11" x14ac:dyDescent="0.2">
      <c r="A274" s="202" t="s">
        <v>841</v>
      </c>
      <c r="B274" s="209" t="s">
        <v>531</v>
      </c>
      <c r="C274" s="209" t="s">
        <v>670</v>
      </c>
      <c r="D274" s="209" t="s">
        <v>1184</v>
      </c>
      <c r="E274" s="209" t="s">
        <v>840</v>
      </c>
      <c r="F274" s="215">
        <v>876</v>
      </c>
      <c r="G274" s="203">
        <v>0</v>
      </c>
      <c r="H274" s="215">
        <f>'Ведомственная 2020'!H235</f>
        <v>877</v>
      </c>
      <c r="I274" s="203">
        <v>0</v>
      </c>
      <c r="J274" s="216">
        <f t="shared" si="65"/>
        <v>1</v>
      </c>
      <c r="K274" s="204">
        <f t="shared" si="66"/>
        <v>0</v>
      </c>
    </row>
    <row r="275" spans="1:11" s="377" customFormat="1" ht="22.5" x14ac:dyDescent="0.2">
      <c r="A275" s="202" t="s">
        <v>1493</v>
      </c>
      <c r="B275" s="209" t="s">
        <v>531</v>
      </c>
      <c r="C275" s="209" t="s">
        <v>670</v>
      </c>
      <c r="D275" s="209" t="s">
        <v>1492</v>
      </c>
      <c r="E275" s="209"/>
      <c r="F275" s="215">
        <v>60</v>
      </c>
      <c r="G275" s="203">
        <v>0</v>
      </c>
      <c r="H275" s="215">
        <f t="shared" ref="H275:I276" si="71">H276</f>
        <v>145</v>
      </c>
      <c r="I275" s="203">
        <f t="shared" si="71"/>
        <v>0</v>
      </c>
      <c r="J275" s="216">
        <f t="shared" ref="J275:J277" si="72">H275-F275</f>
        <v>85</v>
      </c>
      <c r="K275" s="204">
        <f t="shared" ref="K275:K277" si="73">I275-G275</f>
        <v>0</v>
      </c>
    </row>
    <row r="276" spans="1:11" s="377" customFormat="1" x14ac:dyDescent="0.2">
      <c r="A276" s="202" t="s">
        <v>1347</v>
      </c>
      <c r="B276" s="209" t="s">
        <v>531</v>
      </c>
      <c r="C276" s="209" t="s">
        <v>670</v>
      </c>
      <c r="D276" s="209" t="s">
        <v>1492</v>
      </c>
      <c r="E276" s="209" t="s">
        <v>535</v>
      </c>
      <c r="F276" s="215">
        <v>60</v>
      </c>
      <c r="G276" s="203">
        <v>0</v>
      </c>
      <c r="H276" s="215">
        <f t="shared" si="71"/>
        <v>145</v>
      </c>
      <c r="I276" s="203">
        <f t="shared" si="71"/>
        <v>0</v>
      </c>
      <c r="J276" s="216">
        <f t="shared" si="72"/>
        <v>85</v>
      </c>
      <c r="K276" s="204">
        <f t="shared" si="73"/>
        <v>0</v>
      </c>
    </row>
    <row r="277" spans="1:11" s="377" customFormat="1" ht="22.5" x14ac:dyDescent="0.2">
      <c r="A277" s="202" t="s">
        <v>534</v>
      </c>
      <c r="B277" s="209" t="s">
        <v>531</v>
      </c>
      <c r="C277" s="209" t="s">
        <v>670</v>
      </c>
      <c r="D277" s="209" t="s">
        <v>1492</v>
      </c>
      <c r="E277" s="209" t="s">
        <v>529</v>
      </c>
      <c r="F277" s="215">
        <v>60</v>
      </c>
      <c r="G277" s="203">
        <v>0</v>
      </c>
      <c r="H277" s="215">
        <f>'Ведомственная 2020'!H238</f>
        <v>145</v>
      </c>
      <c r="I277" s="203">
        <v>0</v>
      </c>
      <c r="J277" s="216">
        <f t="shared" si="72"/>
        <v>85</v>
      </c>
      <c r="K277" s="204">
        <f t="shared" si="73"/>
        <v>0</v>
      </c>
    </row>
    <row r="278" spans="1:11" ht="22.5" x14ac:dyDescent="0.2">
      <c r="A278" s="202" t="s">
        <v>1183</v>
      </c>
      <c r="B278" s="209" t="s">
        <v>531</v>
      </c>
      <c r="C278" s="209" t="s">
        <v>670</v>
      </c>
      <c r="D278" s="209" t="s">
        <v>1182</v>
      </c>
      <c r="E278" s="209"/>
      <c r="F278" s="215">
        <v>307.5</v>
      </c>
      <c r="G278" s="203">
        <v>0</v>
      </c>
      <c r="H278" s="215">
        <f>H279</f>
        <v>307.5</v>
      </c>
      <c r="I278" s="203">
        <f>I279</f>
        <v>0</v>
      </c>
      <c r="J278" s="216">
        <f t="shared" si="65"/>
        <v>0</v>
      </c>
      <c r="K278" s="204">
        <f t="shared" si="66"/>
        <v>0</v>
      </c>
    </row>
    <row r="279" spans="1:11" ht="22.5" x14ac:dyDescent="0.2">
      <c r="A279" s="202" t="s">
        <v>547</v>
      </c>
      <c r="B279" s="209" t="s">
        <v>531</v>
      </c>
      <c r="C279" s="209" t="s">
        <v>670</v>
      </c>
      <c r="D279" s="209" t="s">
        <v>1182</v>
      </c>
      <c r="E279" s="209" t="s">
        <v>519</v>
      </c>
      <c r="F279" s="215">
        <v>307.5</v>
      </c>
      <c r="G279" s="203">
        <v>0</v>
      </c>
      <c r="H279" s="215">
        <f>H280</f>
        <v>307.5</v>
      </c>
      <c r="I279" s="203">
        <f>I280</f>
        <v>0</v>
      </c>
      <c r="J279" s="216">
        <f t="shared" si="65"/>
        <v>0</v>
      </c>
      <c r="K279" s="204">
        <f t="shared" si="66"/>
        <v>0</v>
      </c>
    </row>
    <row r="280" spans="1:11" x14ac:dyDescent="0.2">
      <c r="A280" s="202" t="s">
        <v>546</v>
      </c>
      <c r="B280" s="209" t="s">
        <v>531</v>
      </c>
      <c r="C280" s="209" t="s">
        <v>670</v>
      </c>
      <c r="D280" s="209" t="s">
        <v>1182</v>
      </c>
      <c r="E280" s="209" t="s">
        <v>544</v>
      </c>
      <c r="F280" s="215">
        <v>307.5</v>
      </c>
      <c r="G280" s="203">
        <v>0</v>
      </c>
      <c r="H280" s="215">
        <f>'Ведомственная 2020'!H241</f>
        <v>307.5</v>
      </c>
      <c r="I280" s="203">
        <v>0</v>
      </c>
      <c r="J280" s="216">
        <f t="shared" si="65"/>
        <v>0</v>
      </c>
      <c r="K280" s="204">
        <f t="shared" si="66"/>
        <v>0</v>
      </c>
    </row>
    <row r="281" spans="1:11" ht="22.5" x14ac:dyDescent="0.2">
      <c r="A281" s="202" t="s">
        <v>1349</v>
      </c>
      <c r="B281" s="209" t="s">
        <v>531</v>
      </c>
      <c r="C281" s="209" t="s">
        <v>670</v>
      </c>
      <c r="D281" s="209" t="s">
        <v>1181</v>
      </c>
      <c r="E281" s="209"/>
      <c r="F281" s="215">
        <v>530</v>
      </c>
      <c r="G281" s="203">
        <v>0</v>
      </c>
      <c r="H281" s="215">
        <f>H282</f>
        <v>530</v>
      </c>
      <c r="I281" s="203">
        <f>I282</f>
        <v>0</v>
      </c>
      <c r="J281" s="216">
        <f t="shared" si="65"/>
        <v>0</v>
      </c>
      <c r="K281" s="204">
        <f t="shared" si="66"/>
        <v>0</v>
      </c>
    </row>
    <row r="282" spans="1:11" ht="33.75" x14ac:dyDescent="0.2">
      <c r="A282" s="202" t="s">
        <v>1348</v>
      </c>
      <c r="B282" s="209" t="s">
        <v>531</v>
      </c>
      <c r="C282" s="209" t="s">
        <v>670</v>
      </c>
      <c r="D282" s="209" t="s">
        <v>1181</v>
      </c>
      <c r="E282" s="209" t="s">
        <v>556</v>
      </c>
      <c r="F282" s="215">
        <v>530</v>
      </c>
      <c r="G282" s="203">
        <v>0</v>
      </c>
      <c r="H282" s="215">
        <f>H283</f>
        <v>530</v>
      </c>
      <c r="I282" s="203">
        <f>I283</f>
        <v>0</v>
      </c>
      <c r="J282" s="216">
        <f t="shared" si="65"/>
        <v>0</v>
      </c>
      <c r="K282" s="204">
        <f t="shared" si="66"/>
        <v>0</v>
      </c>
    </row>
    <row r="283" spans="1:11" x14ac:dyDescent="0.2">
      <c r="A283" s="202" t="s">
        <v>555</v>
      </c>
      <c r="B283" s="209" t="s">
        <v>531</v>
      </c>
      <c r="C283" s="209" t="s">
        <v>670</v>
      </c>
      <c r="D283" s="209" t="s">
        <v>1181</v>
      </c>
      <c r="E283" s="209" t="s">
        <v>554</v>
      </c>
      <c r="F283" s="215">
        <v>530</v>
      </c>
      <c r="G283" s="203">
        <v>0</v>
      </c>
      <c r="H283" s="215">
        <f>'Ведомственная 2020'!H244</f>
        <v>530</v>
      </c>
      <c r="I283" s="203">
        <f>'Ведомственная 2020'!I244</f>
        <v>0</v>
      </c>
      <c r="J283" s="216">
        <f t="shared" si="65"/>
        <v>0</v>
      </c>
      <c r="K283" s="204">
        <f t="shared" si="66"/>
        <v>0</v>
      </c>
    </row>
    <row r="284" spans="1:11" x14ac:dyDescent="0.2">
      <c r="A284" s="202" t="s">
        <v>602</v>
      </c>
      <c r="B284" s="209" t="s">
        <v>531</v>
      </c>
      <c r="C284" s="209" t="s">
        <v>670</v>
      </c>
      <c r="D284" s="209" t="s">
        <v>1174</v>
      </c>
      <c r="E284" s="209"/>
      <c r="F284" s="215">
        <v>37849.19999999999</v>
      </c>
      <c r="G284" s="203">
        <v>0</v>
      </c>
      <c r="H284" s="215">
        <f>H285</f>
        <v>37849.19999999999</v>
      </c>
      <c r="I284" s="203">
        <f>I285</f>
        <v>0</v>
      </c>
      <c r="J284" s="216">
        <f t="shared" si="65"/>
        <v>0</v>
      </c>
      <c r="K284" s="204">
        <f t="shared" si="66"/>
        <v>0</v>
      </c>
    </row>
    <row r="285" spans="1:11" ht="22.5" x14ac:dyDescent="0.2">
      <c r="A285" s="202" t="s">
        <v>600</v>
      </c>
      <c r="B285" s="209" t="s">
        <v>531</v>
      </c>
      <c r="C285" s="209" t="s">
        <v>670</v>
      </c>
      <c r="D285" s="209" t="s">
        <v>1173</v>
      </c>
      <c r="E285" s="209"/>
      <c r="F285" s="215">
        <v>37849.19999999999</v>
      </c>
      <c r="G285" s="203">
        <v>0</v>
      </c>
      <c r="H285" s="215">
        <f>H286</f>
        <v>37849.19999999999</v>
      </c>
      <c r="I285" s="203">
        <f>I286</f>
        <v>0</v>
      </c>
      <c r="J285" s="216">
        <f t="shared" si="65"/>
        <v>0</v>
      </c>
      <c r="K285" s="204">
        <f t="shared" si="66"/>
        <v>0</v>
      </c>
    </row>
    <row r="286" spans="1:11" ht="22.5" x14ac:dyDescent="0.2">
      <c r="A286" s="202" t="s">
        <v>1350</v>
      </c>
      <c r="B286" s="209" t="s">
        <v>531</v>
      </c>
      <c r="C286" s="209" t="s">
        <v>670</v>
      </c>
      <c r="D286" s="209" t="s">
        <v>1172</v>
      </c>
      <c r="E286" s="209"/>
      <c r="F286" s="215">
        <v>37849.19999999999</v>
      </c>
      <c r="G286" s="203">
        <v>0</v>
      </c>
      <c r="H286" s="215">
        <f>H287+H289+H291</f>
        <v>37849.19999999999</v>
      </c>
      <c r="I286" s="203">
        <f>I287+I289+I291</f>
        <v>0</v>
      </c>
      <c r="J286" s="216">
        <f t="shared" si="65"/>
        <v>0</v>
      </c>
      <c r="K286" s="204">
        <f t="shared" si="66"/>
        <v>0</v>
      </c>
    </row>
    <row r="287" spans="1:11" ht="33.75" x14ac:dyDescent="0.2">
      <c r="A287" s="202" t="s">
        <v>1348</v>
      </c>
      <c r="B287" s="209" t="s">
        <v>531</v>
      </c>
      <c r="C287" s="209" t="s">
        <v>670</v>
      </c>
      <c r="D287" s="209" t="s">
        <v>1172</v>
      </c>
      <c r="E287" s="209" t="s">
        <v>556</v>
      </c>
      <c r="F287" s="215">
        <v>35875.499999999993</v>
      </c>
      <c r="G287" s="203">
        <v>0</v>
      </c>
      <c r="H287" s="215">
        <f>H288</f>
        <v>35875.499999999993</v>
      </c>
      <c r="I287" s="203">
        <f>I288</f>
        <v>0</v>
      </c>
      <c r="J287" s="216">
        <f t="shared" si="65"/>
        <v>0</v>
      </c>
      <c r="K287" s="204">
        <f t="shared" si="66"/>
        <v>0</v>
      </c>
    </row>
    <row r="288" spans="1:11" x14ac:dyDescent="0.2">
      <c r="A288" s="202" t="s">
        <v>555</v>
      </c>
      <c r="B288" s="209" t="s">
        <v>531</v>
      </c>
      <c r="C288" s="209" t="s">
        <v>670</v>
      </c>
      <c r="D288" s="209" t="s">
        <v>1172</v>
      </c>
      <c r="E288" s="209" t="s">
        <v>554</v>
      </c>
      <c r="F288" s="215">
        <v>35875.499999999993</v>
      </c>
      <c r="G288" s="203">
        <v>0</v>
      </c>
      <c r="H288" s="215">
        <f>'Ведомственная 2020'!H249</f>
        <v>35875.499999999993</v>
      </c>
      <c r="I288" s="203">
        <v>0</v>
      </c>
      <c r="J288" s="216">
        <f t="shared" si="65"/>
        <v>0</v>
      </c>
      <c r="K288" s="204">
        <f t="shared" si="66"/>
        <v>0</v>
      </c>
    </row>
    <row r="289" spans="1:11" x14ac:dyDescent="0.2">
      <c r="A289" s="202" t="s">
        <v>1347</v>
      </c>
      <c r="B289" s="209" t="s">
        <v>531</v>
      </c>
      <c r="C289" s="209" t="s">
        <v>670</v>
      </c>
      <c r="D289" s="209" t="s">
        <v>1172</v>
      </c>
      <c r="E289" s="209" t="s">
        <v>535</v>
      </c>
      <c r="F289" s="215">
        <v>1023.7</v>
      </c>
      <c r="G289" s="203">
        <v>0</v>
      </c>
      <c r="H289" s="215">
        <f>H290</f>
        <v>1023.7</v>
      </c>
      <c r="I289" s="203">
        <f>I290</f>
        <v>0</v>
      </c>
      <c r="J289" s="216">
        <f t="shared" si="65"/>
        <v>0</v>
      </c>
      <c r="K289" s="204">
        <f t="shared" si="66"/>
        <v>0</v>
      </c>
    </row>
    <row r="290" spans="1:11" ht="22.5" x14ac:dyDescent="0.2">
      <c r="A290" s="202" t="s">
        <v>534</v>
      </c>
      <c r="B290" s="209" t="s">
        <v>531</v>
      </c>
      <c r="C290" s="209" t="s">
        <v>670</v>
      </c>
      <c r="D290" s="209" t="s">
        <v>1172</v>
      </c>
      <c r="E290" s="209" t="s">
        <v>529</v>
      </c>
      <c r="F290" s="215">
        <v>1023.7</v>
      </c>
      <c r="G290" s="203">
        <v>0</v>
      </c>
      <c r="H290" s="215">
        <f>'Ведомственная 2020'!H251</f>
        <v>1023.7</v>
      </c>
      <c r="I290" s="203">
        <v>0</v>
      </c>
      <c r="J290" s="216">
        <f t="shared" si="65"/>
        <v>0</v>
      </c>
      <c r="K290" s="204">
        <f t="shared" si="66"/>
        <v>0</v>
      </c>
    </row>
    <row r="291" spans="1:11" s="231" customFormat="1" x14ac:dyDescent="0.2">
      <c r="A291" s="202" t="s">
        <v>553</v>
      </c>
      <c r="B291" s="209" t="s">
        <v>531</v>
      </c>
      <c r="C291" s="209" t="s">
        <v>670</v>
      </c>
      <c r="D291" s="209" t="s">
        <v>1172</v>
      </c>
      <c r="E291" s="209">
        <v>300</v>
      </c>
      <c r="F291" s="215">
        <v>950</v>
      </c>
      <c r="G291" s="203">
        <v>0</v>
      </c>
      <c r="H291" s="215">
        <f>H292</f>
        <v>950</v>
      </c>
      <c r="I291" s="203">
        <f>I292</f>
        <v>0</v>
      </c>
      <c r="J291" s="216">
        <f t="shared" ref="J291:J292" si="74">H291-F291</f>
        <v>0</v>
      </c>
      <c r="K291" s="204">
        <f t="shared" ref="K291:K292" si="75">I291-G291</f>
        <v>0</v>
      </c>
    </row>
    <row r="292" spans="1:11" s="231" customFormat="1" x14ac:dyDescent="0.2">
      <c r="A292" s="202" t="s">
        <v>832</v>
      </c>
      <c r="B292" s="209" t="s">
        <v>531</v>
      </c>
      <c r="C292" s="209" t="s">
        <v>670</v>
      </c>
      <c r="D292" s="209" t="s">
        <v>1172</v>
      </c>
      <c r="E292" s="209">
        <v>320</v>
      </c>
      <c r="F292" s="215">
        <v>950</v>
      </c>
      <c r="G292" s="203">
        <v>0</v>
      </c>
      <c r="H292" s="215">
        <f>'Ведомственная 2020'!H253</f>
        <v>950</v>
      </c>
      <c r="I292" s="203">
        <v>0</v>
      </c>
      <c r="J292" s="216">
        <f t="shared" si="74"/>
        <v>0</v>
      </c>
      <c r="K292" s="204">
        <f t="shared" si="75"/>
        <v>0</v>
      </c>
    </row>
    <row r="293" spans="1:11" x14ac:dyDescent="0.2">
      <c r="A293" s="202" t="s">
        <v>1171</v>
      </c>
      <c r="B293" s="209" t="s">
        <v>531</v>
      </c>
      <c r="C293" s="209" t="s">
        <v>1151</v>
      </c>
      <c r="D293" s="209"/>
      <c r="E293" s="209"/>
      <c r="F293" s="215">
        <v>42460.5</v>
      </c>
      <c r="G293" s="203">
        <v>0</v>
      </c>
      <c r="H293" s="215">
        <f>H294</f>
        <v>40232.6</v>
      </c>
      <c r="I293" s="203">
        <f>I294</f>
        <v>0</v>
      </c>
      <c r="J293" s="216">
        <f t="shared" si="65"/>
        <v>-2227.9000000000015</v>
      </c>
      <c r="K293" s="204">
        <f t="shared" si="66"/>
        <v>0</v>
      </c>
    </row>
    <row r="294" spans="1:11" ht="22.5" x14ac:dyDescent="0.2">
      <c r="A294" s="202" t="s">
        <v>1005</v>
      </c>
      <c r="B294" s="209" t="s">
        <v>531</v>
      </c>
      <c r="C294" s="209" t="s">
        <v>1151</v>
      </c>
      <c r="D294" s="209" t="s">
        <v>1004</v>
      </c>
      <c r="E294" s="209"/>
      <c r="F294" s="215">
        <v>42460.5</v>
      </c>
      <c r="G294" s="203">
        <v>0</v>
      </c>
      <c r="H294" s="215">
        <f>H295</f>
        <v>40232.6</v>
      </c>
      <c r="I294" s="203">
        <f>I295</f>
        <v>0</v>
      </c>
      <c r="J294" s="216">
        <f t="shared" si="65"/>
        <v>-2227.9000000000015</v>
      </c>
      <c r="K294" s="204">
        <f t="shared" si="66"/>
        <v>0</v>
      </c>
    </row>
    <row r="295" spans="1:11" x14ac:dyDescent="0.2">
      <c r="A295" s="202" t="s">
        <v>1003</v>
      </c>
      <c r="B295" s="209" t="s">
        <v>531</v>
      </c>
      <c r="C295" s="209" t="s">
        <v>1151</v>
      </c>
      <c r="D295" s="209" t="s">
        <v>1002</v>
      </c>
      <c r="E295" s="209"/>
      <c r="F295" s="215">
        <v>42460.5</v>
      </c>
      <c r="G295" s="203">
        <v>0</v>
      </c>
      <c r="H295" s="215">
        <f>H296+H309+H313+H320</f>
        <v>40232.6</v>
      </c>
      <c r="I295" s="203">
        <f>I296+I309+I313</f>
        <v>0</v>
      </c>
      <c r="J295" s="216">
        <f t="shared" si="65"/>
        <v>-2227.9000000000015</v>
      </c>
      <c r="K295" s="204">
        <f t="shared" si="66"/>
        <v>0</v>
      </c>
    </row>
    <row r="296" spans="1:11" ht="33.75" x14ac:dyDescent="0.2">
      <c r="A296" s="202" t="s">
        <v>1170</v>
      </c>
      <c r="B296" s="209" t="s">
        <v>531</v>
      </c>
      <c r="C296" s="209" t="s">
        <v>1151</v>
      </c>
      <c r="D296" s="209" t="s">
        <v>1169</v>
      </c>
      <c r="E296" s="209"/>
      <c r="F296" s="215">
        <v>5348.1</v>
      </c>
      <c r="G296" s="203">
        <v>0</v>
      </c>
      <c r="H296" s="215">
        <f>H297+H300+H303+H306</f>
        <v>5334.6</v>
      </c>
      <c r="I296" s="203">
        <f>I297+I300+I303+I306</f>
        <v>0</v>
      </c>
      <c r="J296" s="216">
        <f t="shared" si="65"/>
        <v>-13.5</v>
      </c>
      <c r="K296" s="204">
        <f t="shared" si="66"/>
        <v>0</v>
      </c>
    </row>
    <row r="297" spans="1:11" ht="45" x14ac:dyDescent="0.2">
      <c r="A297" s="202" t="s">
        <v>1168</v>
      </c>
      <c r="B297" s="209" t="s">
        <v>531</v>
      </c>
      <c r="C297" s="209" t="s">
        <v>1151</v>
      </c>
      <c r="D297" s="209" t="s">
        <v>1167</v>
      </c>
      <c r="E297" s="209"/>
      <c r="F297" s="215">
        <v>4623.3</v>
      </c>
      <c r="G297" s="203">
        <v>0</v>
      </c>
      <c r="H297" s="215">
        <f>H298</f>
        <v>4623.3</v>
      </c>
      <c r="I297" s="203">
        <f>I298</f>
        <v>0</v>
      </c>
      <c r="J297" s="216">
        <f t="shared" si="65"/>
        <v>0</v>
      </c>
      <c r="K297" s="204">
        <f t="shared" si="66"/>
        <v>0</v>
      </c>
    </row>
    <row r="298" spans="1:11" x14ac:dyDescent="0.2">
      <c r="A298" s="202" t="s">
        <v>1347</v>
      </c>
      <c r="B298" s="209" t="s">
        <v>531</v>
      </c>
      <c r="C298" s="209" t="s">
        <v>1151</v>
      </c>
      <c r="D298" s="209" t="s">
        <v>1167</v>
      </c>
      <c r="E298" s="209" t="s">
        <v>535</v>
      </c>
      <c r="F298" s="215">
        <v>4623.3</v>
      </c>
      <c r="G298" s="203">
        <v>0</v>
      </c>
      <c r="H298" s="215">
        <f>H299</f>
        <v>4623.3</v>
      </c>
      <c r="I298" s="203">
        <f>I299</f>
        <v>0</v>
      </c>
      <c r="J298" s="216">
        <f t="shared" si="65"/>
        <v>0</v>
      </c>
      <c r="K298" s="204">
        <f t="shared" si="66"/>
        <v>0</v>
      </c>
    </row>
    <row r="299" spans="1:11" ht="22.5" x14ac:dyDescent="0.2">
      <c r="A299" s="202" t="s">
        <v>534</v>
      </c>
      <c r="B299" s="209" t="s">
        <v>531</v>
      </c>
      <c r="C299" s="209" t="s">
        <v>1151</v>
      </c>
      <c r="D299" s="209" t="s">
        <v>1167</v>
      </c>
      <c r="E299" s="209" t="s">
        <v>529</v>
      </c>
      <c r="F299" s="215">
        <v>4623.3</v>
      </c>
      <c r="G299" s="203">
        <v>0</v>
      </c>
      <c r="H299" s="215">
        <f>'Ведомственная 2020'!H260</f>
        <v>4623.3</v>
      </c>
      <c r="I299" s="203">
        <v>0</v>
      </c>
      <c r="J299" s="216">
        <f t="shared" si="65"/>
        <v>0</v>
      </c>
      <c r="K299" s="204">
        <f t="shared" si="66"/>
        <v>0</v>
      </c>
    </row>
    <row r="300" spans="1:11" ht="45" x14ac:dyDescent="0.2">
      <c r="A300" s="202" t="s">
        <v>1525</v>
      </c>
      <c r="B300" s="209" t="s">
        <v>531</v>
      </c>
      <c r="C300" s="209" t="s">
        <v>1151</v>
      </c>
      <c r="D300" s="209" t="s">
        <v>1166</v>
      </c>
      <c r="E300" s="209"/>
      <c r="F300" s="215">
        <v>90</v>
      </c>
      <c r="G300" s="203">
        <v>0</v>
      </c>
      <c r="H300" s="215">
        <f>H301</f>
        <v>90</v>
      </c>
      <c r="I300" s="203">
        <f>I301</f>
        <v>0</v>
      </c>
      <c r="J300" s="216">
        <f t="shared" si="65"/>
        <v>0</v>
      </c>
      <c r="K300" s="204">
        <f t="shared" si="66"/>
        <v>0</v>
      </c>
    </row>
    <row r="301" spans="1:11" s="389" customFormat="1" ht="22.5" x14ac:dyDescent="0.2">
      <c r="A301" s="202" t="s">
        <v>547</v>
      </c>
      <c r="B301" s="209" t="s">
        <v>531</v>
      </c>
      <c r="C301" s="209" t="s">
        <v>1151</v>
      </c>
      <c r="D301" s="209" t="s">
        <v>1166</v>
      </c>
      <c r="E301" s="209">
        <v>600</v>
      </c>
      <c r="F301" s="215">
        <v>90</v>
      </c>
      <c r="G301" s="203">
        <v>0</v>
      </c>
      <c r="H301" s="215">
        <f>H302</f>
        <v>90</v>
      </c>
      <c r="I301" s="203">
        <f>I302</f>
        <v>0</v>
      </c>
      <c r="J301" s="216">
        <f>H301-F301</f>
        <v>0</v>
      </c>
      <c r="K301" s="204">
        <f>I301-G301</f>
        <v>0</v>
      </c>
    </row>
    <row r="302" spans="1:11" s="389" customFormat="1" x14ac:dyDescent="0.2">
      <c r="A302" s="202" t="s">
        <v>571</v>
      </c>
      <c r="B302" s="209" t="s">
        <v>531</v>
      </c>
      <c r="C302" s="209" t="s">
        <v>1151</v>
      </c>
      <c r="D302" s="209" t="s">
        <v>1166</v>
      </c>
      <c r="E302" s="209">
        <v>610</v>
      </c>
      <c r="F302" s="215">
        <v>90</v>
      </c>
      <c r="G302" s="203">
        <v>0</v>
      </c>
      <c r="H302" s="215">
        <f>'Ведомственная 2020'!H263</f>
        <v>90</v>
      </c>
      <c r="I302" s="203">
        <v>0</v>
      </c>
      <c r="J302" s="216">
        <f>H302-F302</f>
        <v>0</v>
      </c>
      <c r="K302" s="204">
        <f>I302-G302</f>
        <v>0</v>
      </c>
    </row>
    <row r="303" spans="1:11" ht="45" x14ac:dyDescent="0.2">
      <c r="A303" s="202" t="s">
        <v>1165</v>
      </c>
      <c r="B303" s="209" t="s">
        <v>531</v>
      </c>
      <c r="C303" s="209" t="s">
        <v>1151</v>
      </c>
      <c r="D303" s="209" t="s">
        <v>1164</v>
      </c>
      <c r="E303" s="209"/>
      <c r="F303" s="215">
        <v>549.79999999999995</v>
      </c>
      <c r="G303" s="203">
        <v>0</v>
      </c>
      <c r="H303" s="215">
        <f>H304</f>
        <v>536.29999999999995</v>
      </c>
      <c r="I303" s="203">
        <f>I304</f>
        <v>0</v>
      </c>
      <c r="J303" s="216">
        <f t="shared" si="65"/>
        <v>-13.5</v>
      </c>
      <c r="K303" s="204">
        <f t="shared" si="66"/>
        <v>0</v>
      </c>
    </row>
    <row r="304" spans="1:11" x14ac:dyDescent="0.2">
      <c r="A304" s="202" t="s">
        <v>1347</v>
      </c>
      <c r="B304" s="209" t="s">
        <v>531</v>
      </c>
      <c r="C304" s="209" t="s">
        <v>1151</v>
      </c>
      <c r="D304" s="209" t="s">
        <v>1164</v>
      </c>
      <c r="E304" s="209" t="s">
        <v>535</v>
      </c>
      <c r="F304" s="215">
        <v>549.79999999999995</v>
      </c>
      <c r="G304" s="203">
        <v>0</v>
      </c>
      <c r="H304" s="215">
        <f>H305</f>
        <v>536.29999999999995</v>
      </c>
      <c r="I304" s="203">
        <f>I305</f>
        <v>0</v>
      </c>
      <c r="J304" s="216">
        <f t="shared" si="65"/>
        <v>-13.5</v>
      </c>
      <c r="K304" s="204">
        <f t="shared" si="66"/>
        <v>0</v>
      </c>
    </row>
    <row r="305" spans="1:11" ht="22.5" x14ac:dyDescent="0.2">
      <c r="A305" s="202" t="s">
        <v>534</v>
      </c>
      <c r="B305" s="209" t="s">
        <v>531</v>
      </c>
      <c r="C305" s="209" t="s">
        <v>1151</v>
      </c>
      <c r="D305" s="209" t="s">
        <v>1164</v>
      </c>
      <c r="E305" s="209" t="s">
        <v>529</v>
      </c>
      <c r="F305" s="215">
        <v>549.79999999999995</v>
      </c>
      <c r="G305" s="203">
        <v>0</v>
      </c>
      <c r="H305" s="215">
        <f>'Ведомственная 2020'!H266</f>
        <v>536.29999999999995</v>
      </c>
      <c r="I305" s="203">
        <v>0</v>
      </c>
      <c r="J305" s="216">
        <f t="shared" si="65"/>
        <v>-13.5</v>
      </c>
      <c r="K305" s="204">
        <f t="shared" si="66"/>
        <v>0</v>
      </c>
    </row>
    <row r="306" spans="1:11" ht="45" x14ac:dyDescent="0.2">
      <c r="A306" s="202" t="s">
        <v>1161</v>
      </c>
      <c r="B306" s="209" t="s">
        <v>531</v>
      </c>
      <c r="C306" s="209" t="s">
        <v>1151</v>
      </c>
      <c r="D306" s="209" t="s">
        <v>1160</v>
      </c>
      <c r="E306" s="209"/>
      <c r="F306" s="215">
        <v>85</v>
      </c>
      <c r="G306" s="203">
        <v>0</v>
      </c>
      <c r="H306" s="215">
        <f>H307</f>
        <v>85</v>
      </c>
      <c r="I306" s="203">
        <f>I307</f>
        <v>0</v>
      </c>
      <c r="J306" s="216">
        <f t="shared" ref="J306:J390" si="76">H306-F306</f>
        <v>0</v>
      </c>
      <c r="K306" s="204">
        <f t="shared" ref="K306:K390" si="77">I306-G306</f>
        <v>0</v>
      </c>
    </row>
    <row r="307" spans="1:11" ht="22.5" x14ac:dyDescent="0.2">
      <c r="A307" s="202" t="s">
        <v>547</v>
      </c>
      <c r="B307" s="209" t="s">
        <v>531</v>
      </c>
      <c r="C307" s="209" t="s">
        <v>1151</v>
      </c>
      <c r="D307" s="209" t="s">
        <v>1160</v>
      </c>
      <c r="E307" s="209" t="s">
        <v>519</v>
      </c>
      <c r="F307" s="215">
        <v>85</v>
      </c>
      <c r="G307" s="203">
        <v>0</v>
      </c>
      <c r="H307" s="215">
        <f>H308</f>
        <v>85</v>
      </c>
      <c r="I307" s="203">
        <f>I308</f>
        <v>0</v>
      </c>
      <c r="J307" s="216">
        <f t="shared" si="76"/>
        <v>0</v>
      </c>
      <c r="K307" s="204">
        <f t="shared" si="77"/>
        <v>0</v>
      </c>
    </row>
    <row r="308" spans="1:11" x14ac:dyDescent="0.2">
      <c r="A308" s="202" t="s">
        <v>546</v>
      </c>
      <c r="B308" s="209" t="s">
        <v>531</v>
      </c>
      <c r="C308" s="209" t="s">
        <v>1151</v>
      </c>
      <c r="D308" s="209" t="s">
        <v>1160</v>
      </c>
      <c r="E308" s="209" t="s">
        <v>544</v>
      </c>
      <c r="F308" s="215">
        <v>85</v>
      </c>
      <c r="G308" s="203">
        <v>0</v>
      </c>
      <c r="H308" s="215">
        <f>'Ведомственная 2020'!H269</f>
        <v>85</v>
      </c>
      <c r="I308" s="203">
        <v>0</v>
      </c>
      <c r="J308" s="216">
        <f t="shared" si="76"/>
        <v>0</v>
      </c>
      <c r="K308" s="204">
        <f t="shared" si="77"/>
        <v>0</v>
      </c>
    </row>
    <row r="309" spans="1:11" ht="33.75" x14ac:dyDescent="0.2">
      <c r="A309" s="202" t="s">
        <v>1159</v>
      </c>
      <c r="B309" s="209" t="s">
        <v>531</v>
      </c>
      <c r="C309" s="209" t="s">
        <v>1151</v>
      </c>
      <c r="D309" s="209" t="s">
        <v>1158</v>
      </c>
      <c r="E309" s="209"/>
      <c r="F309" s="215">
        <v>18</v>
      </c>
      <c r="G309" s="203">
        <v>0</v>
      </c>
      <c r="H309" s="215">
        <f t="shared" ref="H309:I311" si="78">H310</f>
        <v>18</v>
      </c>
      <c r="I309" s="203">
        <f t="shared" si="78"/>
        <v>0</v>
      </c>
      <c r="J309" s="216">
        <f t="shared" si="76"/>
        <v>0</v>
      </c>
      <c r="K309" s="204">
        <f t="shared" si="77"/>
        <v>0</v>
      </c>
    </row>
    <row r="310" spans="1:11" ht="22.5" x14ac:dyDescent="0.2">
      <c r="A310" s="202" t="s">
        <v>1157</v>
      </c>
      <c r="B310" s="209" t="s">
        <v>531</v>
      </c>
      <c r="C310" s="209" t="s">
        <v>1151</v>
      </c>
      <c r="D310" s="209" t="s">
        <v>1156</v>
      </c>
      <c r="E310" s="209"/>
      <c r="F310" s="215">
        <v>18</v>
      </c>
      <c r="G310" s="203">
        <v>0</v>
      </c>
      <c r="H310" s="215">
        <f t="shared" si="78"/>
        <v>18</v>
      </c>
      <c r="I310" s="203">
        <f t="shared" si="78"/>
        <v>0</v>
      </c>
      <c r="J310" s="216">
        <f t="shared" si="76"/>
        <v>0</v>
      </c>
      <c r="K310" s="204">
        <f t="shared" si="77"/>
        <v>0</v>
      </c>
    </row>
    <row r="311" spans="1:11" ht="22.5" x14ac:dyDescent="0.2">
      <c r="A311" s="202" t="s">
        <v>547</v>
      </c>
      <c r="B311" s="209" t="s">
        <v>531</v>
      </c>
      <c r="C311" s="209" t="s">
        <v>1151</v>
      </c>
      <c r="D311" s="209" t="s">
        <v>1156</v>
      </c>
      <c r="E311" s="209" t="s">
        <v>519</v>
      </c>
      <c r="F311" s="215">
        <v>18</v>
      </c>
      <c r="G311" s="203">
        <v>0</v>
      </c>
      <c r="H311" s="215">
        <f t="shared" si="78"/>
        <v>18</v>
      </c>
      <c r="I311" s="203">
        <f t="shared" si="78"/>
        <v>0</v>
      </c>
      <c r="J311" s="216">
        <f t="shared" si="76"/>
        <v>0</v>
      </c>
      <c r="K311" s="204">
        <f t="shared" si="77"/>
        <v>0</v>
      </c>
    </row>
    <row r="312" spans="1:11" x14ac:dyDescent="0.2">
      <c r="A312" s="202" t="s">
        <v>546</v>
      </c>
      <c r="B312" s="209" t="s">
        <v>531</v>
      </c>
      <c r="C312" s="209" t="s">
        <v>1151</v>
      </c>
      <c r="D312" s="209" t="s">
        <v>1156</v>
      </c>
      <c r="E312" s="209" t="s">
        <v>544</v>
      </c>
      <c r="F312" s="215">
        <v>18</v>
      </c>
      <c r="G312" s="203">
        <v>0</v>
      </c>
      <c r="H312" s="215">
        <f>'Ведомственная 2020'!H273</f>
        <v>18</v>
      </c>
      <c r="I312" s="203">
        <v>0</v>
      </c>
      <c r="J312" s="216">
        <f t="shared" si="76"/>
        <v>0</v>
      </c>
      <c r="K312" s="204">
        <f t="shared" si="77"/>
        <v>0</v>
      </c>
    </row>
    <row r="313" spans="1:11" ht="22.5" x14ac:dyDescent="0.2">
      <c r="A313" s="202" t="s">
        <v>1155</v>
      </c>
      <c r="B313" s="209" t="s">
        <v>531</v>
      </c>
      <c r="C313" s="209" t="s">
        <v>1151</v>
      </c>
      <c r="D313" s="209" t="s">
        <v>1154</v>
      </c>
      <c r="E313" s="209"/>
      <c r="F313" s="215">
        <v>36974.400000000001</v>
      </c>
      <c r="G313" s="203">
        <v>0</v>
      </c>
      <c r="H313" s="215">
        <f>H314+H317</f>
        <v>34760</v>
      </c>
      <c r="I313" s="203">
        <f>I314+I317</f>
        <v>0</v>
      </c>
      <c r="J313" s="216">
        <f t="shared" si="76"/>
        <v>-2214.4000000000015</v>
      </c>
      <c r="K313" s="204">
        <f t="shared" si="77"/>
        <v>0</v>
      </c>
    </row>
    <row r="314" spans="1:11" x14ac:dyDescent="0.2">
      <c r="A314" s="202" t="s">
        <v>1153</v>
      </c>
      <c r="B314" s="209" t="s">
        <v>531</v>
      </c>
      <c r="C314" s="209" t="s">
        <v>1151</v>
      </c>
      <c r="D314" s="209" t="s">
        <v>1152</v>
      </c>
      <c r="E314" s="209"/>
      <c r="F314" s="215">
        <v>8832.1</v>
      </c>
      <c r="G314" s="203">
        <v>0</v>
      </c>
      <c r="H314" s="215">
        <f>H315</f>
        <v>8832.1</v>
      </c>
      <c r="I314" s="203">
        <f>I315</f>
        <v>0</v>
      </c>
      <c r="J314" s="216">
        <f t="shared" si="76"/>
        <v>0</v>
      </c>
      <c r="K314" s="204">
        <f t="shared" si="77"/>
        <v>0</v>
      </c>
    </row>
    <row r="315" spans="1:11" x14ac:dyDescent="0.2">
      <c r="A315" s="202" t="s">
        <v>1347</v>
      </c>
      <c r="B315" s="209" t="s">
        <v>531</v>
      </c>
      <c r="C315" s="209" t="s">
        <v>1151</v>
      </c>
      <c r="D315" s="209" t="s">
        <v>1152</v>
      </c>
      <c r="E315" s="209" t="s">
        <v>535</v>
      </c>
      <c r="F315" s="215">
        <v>8832.1</v>
      </c>
      <c r="G315" s="203">
        <v>0</v>
      </c>
      <c r="H315" s="215">
        <f>H316</f>
        <v>8832.1</v>
      </c>
      <c r="I315" s="203">
        <f>I316</f>
        <v>0</v>
      </c>
      <c r="J315" s="216">
        <f t="shared" si="76"/>
        <v>0</v>
      </c>
      <c r="K315" s="204">
        <f t="shared" si="77"/>
        <v>0</v>
      </c>
    </row>
    <row r="316" spans="1:11" ht="22.5" x14ac:dyDescent="0.2">
      <c r="A316" s="202" t="s">
        <v>534</v>
      </c>
      <c r="B316" s="209" t="s">
        <v>531</v>
      </c>
      <c r="C316" s="209" t="s">
        <v>1151</v>
      </c>
      <c r="D316" s="209" t="s">
        <v>1152</v>
      </c>
      <c r="E316" s="209" t="s">
        <v>529</v>
      </c>
      <c r="F316" s="215">
        <v>8832.1</v>
      </c>
      <c r="G316" s="203">
        <v>0</v>
      </c>
      <c r="H316" s="215">
        <f>'Ведомственная 2020'!H277</f>
        <v>8832.1</v>
      </c>
      <c r="I316" s="203">
        <v>0</v>
      </c>
      <c r="J316" s="216">
        <f t="shared" si="76"/>
        <v>0</v>
      </c>
      <c r="K316" s="204">
        <f t="shared" si="77"/>
        <v>0</v>
      </c>
    </row>
    <row r="317" spans="1:11" ht="22.5" x14ac:dyDescent="0.2">
      <c r="A317" s="202" t="s">
        <v>1351</v>
      </c>
      <c r="B317" s="209" t="s">
        <v>531</v>
      </c>
      <c r="C317" s="209" t="s">
        <v>1151</v>
      </c>
      <c r="D317" s="209" t="s">
        <v>1150</v>
      </c>
      <c r="E317" s="209"/>
      <c r="F317" s="215">
        <v>28142.3</v>
      </c>
      <c r="G317" s="203">
        <v>0</v>
      </c>
      <c r="H317" s="215">
        <f>H318</f>
        <v>25927.9</v>
      </c>
      <c r="I317" s="203">
        <f>I318</f>
        <v>0</v>
      </c>
      <c r="J317" s="216">
        <f t="shared" si="76"/>
        <v>-2214.3999999999978</v>
      </c>
      <c r="K317" s="204">
        <f t="shared" si="77"/>
        <v>0</v>
      </c>
    </row>
    <row r="318" spans="1:11" ht="22.5" x14ac:dyDescent="0.2">
      <c r="A318" s="202" t="s">
        <v>547</v>
      </c>
      <c r="B318" s="209" t="s">
        <v>531</v>
      </c>
      <c r="C318" s="209" t="s">
        <v>1151</v>
      </c>
      <c r="D318" s="209" t="s">
        <v>1150</v>
      </c>
      <c r="E318" s="209" t="s">
        <v>519</v>
      </c>
      <c r="F318" s="215">
        <v>28142.3</v>
      </c>
      <c r="G318" s="203">
        <v>0</v>
      </c>
      <c r="H318" s="215">
        <f>H319</f>
        <v>25927.9</v>
      </c>
      <c r="I318" s="203">
        <f>I319</f>
        <v>0</v>
      </c>
      <c r="J318" s="216">
        <f t="shared" si="76"/>
        <v>-2214.3999999999978</v>
      </c>
      <c r="K318" s="204">
        <f t="shared" si="77"/>
        <v>0</v>
      </c>
    </row>
    <row r="319" spans="1:11" x14ac:dyDescent="0.2">
      <c r="A319" s="202" t="s">
        <v>546</v>
      </c>
      <c r="B319" s="209" t="s">
        <v>531</v>
      </c>
      <c r="C319" s="209" t="s">
        <v>1151</v>
      </c>
      <c r="D319" s="209" t="s">
        <v>1150</v>
      </c>
      <c r="E319" s="209" t="s">
        <v>544</v>
      </c>
      <c r="F319" s="215">
        <v>28142.3</v>
      </c>
      <c r="G319" s="203">
        <v>0</v>
      </c>
      <c r="H319" s="215">
        <f>'Ведомственная 2020'!H280</f>
        <v>25927.9</v>
      </c>
      <c r="I319" s="203">
        <v>0</v>
      </c>
      <c r="J319" s="216">
        <f t="shared" si="76"/>
        <v>-2214.3999999999978</v>
      </c>
      <c r="K319" s="204">
        <f t="shared" si="77"/>
        <v>0</v>
      </c>
    </row>
    <row r="320" spans="1:11" s="377" customFormat="1" ht="56.25" x14ac:dyDescent="0.2">
      <c r="A320" s="202" t="s">
        <v>1502</v>
      </c>
      <c r="B320" s="209" t="s">
        <v>531</v>
      </c>
      <c r="C320" s="209" t="s">
        <v>1151</v>
      </c>
      <c r="D320" s="209" t="s">
        <v>1503</v>
      </c>
      <c r="E320" s="209"/>
      <c r="F320" s="215">
        <v>120</v>
      </c>
      <c r="G320" s="203">
        <v>0</v>
      </c>
      <c r="H320" s="215">
        <f t="shared" ref="H320:I322" si="79">H321</f>
        <v>120</v>
      </c>
      <c r="I320" s="203">
        <f t="shared" si="79"/>
        <v>0</v>
      </c>
      <c r="J320" s="216">
        <f t="shared" ref="J320:J323" si="80">H320-F320</f>
        <v>0</v>
      </c>
      <c r="K320" s="204">
        <f t="shared" ref="K320:K323" si="81">I320-G320</f>
        <v>0</v>
      </c>
    </row>
    <row r="321" spans="1:11" s="377" customFormat="1" ht="45" x14ac:dyDescent="0.2">
      <c r="A321" s="202" t="s">
        <v>1504</v>
      </c>
      <c r="B321" s="209" t="s">
        <v>531</v>
      </c>
      <c r="C321" s="209" t="s">
        <v>1151</v>
      </c>
      <c r="D321" s="209" t="s">
        <v>1505</v>
      </c>
      <c r="E321" s="209"/>
      <c r="F321" s="215">
        <v>120</v>
      </c>
      <c r="G321" s="203">
        <v>0</v>
      </c>
      <c r="H321" s="215">
        <f t="shared" si="79"/>
        <v>120</v>
      </c>
      <c r="I321" s="203">
        <f t="shared" si="79"/>
        <v>0</v>
      </c>
      <c r="J321" s="216">
        <f t="shared" si="80"/>
        <v>0</v>
      </c>
      <c r="K321" s="204">
        <f t="shared" si="81"/>
        <v>0</v>
      </c>
    </row>
    <row r="322" spans="1:11" s="377" customFormat="1" x14ac:dyDescent="0.2">
      <c r="A322" s="202" t="s">
        <v>1347</v>
      </c>
      <c r="B322" s="209" t="s">
        <v>531</v>
      </c>
      <c r="C322" s="209" t="s">
        <v>1151</v>
      </c>
      <c r="D322" s="209" t="s">
        <v>1505</v>
      </c>
      <c r="E322" s="209" t="s">
        <v>535</v>
      </c>
      <c r="F322" s="215">
        <v>120</v>
      </c>
      <c r="G322" s="203">
        <v>0</v>
      </c>
      <c r="H322" s="215">
        <f t="shared" si="79"/>
        <v>120</v>
      </c>
      <c r="I322" s="203">
        <f t="shared" si="79"/>
        <v>0</v>
      </c>
      <c r="J322" s="216">
        <f t="shared" si="80"/>
        <v>0</v>
      </c>
      <c r="K322" s="204">
        <f t="shared" si="81"/>
        <v>0</v>
      </c>
    </row>
    <row r="323" spans="1:11" s="377" customFormat="1" ht="22.5" x14ac:dyDescent="0.2">
      <c r="A323" s="202" t="s">
        <v>534</v>
      </c>
      <c r="B323" s="209" t="s">
        <v>531</v>
      </c>
      <c r="C323" s="209" t="s">
        <v>1151</v>
      </c>
      <c r="D323" s="209" t="s">
        <v>1505</v>
      </c>
      <c r="E323" s="209" t="s">
        <v>529</v>
      </c>
      <c r="F323" s="215">
        <v>120</v>
      </c>
      <c r="G323" s="203">
        <v>0</v>
      </c>
      <c r="H323" s="215">
        <f>'Ведомственная 2020'!H284</f>
        <v>120</v>
      </c>
      <c r="I323" s="203">
        <v>0</v>
      </c>
      <c r="J323" s="216">
        <f t="shared" si="80"/>
        <v>0</v>
      </c>
      <c r="K323" s="204">
        <f t="shared" si="81"/>
        <v>0</v>
      </c>
    </row>
    <row r="324" spans="1:11" s="97" customFormat="1" x14ac:dyDescent="0.2">
      <c r="A324" s="199" t="s">
        <v>590</v>
      </c>
      <c r="B324" s="212" t="s">
        <v>507</v>
      </c>
      <c r="C324" s="212"/>
      <c r="D324" s="212"/>
      <c r="E324" s="212"/>
      <c r="F324" s="213">
        <v>787290.99999999988</v>
      </c>
      <c r="G324" s="200">
        <v>4487</v>
      </c>
      <c r="H324" s="213">
        <f>H325+H374+H389+H402+H495+H530</f>
        <v>758886</v>
      </c>
      <c r="I324" s="200">
        <f>I325+I374+I389+I402+I495+I530</f>
        <v>4839</v>
      </c>
      <c r="J324" s="214">
        <f t="shared" si="76"/>
        <v>-28404.999999999884</v>
      </c>
      <c r="K324" s="201">
        <f t="shared" si="77"/>
        <v>352</v>
      </c>
    </row>
    <row r="325" spans="1:11" x14ac:dyDescent="0.2">
      <c r="A325" s="202" t="s">
        <v>589</v>
      </c>
      <c r="B325" s="209" t="s">
        <v>507</v>
      </c>
      <c r="C325" s="209" t="s">
        <v>498</v>
      </c>
      <c r="D325" s="209"/>
      <c r="E325" s="209"/>
      <c r="F325" s="215">
        <v>6148.6</v>
      </c>
      <c r="G325" s="203">
        <v>0</v>
      </c>
      <c r="H325" s="215">
        <f>H326+H337+H343</f>
        <v>6148.6</v>
      </c>
      <c r="I325" s="203">
        <f>I326+I337+I343</f>
        <v>0</v>
      </c>
      <c r="J325" s="216">
        <f t="shared" si="76"/>
        <v>0</v>
      </c>
      <c r="K325" s="204">
        <f t="shared" si="77"/>
        <v>0</v>
      </c>
    </row>
    <row r="326" spans="1:11" x14ac:dyDescent="0.2">
      <c r="A326" s="202" t="s">
        <v>653</v>
      </c>
      <c r="B326" s="209" t="s">
        <v>507</v>
      </c>
      <c r="C326" s="209" t="s">
        <v>498</v>
      </c>
      <c r="D326" s="209" t="s">
        <v>652</v>
      </c>
      <c r="E326" s="209"/>
      <c r="F326" s="215">
        <v>695.59999999999991</v>
      </c>
      <c r="G326" s="203">
        <v>0</v>
      </c>
      <c r="H326" s="215">
        <f t="shared" ref="H326:I328" si="82">H327</f>
        <v>695.59999999999991</v>
      </c>
      <c r="I326" s="203">
        <f t="shared" si="82"/>
        <v>0</v>
      </c>
      <c r="J326" s="216">
        <f t="shared" si="76"/>
        <v>0</v>
      </c>
      <c r="K326" s="204">
        <f t="shared" si="77"/>
        <v>0</v>
      </c>
    </row>
    <row r="327" spans="1:11" ht="22.5" x14ac:dyDescent="0.2">
      <c r="A327" s="202" t="s">
        <v>639</v>
      </c>
      <c r="B327" s="209" t="s">
        <v>507</v>
      </c>
      <c r="C327" s="209" t="s">
        <v>498</v>
      </c>
      <c r="D327" s="209" t="s">
        <v>638</v>
      </c>
      <c r="E327" s="209"/>
      <c r="F327" s="215">
        <v>695.59999999999991</v>
      </c>
      <c r="G327" s="203">
        <v>0</v>
      </c>
      <c r="H327" s="215">
        <f t="shared" si="82"/>
        <v>695.59999999999991</v>
      </c>
      <c r="I327" s="203">
        <f t="shared" si="82"/>
        <v>0</v>
      </c>
      <c r="J327" s="216">
        <f t="shared" si="76"/>
        <v>0</v>
      </c>
      <c r="K327" s="204">
        <f t="shared" si="77"/>
        <v>0</v>
      </c>
    </row>
    <row r="328" spans="1:11" x14ac:dyDescent="0.2">
      <c r="A328" s="202" t="s">
        <v>637</v>
      </c>
      <c r="B328" s="209" t="s">
        <v>507</v>
      </c>
      <c r="C328" s="209" t="s">
        <v>498</v>
      </c>
      <c r="D328" s="209" t="s">
        <v>636</v>
      </c>
      <c r="E328" s="209"/>
      <c r="F328" s="215">
        <v>695.59999999999991</v>
      </c>
      <c r="G328" s="203">
        <v>0</v>
      </c>
      <c r="H328" s="215">
        <f>H329</f>
        <v>695.59999999999991</v>
      </c>
      <c r="I328" s="203">
        <f t="shared" si="82"/>
        <v>0</v>
      </c>
      <c r="J328" s="216">
        <f t="shared" si="76"/>
        <v>0</v>
      </c>
      <c r="K328" s="204">
        <f t="shared" si="77"/>
        <v>0</v>
      </c>
    </row>
    <row r="329" spans="1:11" x14ac:dyDescent="0.2">
      <c r="A329" s="202" t="s">
        <v>622</v>
      </c>
      <c r="B329" s="209" t="s">
        <v>507</v>
      </c>
      <c r="C329" s="209" t="s">
        <v>498</v>
      </c>
      <c r="D329" s="209" t="s">
        <v>635</v>
      </c>
      <c r="E329" s="209"/>
      <c r="F329" s="215">
        <v>695.59999999999991</v>
      </c>
      <c r="G329" s="203">
        <v>0</v>
      </c>
      <c r="H329" s="215">
        <f>H330+H332+H334</f>
        <v>695.59999999999991</v>
      </c>
      <c r="I329" s="203">
        <f>I330+I332+I334</f>
        <v>0</v>
      </c>
      <c r="J329" s="216">
        <f t="shared" si="76"/>
        <v>0</v>
      </c>
      <c r="K329" s="204">
        <f t="shared" si="77"/>
        <v>0</v>
      </c>
    </row>
    <row r="330" spans="1:11" x14ac:dyDescent="0.2">
      <c r="A330" s="202" t="s">
        <v>1347</v>
      </c>
      <c r="B330" s="209" t="s">
        <v>507</v>
      </c>
      <c r="C330" s="209" t="s">
        <v>498</v>
      </c>
      <c r="D330" s="209" t="s">
        <v>635</v>
      </c>
      <c r="E330" s="209" t="s">
        <v>535</v>
      </c>
      <c r="F330" s="215">
        <v>78.3</v>
      </c>
      <c r="G330" s="203">
        <v>0</v>
      </c>
      <c r="H330" s="215">
        <f>H331</f>
        <v>78.3</v>
      </c>
      <c r="I330" s="203">
        <f>I331</f>
        <v>0</v>
      </c>
      <c r="J330" s="216">
        <f t="shared" si="76"/>
        <v>0</v>
      </c>
      <c r="K330" s="204">
        <f t="shared" si="77"/>
        <v>0</v>
      </c>
    </row>
    <row r="331" spans="1:11" ht="22.5" x14ac:dyDescent="0.2">
      <c r="A331" s="202" t="s">
        <v>534</v>
      </c>
      <c r="B331" s="209" t="s">
        <v>507</v>
      </c>
      <c r="C331" s="209" t="s">
        <v>498</v>
      </c>
      <c r="D331" s="209" t="s">
        <v>635</v>
      </c>
      <c r="E331" s="209" t="s">
        <v>529</v>
      </c>
      <c r="F331" s="215">
        <v>78.3</v>
      </c>
      <c r="G331" s="203">
        <v>0</v>
      </c>
      <c r="H331" s="215">
        <f>'Ведомственная 2020'!H292</f>
        <v>78.3</v>
      </c>
      <c r="I331" s="203">
        <v>0</v>
      </c>
      <c r="J331" s="216">
        <f t="shared" si="76"/>
        <v>0</v>
      </c>
      <c r="K331" s="204">
        <f t="shared" si="77"/>
        <v>0</v>
      </c>
    </row>
    <row r="332" spans="1:11" x14ac:dyDescent="0.2">
      <c r="A332" s="202" t="s">
        <v>553</v>
      </c>
      <c r="B332" s="209" t="s">
        <v>507</v>
      </c>
      <c r="C332" s="209" t="s">
        <v>498</v>
      </c>
      <c r="D332" s="209" t="s">
        <v>635</v>
      </c>
      <c r="E332" s="209" t="s">
        <v>552</v>
      </c>
      <c r="F332" s="215">
        <v>517.29999999999995</v>
      </c>
      <c r="G332" s="203">
        <v>0</v>
      </c>
      <c r="H332" s="215">
        <f>H333</f>
        <v>517.29999999999995</v>
      </c>
      <c r="I332" s="203">
        <f>I333</f>
        <v>0</v>
      </c>
      <c r="J332" s="216">
        <f t="shared" si="76"/>
        <v>0</v>
      </c>
      <c r="K332" s="204">
        <f t="shared" si="77"/>
        <v>0</v>
      </c>
    </row>
    <row r="333" spans="1:11" x14ac:dyDescent="0.2">
      <c r="A333" s="202" t="s">
        <v>621</v>
      </c>
      <c r="B333" s="209" t="s">
        <v>507</v>
      </c>
      <c r="C333" s="209" t="s">
        <v>498</v>
      </c>
      <c r="D333" s="209" t="s">
        <v>635</v>
      </c>
      <c r="E333" s="209" t="s">
        <v>619</v>
      </c>
      <c r="F333" s="215">
        <v>517.29999999999995</v>
      </c>
      <c r="G333" s="203">
        <v>0</v>
      </c>
      <c r="H333" s="215">
        <f>'Ведомственная 2020'!H294</f>
        <v>517.29999999999995</v>
      </c>
      <c r="I333" s="203">
        <v>0</v>
      </c>
      <c r="J333" s="216">
        <f t="shared" si="76"/>
        <v>0</v>
      </c>
      <c r="K333" s="204">
        <f t="shared" si="77"/>
        <v>0</v>
      </c>
    </row>
    <row r="334" spans="1:11" s="285" customFormat="1" x14ac:dyDescent="0.2">
      <c r="A334" s="202" t="s">
        <v>1397</v>
      </c>
      <c r="B334" s="209" t="s">
        <v>507</v>
      </c>
      <c r="C334" s="209" t="s">
        <v>498</v>
      </c>
      <c r="D334" s="209" t="s">
        <v>1398</v>
      </c>
      <c r="E334" s="209"/>
      <c r="F334" s="215">
        <v>100</v>
      </c>
      <c r="G334" s="203">
        <v>0</v>
      </c>
      <c r="H334" s="215">
        <f t="shared" ref="H334:I335" si="83">H335</f>
        <v>100</v>
      </c>
      <c r="I334" s="203">
        <f t="shared" si="83"/>
        <v>0</v>
      </c>
      <c r="J334" s="216">
        <f t="shared" ref="J334:J336" si="84">H334-F334</f>
        <v>0</v>
      </c>
      <c r="K334" s="204">
        <f t="shared" ref="K334:K336" si="85">I334-G334</f>
        <v>0</v>
      </c>
    </row>
    <row r="335" spans="1:11" s="285" customFormat="1" ht="22.5" x14ac:dyDescent="0.2">
      <c r="A335" s="202" t="s">
        <v>547</v>
      </c>
      <c r="B335" s="209" t="s">
        <v>507</v>
      </c>
      <c r="C335" s="209" t="s">
        <v>498</v>
      </c>
      <c r="D335" s="209" t="s">
        <v>1398</v>
      </c>
      <c r="E335" s="209" t="s">
        <v>519</v>
      </c>
      <c r="F335" s="215">
        <v>100</v>
      </c>
      <c r="G335" s="203">
        <v>0</v>
      </c>
      <c r="H335" s="215">
        <f t="shared" si="83"/>
        <v>100</v>
      </c>
      <c r="I335" s="203">
        <f t="shared" si="83"/>
        <v>0</v>
      </c>
      <c r="J335" s="216">
        <f t="shared" si="84"/>
        <v>0</v>
      </c>
      <c r="K335" s="204">
        <f t="shared" si="85"/>
        <v>0</v>
      </c>
    </row>
    <row r="336" spans="1:11" s="285" customFormat="1" x14ac:dyDescent="0.2">
      <c r="A336" s="202" t="s">
        <v>546</v>
      </c>
      <c r="B336" s="209" t="s">
        <v>507</v>
      </c>
      <c r="C336" s="209" t="s">
        <v>498</v>
      </c>
      <c r="D336" s="209" t="s">
        <v>1398</v>
      </c>
      <c r="E336" s="209" t="s">
        <v>544</v>
      </c>
      <c r="F336" s="215">
        <v>100</v>
      </c>
      <c r="G336" s="203">
        <v>0</v>
      </c>
      <c r="H336" s="215">
        <f>'Ведомственная 2020'!H297</f>
        <v>100</v>
      </c>
      <c r="I336" s="203">
        <v>0</v>
      </c>
      <c r="J336" s="216">
        <f t="shared" si="84"/>
        <v>0</v>
      </c>
      <c r="K336" s="204">
        <f t="shared" si="85"/>
        <v>0</v>
      </c>
    </row>
    <row r="337" spans="1:11" x14ac:dyDescent="0.2">
      <c r="A337" s="202" t="s">
        <v>604</v>
      </c>
      <c r="B337" s="209" t="s">
        <v>507</v>
      </c>
      <c r="C337" s="209" t="s">
        <v>498</v>
      </c>
      <c r="D337" s="209" t="s">
        <v>603</v>
      </c>
      <c r="E337" s="209"/>
      <c r="F337" s="215">
        <v>57</v>
      </c>
      <c r="G337" s="203">
        <v>0</v>
      </c>
      <c r="H337" s="215">
        <f t="shared" ref="H337:I341" si="86">H338</f>
        <v>57</v>
      </c>
      <c r="I337" s="203">
        <f t="shared" si="86"/>
        <v>0</v>
      </c>
      <c r="J337" s="216">
        <f t="shared" si="76"/>
        <v>0</v>
      </c>
      <c r="K337" s="204">
        <f t="shared" si="77"/>
        <v>0</v>
      </c>
    </row>
    <row r="338" spans="1:11" x14ac:dyDescent="0.2">
      <c r="A338" s="202" t="s">
        <v>602</v>
      </c>
      <c r="B338" s="209" t="s">
        <v>507</v>
      </c>
      <c r="C338" s="209" t="s">
        <v>498</v>
      </c>
      <c r="D338" s="209" t="s">
        <v>601</v>
      </c>
      <c r="E338" s="209"/>
      <c r="F338" s="215">
        <v>57</v>
      </c>
      <c r="G338" s="203">
        <v>0</v>
      </c>
      <c r="H338" s="215">
        <f t="shared" si="86"/>
        <v>57</v>
      </c>
      <c r="I338" s="203">
        <f t="shared" si="86"/>
        <v>0</v>
      </c>
      <c r="J338" s="216">
        <f t="shared" si="76"/>
        <v>0</v>
      </c>
      <c r="K338" s="204">
        <f t="shared" si="77"/>
        <v>0</v>
      </c>
    </row>
    <row r="339" spans="1:11" ht="22.5" x14ac:dyDescent="0.2">
      <c r="A339" s="202" t="s">
        <v>600</v>
      </c>
      <c r="B339" s="209" t="s">
        <v>507</v>
      </c>
      <c r="C339" s="209" t="s">
        <v>498</v>
      </c>
      <c r="D339" s="209" t="s">
        <v>599</v>
      </c>
      <c r="E339" s="209"/>
      <c r="F339" s="215">
        <v>57</v>
      </c>
      <c r="G339" s="203">
        <v>0</v>
      </c>
      <c r="H339" s="215">
        <f t="shared" si="86"/>
        <v>57</v>
      </c>
      <c r="I339" s="203">
        <f t="shared" si="86"/>
        <v>0</v>
      </c>
      <c r="J339" s="216">
        <f t="shared" si="76"/>
        <v>0</v>
      </c>
      <c r="K339" s="204">
        <f t="shared" si="77"/>
        <v>0</v>
      </c>
    </row>
    <row r="340" spans="1:11" x14ac:dyDescent="0.2">
      <c r="A340" s="202" t="s">
        <v>598</v>
      </c>
      <c r="B340" s="209" t="s">
        <v>507</v>
      </c>
      <c r="C340" s="209" t="s">
        <v>498</v>
      </c>
      <c r="D340" s="209" t="s">
        <v>597</v>
      </c>
      <c r="E340" s="209"/>
      <c r="F340" s="215">
        <v>57</v>
      </c>
      <c r="G340" s="203">
        <v>0</v>
      </c>
      <c r="H340" s="215">
        <f t="shared" si="86"/>
        <v>57</v>
      </c>
      <c r="I340" s="203">
        <f t="shared" si="86"/>
        <v>0</v>
      </c>
      <c r="J340" s="216">
        <f t="shared" si="76"/>
        <v>0</v>
      </c>
      <c r="K340" s="204">
        <f t="shared" si="77"/>
        <v>0</v>
      </c>
    </row>
    <row r="341" spans="1:11" x14ac:dyDescent="0.2">
      <c r="A341" s="202" t="s">
        <v>1347</v>
      </c>
      <c r="B341" s="209" t="s">
        <v>507</v>
      </c>
      <c r="C341" s="209" t="s">
        <v>498</v>
      </c>
      <c r="D341" s="209" t="s">
        <v>597</v>
      </c>
      <c r="E341" s="209" t="s">
        <v>535</v>
      </c>
      <c r="F341" s="215">
        <v>57</v>
      </c>
      <c r="G341" s="203">
        <v>0</v>
      </c>
      <c r="H341" s="215">
        <f t="shared" si="86"/>
        <v>57</v>
      </c>
      <c r="I341" s="203">
        <f t="shared" si="86"/>
        <v>0</v>
      </c>
      <c r="J341" s="216">
        <f t="shared" si="76"/>
        <v>0</v>
      </c>
      <c r="K341" s="204">
        <f t="shared" si="77"/>
        <v>0</v>
      </c>
    </row>
    <row r="342" spans="1:11" ht="22.5" x14ac:dyDescent="0.2">
      <c r="A342" s="202" t="s">
        <v>534</v>
      </c>
      <c r="B342" s="209" t="s">
        <v>507</v>
      </c>
      <c r="C342" s="209" t="s">
        <v>498</v>
      </c>
      <c r="D342" s="209" t="s">
        <v>597</v>
      </c>
      <c r="E342" s="209" t="s">
        <v>529</v>
      </c>
      <c r="F342" s="215">
        <v>57</v>
      </c>
      <c r="G342" s="203">
        <v>0</v>
      </c>
      <c r="H342" s="215">
        <f>'Ведомственная 2020'!H303</f>
        <v>57</v>
      </c>
      <c r="I342" s="203">
        <v>0</v>
      </c>
      <c r="J342" s="216">
        <f t="shared" si="76"/>
        <v>0</v>
      </c>
      <c r="K342" s="204">
        <f t="shared" si="77"/>
        <v>0</v>
      </c>
    </row>
    <row r="343" spans="1:11" ht="22.5" x14ac:dyDescent="0.2">
      <c r="A343" s="202" t="s">
        <v>588</v>
      </c>
      <c r="B343" s="209" t="s">
        <v>507</v>
      </c>
      <c r="C343" s="209" t="s">
        <v>498</v>
      </c>
      <c r="D343" s="209" t="s">
        <v>587</v>
      </c>
      <c r="E343" s="209"/>
      <c r="F343" s="215">
        <v>5396</v>
      </c>
      <c r="G343" s="203">
        <v>0</v>
      </c>
      <c r="H343" s="215">
        <f>H344</f>
        <v>5396</v>
      </c>
      <c r="I343" s="203">
        <f>I344</f>
        <v>0</v>
      </c>
      <c r="J343" s="216">
        <f t="shared" si="76"/>
        <v>0</v>
      </c>
      <c r="K343" s="204">
        <f t="shared" si="77"/>
        <v>0</v>
      </c>
    </row>
    <row r="344" spans="1:11" x14ac:dyDescent="0.2">
      <c r="A344" s="202" t="s">
        <v>586</v>
      </c>
      <c r="B344" s="209" t="s">
        <v>507</v>
      </c>
      <c r="C344" s="209" t="s">
        <v>498</v>
      </c>
      <c r="D344" s="209" t="s">
        <v>585</v>
      </c>
      <c r="E344" s="209"/>
      <c r="F344" s="215">
        <v>5396</v>
      </c>
      <c r="G344" s="203">
        <v>0</v>
      </c>
      <c r="H344" s="215">
        <f>H345</f>
        <v>5396</v>
      </c>
      <c r="I344" s="203">
        <f>I345</f>
        <v>0</v>
      </c>
      <c r="J344" s="216">
        <f t="shared" si="76"/>
        <v>0</v>
      </c>
      <c r="K344" s="204">
        <f t="shared" si="77"/>
        <v>0</v>
      </c>
    </row>
    <row r="345" spans="1:11" ht="33.75" x14ac:dyDescent="0.2">
      <c r="A345" s="202" t="s">
        <v>584</v>
      </c>
      <c r="B345" s="209" t="s">
        <v>507</v>
      </c>
      <c r="C345" s="209" t="s">
        <v>498</v>
      </c>
      <c r="D345" s="209" t="s">
        <v>583</v>
      </c>
      <c r="E345" s="209"/>
      <c r="F345" s="215">
        <v>5396</v>
      </c>
      <c r="G345" s="203">
        <v>0</v>
      </c>
      <c r="H345" s="215">
        <f>H346+H350+H371+H353+H356++H359+H362+H365+H368</f>
        <v>5396</v>
      </c>
      <c r="I345" s="203">
        <f>I346+I350+I371</f>
        <v>0</v>
      </c>
      <c r="J345" s="216">
        <f t="shared" si="76"/>
        <v>0</v>
      </c>
      <c r="K345" s="204">
        <f t="shared" si="77"/>
        <v>0</v>
      </c>
    </row>
    <row r="346" spans="1:11" ht="22.5" x14ac:dyDescent="0.2">
      <c r="A346" s="202" t="s">
        <v>582</v>
      </c>
      <c r="B346" s="209" t="s">
        <v>507</v>
      </c>
      <c r="C346" s="209" t="s">
        <v>498</v>
      </c>
      <c r="D346" s="209" t="s">
        <v>581</v>
      </c>
      <c r="E346" s="209"/>
      <c r="F346" s="215">
        <v>4198.8999999999996</v>
      </c>
      <c r="G346" s="203">
        <v>0</v>
      </c>
      <c r="H346" s="215">
        <f>H347</f>
        <v>4198.8999999999996</v>
      </c>
      <c r="I346" s="203">
        <f>I347</f>
        <v>0</v>
      </c>
      <c r="J346" s="216">
        <f t="shared" si="76"/>
        <v>0</v>
      </c>
      <c r="K346" s="204">
        <f t="shared" si="77"/>
        <v>0</v>
      </c>
    </row>
    <row r="347" spans="1:11" ht="22.5" x14ac:dyDescent="0.2">
      <c r="A347" s="202" t="s">
        <v>547</v>
      </c>
      <c r="B347" s="209" t="s">
        <v>507</v>
      </c>
      <c r="C347" s="209" t="s">
        <v>498</v>
      </c>
      <c r="D347" s="209" t="s">
        <v>581</v>
      </c>
      <c r="E347" s="209" t="s">
        <v>519</v>
      </c>
      <c r="F347" s="215">
        <v>4198.8999999999996</v>
      </c>
      <c r="G347" s="203">
        <v>0</v>
      </c>
      <c r="H347" s="215">
        <f>H348+H349</f>
        <v>4198.8999999999996</v>
      </c>
      <c r="I347" s="203">
        <f>I348+I349</f>
        <v>0</v>
      </c>
      <c r="J347" s="216">
        <f t="shared" si="76"/>
        <v>0</v>
      </c>
      <c r="K347" s="204">
        <f t="shared" si="77"/>
        <v>0</v>
      </c>
    </row>
    <row r="348" spans="1:11" x14ac:dyDescent="0.2">
      <c r="A348" s="202" t="s">
        <v>571</v>
      </c>
      <c r="B348" s="209" t="s">
        <v>507</v>
      </c>
      <c r="C348" s="209" t="s">
        <v>498</v>
      </c>
      <c r="D348" s="209" t="s">
        <v>581</v>
      </c>
      <c r="E348" s="209" t="s">
        <v>522</v>
      </c>
      <c r="F348" s="215">
        <v>3369</v>
      </c>
      <c r="G348" s="203">
        <v>0</v>
      </c>
      <c r="H348" s="215">
        <f>'Ведомственная 2020'!H1139+'Ведомственная 2020'!H1424+'Ведомственная 2020'!H1385</f>
        <v>3466.7</v>
      </c>
      <c r="I348" s="203">
        <v>0</v>
      </c>
      <c r="J348" s="216">
        <f t="shared" si="76"/>
        <v>97.699999999999818</v>
      </c>
      <c r="K348" s="204">
        <f t="shared" si="77"/>
        <v>0</v>
      </c>
    </row>
    <row r="349" spans="1:11" x14ac:dyDescent="0.2">
      <c r="A349" s="202" t="s">
        <v>546</v>
      </c>
      <c r="B349" s="209" t="s">
        <v>507</v>
      </c>
      <c r="C349" s="209" t="s">
        <v>498</v>
      </c>
      <c r="D349" s="209" t="s">
        <v>581</v>
      </c>
      <c r="E349" s="209" t="s">
        <v>544</v>
      </c>
      <c r="F349" s="215">
        <v>829.9</v>
      </c>
      <c r="G349" s="203">
        <v>0</v>
      </c>
      <c r="H349" s="215">
        <f>'Ведомственная 2020'!H1140+'Ведомственная 2020'!H1386+'Ведомственная 2020'!H1425</f>
        <v>732.2</v>
      </c>
      <c r="I349" s="203">
        <v>0</v>
      </c>
      <c r="J349" s="216">
        <f t="shared" si="76"/>
        <v>-97.699999999999932</v>
      </c>
      <c r="K349" s="204">
        <f t="shared" si="77"/>
        <v>0</v>
      </c>
    </row>
    <row r="350" spans="1:11" ht="22.5" x14ac:dyDescent="0.2">
      <c r="A350" s="202" t="s">
        <v>1526</v>
      </c>
      <c r="B350" s="209" t="s">
        <v>507</v>
      </c>
      <c r="C350" s="209" t="s">
        <v>498</v>
      </c>
      <c r="D350" s="209" t="s">
        <v>1149</v>
      </c>
      <c r="E350" s="209"/>
      <c r="F350" s="215">
        <v>600.29999999999995</v>
      </c>
      <c r="G350" s="203">
        <v>0</v>
      </c>
      <c r="H350" s="215">
        <f>H351</f>
        <v>600.29999999999995</v>
      </c>
      <c r="I350" s="203">
        <f>I351</f>
        <v>0</v>
      </c>
      <c r="J350" s="216">
        <f t="shared" si="76"/>
        <v>0</v>
      </c>
      <c r="K350" s="204">
        <f t="shared" si="77"/>
        <v>0</v>
      </c>
    </row>
    <row r="351" spans="1:11" s="389" customFormat="1" ht="22.5" x14ac:dyDescent="0.2">
      <c r="A351" s="202" t="s">
        <v>547</v>
      </c>
      <c r="B351" s="209" t="s">
        <v>507</v>
      </c>
      <c r="C351" s="209" t="s">
        <v>498</v>
      </c>
      <c r="D351" s="209" t="s">
        <v>1149</v>
      </c>
      <c r="E351" s="209">
        <v>600</v>
      </c>
      <c r="F351" s="215">
        <v>600.29999999999995</v>
      </c>
      <c r="G351" s="203">
        <v>0</v>
      </c>
      <c r="H351" s="215">
        <f>H352</f>
        <v>600.29999999999995</v>
      </c>
      <c r="I351" s="203">
        <f>I352</f>
        <v>0</v>
      </c>
      <c r="J351" s="216">
        <f>H351-F351</f>
        <v>0</v>
      </c>
      <c r="K351" s="204">
        <f>I351-G351</f>
        <v>0</v>
      </c>
    </row>
    <row r="352" spans="1:11" s="389" customFormat="1" x14ac:dyDescent="0.2">
      <c r="A352" s="202" t="s">
        <v>571</v>
      </c>
      <c r="B352" s="209" t="s">
        <v>507</v>
      </c>
      <c r="C352" s="209" t="s">
        <v>498</v>
      </c>
      <c r="D352" s="209" t="s">
        <v>1149</v>
      </c>
      <c r="E352" s="209">
        <v>610</v>
      </c>
      <c r="F352" s="215">
        <v>600.29999999999995</v>
      </c>
      <c r="G352" s="203">
        <v>0</v>
      </c>
      <c r="H352" s="215">
        <f>'Ведомственная 2020'!H309</f>
        <v>600.29999999999995</v>
      </c>
      <c r="I352" s="203">
        <v>0</v>
      </c>
      <c r="J352" s="216">
        <f>H352-F352</f>
        <v>0</v>
      </c>
      <c r="K352" s="204">
        <f>I352-G352</f>
        <v>0</v>
      </c>
    </row>
    <row r="353" spans="1:11" s="384" customFormat="1" ht="22.5" x14ac:dyDescent="0.2">
      <c r="A353" s="202" t="s">
        <v>1508</v>
      </c>
      <c r="B353" s="209" t="s">
        <v>507</v>
      </c>
      <c r="C353" s="209" t="s">
        <v>498</v>
      </c>
      <c r="D353" s="209" t="s">
        <v>1509</v>
      </c>
      <c r="E353" s="209"/>
      <c r="F353" s="215">
        <v>137</v>
      </c>
      <c r="G353" s="203">
        <v>0</v>
      </c>
      <c r="H353" s="215">
        <f t="shared" ref="H353:I354" si="87">H354</f>
        <v>137</v>
      </c>
      <c r="I353" s="203">
        <f t="shared" si="87"/>
        <v>0</v>
      </c>
      <c r="J353" s="216">
        <f t="shared" ref="J353:J370" si="88">H353-F353</f>
        <v>0</v>
      </c>
      <c r="K353" s="204">
        <f t="shared" ref="K353:K370" si="89">I353-G353</f>
        <v>0</v>
      </c>
    </row>
    <row r="354" spans="1:11" s="384" customFormat="1" ht="33.75" x14ac:dyDescent="0.2">
      <c r="A354" s="202" t="s">
        <v>1348</v>
      </c>
      <c r="B354" s="209" t="s">
        <v>507</v>
      </c>
      <c r="C354" s="209" t="s">
        <v>498</v>
      </c>
      <c r="D354" s="209" t="s">
        <v>1509</v>
      </c>
      <c r="E354" s="209" t="s">
        <v>556</v>
      </c>
      <c r="F354" s="215">
        <v>137</v>
      </c>
      <c r="G354" s="203">
        <v>0</v>
      </c>
      <c r="H354" s="215">
        <f t="shared" si="87"/>
        <v>137</v>
      </c>
      <c r="I354" s="203">
        <f t="shared" si="87"/>
        <v>0</v>
      </c>
      <c r="J354" s="216">
        <f t="shared" si="88"/>
        <v>0</v>
      </c>
      <c r="K354" s="204">
        <f t="shared" si="89"/>
        <v>0</v>
      </c>
    </row>
    <row r="355" spans="1:11" s="384" customFormat="1" x14ac:dyDescent="0.2">
      <c r="A355" s="202" t="s">
        <v>555</v>
      </c>
      <c r="B355" s="209" t="s">
        <v>507</v>
      </c>
      <c r="C355" s="209" t="s">
        <v>498</v>
      </c>
      <c r="D355" s="209" t="s">
        <v>1509</v>
      </c>
      <c r="E355" s="209" t="s">
        <v>554</v>
      </c>
      <c r="F355" s="215">
        <v>137</v>
      </c>
      <c r="G355" s="203">
        <v>0</v>
      </c>
      <c r="H355" s="215">
        <f>'Ведомственная 2020'!H312</f>
        <v>137</v>
      </c>
      <c r="I355" s="203">
        <v>0</v>
      </c>
      <c r="J355" s="216">
        <f t="shared" si="88"/>
        <v>0</v>
      </c>
      <c r="K355" s="204">
        <f t="shared" si="89"/>
        <v>0</v>
      </c>
    </row>
    <row r="356" spans="1:11" s="384" customFormat="1" ht="22.5" x14ac:dyDescent="0.2">
      <c r="A356" s="202" t="s">
        <v>1510</v>
      </c>
      <c r="B356" s="209" t="s">
        <v>507</v>
      </c>
      <c r="C356" s="209" t="s">
        <v>498</v>
      </c>
      <c r="D356" s="209" t="s">
        <v>1511</v>
      </c>
      <c r="E356" s="209"/>
      <c r="F356" s="215">
        <v>49.2</v>
      </c>
      <c r="G356" s="203">
        <v>0</v>
      </c>
      <c r="H356" s="215">
        <f t="shared" ref="H356:I357" si="90">H357</f>
        <v>49.2</v>
      </c>
      <c r="I356" s="203">
        <f t="shared" si="90"/>
        <v>0</v>
      </c>
      <c r="J356" s="216">
        <f t="shared" si="88"/>
        <v>0</v>
      </c>
      <c r="K356" s="204">
        <f t="shared" si="89"/>
        <v>0</v>
      </c>
    </row>
    <row r="357" spans="1:11" s="384" customFormat="1" ht="33.75" x14ac:dyDescent="0.2">
      <c r="A357" s="202" t="s">
        <v>1348</v>
      </c>
      <c r="B357" s="209" t="s">
        <v>507</v>
      </c>
      <c r="C357" s="209" t="s">
        <v>498</v>
      </c>
      <c r="D357" s="209" t="s">
        <v>1511</v>
      </c>
      <c r="E357" s="209" t="s">
        <v>556</v>
      </c>
      <c r="F357" s="215">
        <v>49.2</v>
      </c>
      <c r="G357" s="203">
        <v>0</v>
      </c>
      <c r="H357" s="215">
        <f t="shared" si="90"/>
        <v>49.2</v>
      </c>
      <c r="I357" s="203">
        <f t="shared" si="90"/>
        <v>0</v>
      </c>
      <c r="J357" s="216">
        <f t="shared" si="88"/>
        <v>0</v>
      </c>
      <c r="K357" s="204">
        <f t="shared" si="89"/>
        <v>0</v>
      </c>
    </row>
    <row r="358" spans="1:11" s="384" customFormat="1" x14ac:dyDescent="0.2">
      <c r="A358" s="202" t="s">
        <v>555</v>
      </c>
      <c r="B358" s="209" t="s">
        <v>507</v>
      </c>
      <c r="C358" s="209" t="s">
        <v>498</v>
      </c>
      <c r="D358" s="209" t="s">
        <v>1511</v>
      </c>
      <c r="E358" s="209" t="s">
        <v>554</v>
      </c>
      <c r="F358" s="215">
        <v>49.2</v>
      </c>
      <c r="G358" s="203">
        <v>0</v>
      </c>
      <c r="H358" s="215">
        <f>'Ведомственная 2020'!H315</f>
        <v>49.2</v>
      </c>
      <c r="I358" s="203">
        <v>0</v>
      </c>
      <c r="J358" s="216">
        <f t="shared" si="88"/>
        <v>0</v>
      </c>
      <c r="K358" s="204">
        <f t="shared" si="89"/>
        <v>0</v>
      </c>
    </row>
    <row r="359" spans="1:11" s="384" customFormat="1" ht="22.5" x14ac:dyDescent="0.2">
      <c r="A359" s="202" t="s">
        <v>1512</v>
      </c>
      <c r="B359" s="209" t="s">
        <v>507</v>
      </c>
      <c r="C359" s="209" t="s">
        <v>498</v>
      </c>
      <c r="D359" s="209" t="s">
        <v>1513</v>
      </c>
      <c r="E359" s="209"/>
      <c r="F359" s="215">
        <v>176</v>
      </c>
      <c r="G359" s="203">
        <v>0</v>
      </c>
      <c r="H359" s="215">
        <f t="shared" ref="H359:I360" si="91">H360</f>
        <v>176</v>
      </c>
      <c r="I359" s="203">
        <f t="shared" si="91"/>
        <v>0</v>
      </c>
      <c r="J359" s="216">
        <f t="shared" si="88"/>
        <v>0</v>
      </c>
      <c r="K359" s="204">
        <f t="shared" si="89"/>
        <v>0</v>
      </c>
    </row>
    <row r="360" spans="1:11" s="384" customFormat="1" ht="33.75" x14ac:dyDescent="0.2">
      <c r="A360" s="202" t="s">
        <v>1348</v>
      </c>
      <c r="B360" s="209" t="s">
        <v>507</v>
      </c>
      <c r="C360" s="209" t="s">
        <v>498</v>
      </c>
      <c r="D360" s="209" t="s">
        <v>1513</v>
      </c>
      <c r="E360" s="209" t="s">
        <v>556</v>
      </c>
      <c r="F360" s="215">
        <v>176</v>
      </c>
      <c r="G360" s="203">
        <v>0</v>
      </c>
      <c r="H360" s="215">
        <f t="shared" si="91"/>
        <v>176</v>
      </c>
      <c r="I360" s="203">
        <f t="shared" si="91"/>
        <v>0</v>
      </c>
      <c r="J360" s="216">
        <f t="shared" si="88"/>
        <v>0</v>
      </c>
      <c r="K360" s="204">
        <f t="shared" si="89"/>
        <v>0</v>
      </c>
    </row>
    <row r="361" spans="1:11" s="384" customFormat="1" x14ac:dyDescent="0.2">
      <c r="A361" s="202" t="s">
        <v>555</v>
      </c>
      <c r="B361" s="209" t="s">
        <v>507</v>
      </c>
      <c r="C361" s="209" t="s">
        <v>498</v>
      </c>
      <c r="D361" s="209" t="s">
        <v>1513</v>
      </c>
      <c r="E361" s="209" t="s">
        <v>554</v>
      </c>
      <c r="F361" s="215">
        <v>176</v>
      </c>
      <c r="G361" s="203">
        <v>0</v>
      </c>
      <c r="H361" s="215">
        <f>'Ведомственная 2020'!H318</f>
        <v>176</v>
      </c>
      <c r="I361" s="203">
        <v>0</v>
      </c>
      <c r="J361" s="216">
        <f t="shared" si="88"/>
        <v>0</v>
      </c>
      <c r="K361" s="204">
        <f t="shared" si="89"/>
        <v>0</v>
      </c>
    </row>
    <row r="362" spans="1:11" s="384" customFormat="1" ht="22.5" x14ac:dyDescent="0.2">
      <c r="A362" s="202" t="s">
        <v>1514</v>
      </c>
      <c r="B362" s="209" t="s">
        <v>507</v>
      </c>
      <c r="C362" s="209" t="s">
        <v>498</v>
      </c>
      <c r="D362" s="209" t="s">
        <v>1515</v>
      </c>
      <c r="E362" s="209"/>
      <c r="F362" s="215">
        <v>39.299999999999997</v>
      </c>
      <c r="G362" s="203">
        <v>0</v>
      </c>
      <c r="H362" s="215">
        <f t="shared" ref="H362:I363" si="92">H363</f>
        <v>39.299999999999997</v>
      </c>
      <c r="I362" s="203">
        <f t="shared" si="92"/>
        <v>0</v>
      </c>
      <c r="J362" s="216">
        <f t="shared" si="88"/>
        <v>0</v>
      </c>
      <c r="K362" s="204">
        <f t="shared" si="89"/>
        <v>0</v>
      </c>
    </row>
    <row r="363" spans="1:11" s="384" customFormat="1" ht="33.75" x14ac:dyDescent="0.2">
      <c r="A363" s="202" t="s">
        <v>1348</v>
      </c>
      <c r="B363" s="209" t="s">
        <v>507</v>
      </c>
      <c r="C363" s="209" t="s">
        <v>498</v>
      </c>
      <c r="D363" s="209" t="s">
        <v>1515</v>
      </c>
      <c r="E363" s="209" t="s">
        <v>556</v>
      </c>
      <c r="F363" s="215">
        <v>39.299999999999997</v>
      </c>
      <c r="G363" s="203">
        <v>0</v>
      </c>
      <c r="H363" s="215">
        <f t="shared" si="92"/>
        <v>39.299999999999997</v>
      </c>
      <c r="I363" s="203">
        <f t="shared" si="92"/>
        <v>0</v>
      </c>
      <c r="J363" s="216">
        <f t="shared" si="88"/>
        <v>0</v>
      </c>
      <c r="K363" s="204">
        <f t="shared" si="89"/>
        <v>0</v>
      </c>
    </row>
    <row r="364" spans="1:11" s="384" customFormat="1" x14ac:dyDescent="0.2">
      <c r="A364" s="202" t="s">
        <v>555</v>
      </c>
      <c r="B364" s="209" t="s">
        <v>507</v>
      </c>
      <c r="C364" s="209" t="s">
        <v>498</v>
      </c>
      <c r="D364" s="209" t="s">
        <v>1515</v>
      </c>
      <c r="E364" s="209" t="s">
        <v>554</v>
      </c>
      <c r="F364" s="215">
        <v>39.299999999999997</v>
      </c>
      <c r="G364" s="203">
        <v>0</v>
      </c>
      <c r="H364" s="215">
        <f>'Ведомственная 2020'!H321</f>
        <v>39.299999999999997</v>
      </c>
      <c r="I364" s="203">
        <v>0</v>
      </c>
      <c r="J364" s="216">
        <f t="shared" si="88"/>
        <v>0</v>
      </c>
      <c r="K364" s="204">
        <f t="shared" si="89"/>
        <v>0</v>
      </c>
    </row>
    <row r="365" spans="1:11" s="384" customFormat="1" ht="22.5" x14ac:dyDescent="0.2">
      <c r="A365" s="202" t="s">
        <v>1516</v>
      </c>
      <c r="B365" s="209" t="s">
        <v>507</v>
      </c>
      <c r="C365" s="209" t="s">
        <v>498</v>
      </c>
      <c r="D365" s="209" t="s">
        <v>1517</v>
      </c>
      <c r="E365" s="209"/>
      <c r="F365" s="215">
        <v>29.3</v>
      </c>
      <c r="G365" s="203">
        <v>0</v>
      </c>
      <c r="H365" s="215">
        <f t="shared" ref="H365:I366" si="93">H366</f>
        <v>29.3</v>
      </c>
      <c r="I365" s="203">
        <f t="shared" si="93"/>
        <v>0</v>
      </c>
      <c r="J365" s="216">
        <f t="shared" si="88"/>
        <v>0</v>
      </c>
      <c r="K365" s="204">
        <f t="shared" si="89"/>
        <v>0</v>
      </c>
    </row>
    <row r="366" spans="1:11" s="384" customFormat="1" ht="33.75" x14ac:dyDescent="0.2">
      <c r="A366" s="202" t="s">
        <v>1348</v>
      </c>
      <c r="B366" s="209" t="s">
        <v>507</v>
      </c>
      <c r="C366" s="209" t="s">
        <v>498</v>
      </c>
      <c r="D366" s="209" t="s">
        <v>1517</v>
      </c>
      <c r="E366" s="209" t="s">
        <v>556</v>
      </c>
      <c r="F366" s="215">
        <v>29.3</v>
      </c>
      <c r="G366" s="203">
        <v>0</v>
      </c>
      <c r="H366" s="215">
        <f t="shared" si="93"/>
        <v>29.3</v>
      </c>
      <c r="I366" s="203">
        <f t="shared" si="93"/>
        <v>0</v>
      </c>
      <c r="J366" s="216">
        <f t="shared" si="88"/>
        <v>0</v>
      </c>
      <c r="K366" s="204">
        <f t="shared" si="89"/>
        <v>0</v>
      </c>
    </row>
    <row r="367" spans="1:11" s="384" customFormat="1" x14ac:dyDescent="0.2">
      <c r="A367" s="202" t="s">
        <v>555</v>
      </c>
      <c r="B367" s="209" t="s">
        <v>507</v>
      </c>
      <c r="C367" s="209" t="s">
        <v>498</v>
      </c>
      <c r="D367" s="209" t="s">
        <v>1517</v>
      </c>
      <c r="E367" s="209" t="s">
        <v>554</v>
      </c>
      <c r="F367" s="215">
        <v>29.3</v>
      </c>
      <c r="G367" s="203">
        <v>0</v>
      </c>
      <c r="H367" s="215">
        <f>'Ведомственная 2020'!H324</f>
        <v>29.3</v>
      </c>
      <c r="I367" s="203">
        <v>0</v>
      </c>
      <c r="J367" s="216">
        <f t="shared" si="88"/>
        <v>0</v>
      </c>
      <c r="K367" s="204">
        <f t="shared" si="89"/>
        <v>0</v>
      </c>
    </row>
    <row r="368" spans="1:11" s="384" customFormat="1" ht="22.5" x14ac:dyDescent="0.2">
      <c r="A368" s="202" t="s">
        <v>1518</v>
      </c>
      <c r="B368" s="209" t="s">
        <v>507</v>
      </c>
      <c r="C368" s="209" t="s">
        <v>498</v>
      </c>
      <c r="D368" s="209" t="s">
        <v>1519</v>
      </c>
      <c r="E368" s="209"/>
      <c r="F368" s="215">
        <v>19.5</v>
      </c>
      <c r="G368" s="203">
        <v>0</v>
      </c>
      <c r="H368" s="215">
        <f t="shared" ref="H368:I369" si="94">H369</f>
        <v>19.5</v>
      </c>
      <c r="I368" s="203">
        <f t="shared" si="94"/>
        <v>0</v>
      </c>
      <c r="J368" s="216">
        <f t="shared" si="88"/>
        <v>0</v>
      </c>
      <c r="K368" s="204">
        <f t="shared" si="89"/>
        <v>0</v>
      </c>
    </row>
    <row r="369" spans="1:11" s="384" customFormat="1" ht="22.5" x14ac:dyDescent="0.2">
      <c r="A369" s="202" t="s">
        <v>547</v>
      </c>
      <c r="B369" s="209" t="s">
        <v>507</v>
      </c>
      <c r="C369" s="209" t="s">
        <v>498</v>
      </c>
      <c r="D369" s="209" t="s">
        <v>1519</v>
      </c>
      <c r="E369" s="209" t="s">
        <v>519</v>
      </c>
      <c r="F369" s="215">
        <v>19.5</v>
      </c>
      <c r="G369" s="203">
        <v>0</v>
      </c>
      <c r="H369" s="215">
        <f t="shared" si="94"/>
        <v>19.5</v>
      </c>
      <c r="I369" s="203">
        <f t="shared" si="94"/>
        <v>0</v>
      </c>
      <c r="J369" s="216">
        <f t="shared" si="88"/>
        <v>0</v>
      </c>
      <c r="K369" s="204">
        <f t="shared" si="89"/>
        <v>0</v>
      </c>
    </row>
    <row r="370" spans="1:11" s="384" customFormat="1" x14ac:dyDescent="0.2">
      <c r="A370" s="202" t="s">
        <v>571</v>
      </c>
      <c r="B370" s="209" t="s">
        <v>507</v>
      </c>
      <c r="C370" s="209" t="s">
        <v>498</v>
      </c>
      <c r="D370" s="209" t="s">
        <v>1519</v>
      </c>
      <c r="E370" s="209" t="s">
        <v>522</v>
      </c>
      <c r="F370" s="215">
        <v>19.5</v>
      </c>
      <c r="G370" s="203">
        <v>0</v>
      </c>
      <c r="H370" s="215">
        <f>'Ведомственная 2020'!H327</f>
        <v>19.5</v>
      </c>
      <c r="I370" s="203">
        <v>0</v>
      </c>
      <c r="J370" s="216">
        <f t="shared" si="88"/>
        <v>0</v>
      </c>
      <c r="K370" s="204">
        <f t="shared" si="89"/>
        <v>0</v>
      </c>
    </row>
    <row r="371" spans="1:11" ht="22.5" x14ac:dyDescent="0.2">
      <c r="A371" s="202" t="s">
        <v>1148</v>
      </c>
      <c r="B371" s="209" t="s">
        <v>507</v>
      </c>
      <c r="C371" s="209" t="s">
        <v>498</v>
      </c>
      <c r="D371" s="209" t="s">
        <v>1147</v>
      </c>
      <c r="E371" s="209"/>
      <c r="F371" s="215">
        <v>146.5</v>
      </c>
      <c r="G371" s="203">
        <v>0</v>
      </c>
      <c r="H371" s="215">
        <f>H372</f>
        <v>146.5</v>
      </c>
      <c r="I371" s="203">
        <f>I372</f>
        <v>0</v>
      </c>
      <c r="J371" s="216">
        <f t="shared" si="76"/>
        <v>0</v>
      </c>
      <c r="K371" s="204">
        <f t="shared" si="77"/>
        <v>0</v>
      </c>
    </row>
    <row r="372" spans="1:11" ht="22.5" x14ac:dyDescent="0.2">
      <c r="A372" s="202" t="s">
        <v>547</v>
      </c>
      <c r="B372" s="209" t="s">
        <v>507</v>
      </c>
      <c r="C372" s="209" t="s">
        <v>498</v>
      </c>
      <c r="D372" s="209" t="s">
        <v>1147</v>
      </c>
      <c r="E372" s="209" t="s">
        <v>519</v>
      </c>
      <c r="F372" s="215">
        <v>146.5</v>
      </c>
      <c r="G372" s="203">
        <v>0</v>
      </c>
      <c r="H372" s="215">
        <f>H373</f>
        <v>146.5</v>
      </c>
      <c r="I372" s="203">
        <f>I373</f>
        <v>0</v>
      </c>
      <c r="J372" s="216">
        <f t="shared" si="76"/>
        <v>0</v>
      </c>
      <c r="K372" s="204">
        <f t="shared" si="77"/>
        <v>0</v>
      </c>
    </row>
    <row r="373" spans="1:11" x14ac:dyDescent="0.2">
      <c r="A373" s="202" t="s">
        <v>571</v>
      </c>
      <c r="B373" s="209" t="s">
        <v>507</v>
      </c>
      <c r="C373" s="209" t="s">
        <v>498</v>
      </c>
      <c r="D373" s="209" t="s">
        <v>1147</v>
      </c>
      <c r="E373" s="209" t="s">
        <v>522</v>
      </c>
      <c r="F373" s="215">
        <v>146.5</v>
      </c>
      <c r="G373" s="203">
        <v>0</v>
      </c>
      <c r="H373" s="215">
        <f>'Ведомственная 2020'!H330</f>
        <v>146.5</v>
      </c>
      <c r="I373" s="203">
        <v>0</v>
      </c>
      <c r="J373" s="216">
        <f t="shared" si="76"/>
        <v>0</v>
      </c>
      <c r="K373" s="204">
        <f t="shared" si="77"/>
        <v>0</v>
      </c>
    </row>
    <row r="374" spans="1:11" x14ac:dyDescent="0.2">
      <c r="A374" s="202" t="s">
        <v>1146</v>
      </c>
      <c r="B374" s="209" t="s">
        <v>507</v>
      </c>
      <c r="C374" s="209" t="s">
        <v>512</v>
      </c>
      <c r="D374" s="209"/>
      <c r="E374" s="209"/>
      <c r="F374" s="215">
        <v>6344</v>
      </c>
      <c r="G374" s="203">
        <v>2088</v>
      </c>
      <c r="H374" s="215">
        <f>H375</f>
        <v>6696</v>
      </c>
      <c r="I374" s="203">
        <f>I375</f>
        <v>2440</v>
      </c>
      <c r="J374" s="216">
        <f t="shared" si="76"/>
        <v>352</v>
      </c>
      <c r="K374" s="204">
        <f t="shared" si="77"/>
        <v>352</v>
      </c>
    </row>
    <row r="375" spans="1:11" x14ac:dyDescent="0.2">
      <c r="A375" s="202" t="s">
        <v>1145</v>
      </c>
      <c r="B375" s="209" t="s">
        <v>507</v>
      </c>
      <c r="C375" s="209" t="s">
        <v>512</v>
      </c>
      <c r="D375" s="209" t="s">
        <v>1144</v>
      </c>
      <c r="E375" s="209"/>
      <c r="F375" s="215">
        <v>6344</v>
      </c>
      <c r="G375" s="203">
        <v>2088</v>
      </c>
      <c r="H375" s="215">
        <f>H376+H381</f>
        <v>6696</v>
      </c>
      <c r="I375" s="203">
        <f>I376+I381</f>
        <v>2440</v>
      </c>
      <c r="J375" s="216">
        <f t="shared" si="76"/>
        <v>352</v>
      </c>
      <c r="K375" s="204">
        <f t="shared" si="77"/>
        <v>352</v>
      </c>
    </row>
    <row r="376" spans="1:11" x14ac:dyDescent="0.2">
      <c r="A376" s="202" t="s">
        <v>1143</v>
      </c>
      <c r="B376" s="209" t="s">
        <v>507</v>
      </c>
      <c r="C376" s="209" t="s">
        <v>512</v>
      </c>
      <c r="D376" s="209" t="s">
        <v>1142</v>
      </c>
      <c r="E376" s="209"/>
      <c r="F376" s="215">
        <v>3956</v>
      </c>
      <c r="G376" s="203">
        <v>0</v>
      </c>
      <c r="H376" s="215">
        <f t="shared" ref="H376:I379" si="95">H377</f>
        <v>3956</v>
      </c>
      <c r="I376" s="203">
        <f t="shared" si="95"/>
        <v>0</v>
      </c>
      <c r="J376" s="216">
        <f t="shared" si="76"/>
        <v>0</v>
      </c>
      <c r="K376" s="204">
        <f t="shared" si="77"/>
        <v>0</v>
      </c>
    </row>
    <row r="377" spans="1:11" ht="33.75" x14ac:dyDescent="0.2">
      <c r="A377" s="202" t="s">
        <v>1141</v>
      </c>
      <c r="B377" s="209" t="s">
        <v>507</v>
      </c>
      <c r="C377" s="209" t="s">
        <v>512</v>
      </c>
      <c r="D377" s="209" t="s">
        <v>1140</v>
      </c>
      <c r="E377" s="209"/>
      <c r="F377" s="215">
        <v>3956</v>
      </c>
      <c r="G377" s="203">
        <v>0</v>
      </c>
      <c r="H377" s="215">
        <f t="shared" si="95"/>
        <v>3956</v>
      </c>
      <c r="I377" s="203">
        <f t="shared" si="95"/>
        <v>0</v>
      </c>
      <c r="J377" s="216">
        <f t="shared" si="76"/>
        <v>0</v>
      </c>
      <c r="K377" s="204">
        <f t="shared" si="77"/>
        <v>0</v>
      </c>
    </row>
    <row r="378" spans="1:11" x14ac:dyDescent="0.2">
      <c r="A378" s="202" t="s">
        <v>1139</v>
      </c>
      <c r="B378" s="209" t="s">
        <v>507</v>
      </c>
      <c r="C378" s="209" t="s">
        <v>512</v>
      </c>
      <c r="D378" s="209" t="s">
        <v>1138</v>
      </c>
      <c r="E378" s="209"/>
      <c r="F378" s="215">
        <v>3956</v>
      </c>
      <c r="G378" s="203">
        <v>0</v>
      </c>
      <c r="H378" s="215">
        <f t="shared" si="95"/>
        <v>3956</v>
      </c>
      <c r="I378" s="203">
        <f t="shared" si="95"/>
        <v>0</v>
      </c>
      <c r="J378" s="216">
        <f t="shared" si="76"/>
        <v>0</v>
      </c>
      <c r="K378" s="204">
        <f t="shared" si="77"/>
        <v>0</v>
      </c>
    </row>
    <row r="379" spans="1:11" x14ac:dyDescent="0.2">
      <c r="A379" s="202" t="s">
        <v>1347</v>
      </c>
      <c r="B379" s="209" t="s">
        <v>507</v>
      </c>
      <c r="C379" s="209" t="s">
        <v>512</v>
      </c>
      <c r="D379" s="209" t="s">
        <v>1138</v>
      </c>
      <c r="E379" s="209" t="s">
        <v>535</v>
      </c>
      <c r="F379" s="215">
        <v>3956</v>
      </c>
      <c r="G379" s="203">
        <v>0</v>
      </c>
      <c r="H379" s="215">
        <f t="shared" si="95"/>
        <v>3956</v>
      </c>
      <c r="I379" s="203">
        <f t="shared" si="95"/>
        <v>0</v>
      </c>
      <c r="J379" s="216">
        <f t="shared" si="76"/>
        <v>0</v>
      </c>
      <c r="K379" s="204">
        <f t="shared" si="77"/>
        <v>0</v>
      </c>
    </row>
    <row r="380" spans="1:11" ht="22.5" x14ac:dyDescent="0.2">
      <c r="A380" s="202" t="s">
        <v>534</v>
      </c>
      <c r="B380" s="209" t="s">
        <v>507</v>
      </c>
      <c r="C380" s="209" t="s">
        <v>512</v>
      </c>
      <c r="D380" s="209" t="s">
        <v>1138</v>
      </c>
      <c r="E380" s="209" t="s">
        <v>529</v>
      </c>
      <c r="F380" s="215">
        <v>3956</v>
      </c>
      <c r="G380" s="203">
        <v>0</v>
      </c>
      <c r="H380" s="215">
        <f>'Ведомственная 2020'!H337</f>
        <v>3956</v>
      </c>
      <c r="I380" s="203">
        <v>0</v>
      </c>
      <c r="J380" s="216">
        <f t="shared" si="76"/>
        <v>0</v>
      </c>
      <c r="K380" s="204">
        <f t="shared" si="77"/>
        <v>0</v>
      </c>
    </row>
    <row r="381" spans="1:11" x14ac:dyDescent="0.2">
      <c r="A381" s="202" t="s">
        <v>1137</v>
      </c>
      <c r="B381" s="209" t="s">
        <v>507</v>
      </c>
      <c r="C381" s="209" t="s">
        <v>512</v>
      </c>
      <c r="D381" s="209" t="s">
        <v>1136</v>
      </c>
      <c r="E381" s="209"/>
      <c r="F381" s="215">
        <v>2388</v>
      </c>
      <c r="G381" s="203">
        <v>2088</v>
      </c>
      <c r="H381" s="215">
        <f>H382</f>
        <v>2740</v>
      </c>
      <c r="I381" s="203">
        <f>I382</f>
        <v>2440</v>
      </c>
      <c r="J381" s="216">
        <f t="shared" si="76"/>
        <v>352</v>
      </c>
      <c r="K381" s="204">
        <f t="shared" si="77"/>
        <v>352</v>
      </c>
    </row>
    <row r="382" spans="1:11" ht="33.75" x14ac:dyDescent="0.2">
      <c r="A382" s="202" t="s">
        <v>1135</v>
      </c>
      <c r="B382" s="209" t="s">
        <v>507</v>
      </c>
      <c r="C382" s="209" t="s">
        <v>512</v>
      </c>
      <c r="D382" s="209" t="s">
        <v>1134</v>
      </c>
      <c r="E382" s="209"/>
      <c r="F382" s="215">
        <v>2388</v>
      </c>
      <c r="G382" s="203">
        <v>2088</v>
      </c>
      <c r="H382" s="215">
        <f>H383+H386</f>
        <v>2740</v>
      </c>
      <c r="I382" s="203">
        <f>I383+I386</f>
        <v>2440</v>
      </c>
      <c r="J382" s="216">
        <f t="shared" si="76"/>
        <v>352</v>
      </c>
      <c r="K382" s="204">
        <f t="shared" si="77"/>
        <v>352</v>
      </c>
    </row>
    <row r="383" spans="1:11" ht="22.5" x14ac:dyDescent="0.2">
      <c r="A383" s="202" t="s">
        <v>1606</v>
      </c>
      <c r="B383" s="209" t="s">
        <v>507</v>
      </c>
      <c r="C383" s="209" t="s">
        <v>512</v>
      </c>
      <c r="D383" s="209" t="s">
        <v>1133</v>
      </c>
      <c r="E383" s="209"/>
      <c r="F383" s="215">
        <v>2088</v>
      </c>
      <c r="G383" s="203">
        <v>2088</v>
      </c>
      <c r="H383" s="215">
        <f>H384</f>
        <v>2440</v>
      </c>
      <c r="I383" s="203">
        <f>I384</f>
        <v>2440</v>
      </c>
      <c r="J383" s="216">
        <f t="shared" si="76"/>
        <v>352</v>
      </c>
      <c r="K383" s="204">
        <f t="shared" si="77"/>
        <v>352</v>
      </c>
    </row>
    <row r="384" spans="1:11" x14ac:dyDescent="0.2">
      <c r="A384" s="202" t="s">
        <v>1347</v>
      </c>
      <c r="B384" s="209" t="s">
        <v>507</v>
      </c>
      <c r="C384" s="209" t="s">
        <v>512</v>
      </c>
      <c r="D384" s="209" t="s">
        <v>1133</v>
      </c>
      <c r="E384" s="209" t="s">
        <v>535</v>
      </c>
      <c r="F384" s="215">
        <v>2088</v>
      </c>
      <c r="G384" s="203">
        <v>2088</v>
      </c>
      <c r="H384" s="215">
        <f>H385</f>
        <v>2440</v>
      </c>
      <c r="I384" s="203">
        <f>I385</f>
        <v>2440</v>
      </c>
      <c r="J384" s="216">
        <f t="shared" si="76"/>
        <v>352</v>
      </c>
      <c r="K384" s="204">
        <f t="shared" si="77"/>
        <v>352</v>
      </c>
    </row>
    <row r="385" spans="1:11" ht="22.5" x14ac:dyDescent="0.2">
      <c r="A385" s="202" t="s">
        <v>534</v>
      </c>
      <c r="B385" s="209" t="s">
        <v>507</v>
      </c>
      <c r="C385" s="209" t="s">
        <v>512</v>
      </c>
      <c r="D385" s="209" t="s">
        <v>1133</v>
      </c>
      <c r="E385" s="209" t="s">
        <v>529</v>
      </c>
      <c r="F385" s="215">
        <v>2088</v>
      </c>
      <c r="G385" s="203">
        <v>2088</v>
      </c>
      <c r="H385" s="215">
        <f>'Ведомственная 2020'!H342</f>
        <v>2440</v>
      </c>
      <c r="I385" s="203">
        <f>H385</f>
        <v>2440</v>
      </c>
      <c r="J385" s="216">
        <f t="shared" si="76"/>
        <v>352</v>
      </c>
      <c r="K385" s="204">
        <f t="shared" si="77"/>
        <v>352</v>
      </c>
    </row>
    <row r="386" spans="1:11" ht="33.75" x14ac:dyDescent="0.2">
      <c r="A386" s="202" t="s">
        <v>1608</v>
      </c>
      <c r="B386" s="209" t="s">
        <v>507</v>
      </c>
      <c r="C386" s="209" t="s">
        <v>512</v>
      </c>
      <c r="D386" s="209" t="s">
        <v>1132</v>
      </c>
      <c r="E386" s="209"/>
      <c r="F386" s="215">
        <v>300</v>
      </c>
      <c r="G386" s="203">
        <v>0</v>
      </c>
      <c r="H386" s="215">
        <f>H387</f>
        <v>300</v>
      </c>
      <c r="I386" s="203">
        <f>I387</f>
        <v>0</v>
      </c>
      <c r="J386" s="216">
        <f t="shared" si="76"/>
        <v>0</v>
      </c>
      <c r="K386" s="204">
        <f t="shared" si="77"/>
        <v>0</v>
      </c>
    </row>
    <row r="387" spans="1:11" x14ac:dyDescent="0.2">
      <c r="A387" s="202" t="s">
        <v>1347</v>
      </c>
      <c r="B387" s="209" t="s">
        <v>507</v>
      </c>
      <c r="C387" s="209" t="s">
        <v>512</v>
      </c>
      <c r="D387" s="209" t="s">
        <v>1132</v>
      </c>
      <c r="E387" s="209" t="s">
        <v>535</v>
      </c>
      <c r="F387" s="215">
        <v>300</v>
      </c>
      <c r="G387" s="203">
        <v>0</v>
      </c>
      <c r="H387" s="215">
        <f>H388</f>
        <v>300</v>
      </c>
      <c r="I387" s="203">
        <f>I388</f>
        <v>0</v>
      </c>
      <c r="J387" s="216">
        <f t="shared" si="76"/>
        <v>0</v>
      </c>
      <c r="K387" s="204">
        <f t="shared" si="77"/>
        <v>0</v>
      </c>
    </row>
    <row r="388" spans="1:11" ht="22.5" x14ac:dyDescent="0.2">
      <c r="A388" s="202" t="s">
        <v>534</v>
      </c>
      <c r="B388" s="209" t="s">
        <v>507</v>
      </c>
      <c r="C388" s="209" t="s">
        <v>512</v>
      </c>
      <c r="D388" s="209" t="s">
        <v>1132</v>
      </c>
      <c r="E388" s="209" t="s">
        <v>529</v>
      </c>
      <c r="F388" s="215">
        <v>300</v>
      </c>
      <c r="G388" s="203">
        <v>0</v>
      </c>
      <c r="H388" s="215">
        <f>'Ведомственная 2020'!H345</f>
        <v>300</v>
      </c>
      <c r="I388" s="203">
        <v>0</v>
      </c>
      <c r="J388" s="216">
        <f t="shared" si="76"/>
        <v>0</v>
      </c>
      <c r="K388" s="204">
        <f t="shared" si="77"/>
        <v>0</v>
      </c>
    </row>
    <row r="389" spans="1:11" x14ac:dyDescent="0.2">
      <c r="A389" s="202" t="s">
        <v>1131</v>
      </c>
      <c r="B389" s="209" t="s">
        <v>507</v>
      </c>
      <c r="C389" s="209" t="s">
        <v>617</v>
      </c>
      <c r="D389" s="209"/>
      <c r="E389" s="209"/>
      <c r="F389" s="215">
        <v>48620</v>
      </c>
      <c r="G389" s="203">
        <v>0</v>
      </c>
      <c r="H389" s="215">
        <f t="shared" ref="H389:I391" si="96">H390</f>
        <v>44856.3</v>
      </c>
      <c r="I389" s="203">
        <f t="shared" si="96"/>
        <v>0</v>
      </c>
      <c r="J389" s="216">
        <f t="shared" si="76"/>
        <v>-3763.6999999999971</v>
      </c>
      <c r="K389" s="204">
        <f t="shared" si="77"/>
        <v>0</v>
      </c>
    </row>
    <row r="390" spans="1:11" ht="22.5" x14ac:dyDescent="0.2">
      <c r="A390" s="202" t="s">
        <v>1117</v>
      </c>
      <c r="B390" s="209" t="s">
        <v>507</v>
      </c>
      <c r="C390" s="209" t="s">
        <v>617</v>
      </c>
      <c r="D390" s="209" t="s">
        <v>1116</v>
      </c>
      <c r="E390" s="209"/>
      <c r="F390" s="215">
        <v>48620</v>
      </c>
      <c r="G390" s="203">
        <v>0</v>
      </c>
      <c r="H390" s="215">
        <f t="shared" si="96"/>
        <v>44856.3</v>
      </c>
      <c r="I390" s="203">
        <f t="shared" si="96"/>
        <v>0</v>
      </c>
      <c r="J390" s="216">
        <f t="shared" si="76"/>
        <v>-3763.6999999999971</v>
      </c>
      <c r="K390" s="204">
        <f t="shared" si="77"/>
        <v>0</v>
      </c>
    </row>
    <row r="391" spans="1:11" x14ac:dyDescent="0.2">
      <c r="A391" s="202" t="s">
        <v>1130</v>
      </c>
      <c r="B391" s="209" t="s">
        <v>507</v>
      </c>
      <c r="C391" s="209" t="s">
        <v>617</v>
      </c>
      <c r="D391" s="209" t="s">
        <v>1129</v>
      </c>
      <c r="E391" s="209"/>
      <c r="F391" s="215">
        <v>48620</v>
      </c>
      <c r="G391" s="203">
        <v>0</v>
      </c>
      <c r="H391" s="215">
        <f t="shared" si="96"/>
        <v>44856.3</v>
      </c>
      <c r="I391" s="203">
        <f t="shared" si="96"/>
        <v>0</v>
      </c>
      <c r="J391" s="216">
        <f t="shared" ref="J391:J456" si="97">H391-F391</f>
        <v>-3763.6999999999971</v>
      </c>
      <c r="K391" s="204">
        <f t="shared" ref="K391:K456" si="98">I391-G391</f>
        <v>0</v>
      </c>
    </row>
    <row r="392" spans="1:11" ht="45" x14ac:dyDescent="0.2">
      <c r="A392" s="202" t="s">
        <v>1128</v>
      </c>
      <c r="B392" s="209" t="s">
        <v>507</v>
      </c>
      <c r="C392" s="209" t="s">
        <v>617</v>
      </c>
      <c r="D392" s="209" t="s">
        <v>1127</v>
      </c>
      <c r="E392" s="209"/>
      <c r="F392" s="215">
        <v>48620</v>
      </c>
      <c r="G392" s="203">
        <v>0</v>
      </c>
      <c r="H392" s="215">
        <f>H393+H396+H399</f>
        <v>44856.3</v>
      </c>
      <c r="I392" s="203">
        <f>I393+I396+I399</f>
        <v>0</v>
      </c>
      <c r="J392" s="216">
        <f t="shared" si="97"/>
        <v>-3763.6999999999971</v>
      </c>
      <c r="K392" s="204">
        <f t="shared" si="98"/>
        <v>0</v>
      </c>
    </row>
    <row r="393" spans="1:11" ht="33.75" x14ac:dyDescent="0.2">
      <c r="A393" s="202" t="s">
        <v>1126</v>
      </c>
      <c r="B393" s="209" t="s">
        <v>507</v>
      </c>
      <c r="C393" s="209" t="s">
        <v>617</v>
      </c>
      <c r="D393" s="209" t="s">
        <v>1125</v>
      </c>
      <c r="E393" s="209"/>
      <c r="F393" s="215">
        <v>6000</v>
      </c>
      <c r="G393" s="203">
        <v>0</v>
      </c>
      <c r="H393" s="215">
        <f>H394</f>
        <v>5653.4</v>
      </c>
      <c r="I393" s="203">
        <f>I394</f>
        <v>0</v>
      </c>
      <c r="J393" s="216">
        <f t="shared" si="97"/>
        <v>-346.60000000000036</v>
      </c>
      <c r="K393" s="204">
        <f t="shared" si="98"/>
        <v>0</v>
      </c>
    </row>
    <row r="394" spans="1:11" x14ac:dyDescent="0.2">
      <c r="A394" s="202" t="s">
        <v>1347</v>
      </c>
      <c r="B394" s="209" t="s">
        <v>507</v>
      </c>
      <c r="C394" s="209" t="s">
        <v>617</v>
      </c>
      <c r="D394" s="209" t="s">
        <v>1125</v>
      </c>
      <c r="E394" s="209" t="s">
        <v>535</v>
      </c>
      <c r="F394" s="215">
        <v>6000</v>
      </c>
      <c r="G394" s="203">
        <v>0</v>
      </c>
      <c r="H394" s="215">
        <f>H395</f>
        <v>5653.4</v>
      </c>
      <c r="I394" s="203">
        <f>I395</f>
        <v>0</v>
      </c>
      <c r="J394" s="216">
        <f t="shared" si="97"/>
        <v>-346.60000000000036</v>
      </c>
      <c r="K394" s="204">
        <f t="shared" si="98"/>
        <v>0</v>
      </c>
    </row>
    <row r="395" spans="1:11" ht="22.5" x14ac:dyDescent="0.2">
      <c r="A395" s="202" t="s">
        <v>534</v>
      </c>
      <c r="B395" s="209" t="s">
        <v>507</v>
      </c>
      <c r="C395" s="209" t="s">
        <v>617</v>
      </c>
      <c r="D395" s="209" t="s">
        <v>1125</v>
      </c>
      <c r="E395" s="209" t="s">
        <v>529</v>
      </c>
      <c r="F395" s="215">
        <v>6000</v>
      </c>
      <c r="G395" s="203">
        <v>0</v>
      </c>
      <c r="H395" s="215">
        <f>'Ведомственная 2020'!H352</f>
        <v>5653.4</v>
      </c>
      <c r="I395" s="203">
        <v>0</v>
      </c>
      <c r="J395" s="216">
        <f t="shared" si="97"/>
        <v>-346.60000000000036</v>
      </c>
      <c r="K395" s="204">
        <f t="shared" si="98"/>
        <v>0</v>
      </c>
    </row>
    <row r="396" spans="1:11" ht="33.75" x14ac:dyDescent="0.2">
      <c r="A396" s="202" t="s">
        <v>1124</v>
      </c>
      <c r="B396" s="209" t="s">
        <v>507</v>
      </c>
      <c r="C396" s="209" t="s">
        <v>617</v>
      </c>
      <c r="D396" s="209" t="s">
        <v>1123</v>
      </c>
      <c r="E396" s="209"/>
      <c r="F396" s="215">
        <v>3600</v>
      </c>
      <c r="G396" s="203">
        <v>0</v>
      </c>
      <c r="H396" s="215">
        <f>H397</f>
        <v>182.90000000000009</v>
      </c>
      <c r="I396" s="203">
        <f>I397</f>
        <v>0</v>
      </c>
      <c r="J396" s="216">
        <f t="shared" si="97"/>
        <v>-3417.1</v>
      </c>
      <c r="K396" s="204">
        <f t="shared" si="98"/>
        <v>0</v>
      </c>
    </row>
    <row r="397" spans="1:11" x14ac:dyDescent="0.2">
      <c r="A397" s="202" t="s">
        <v>1347</v>
      </c>
      <c r="B397" s="209" t="s">
        <v>507</v>
      </c>
      <c r="C397" s="209" t="s">
        <v>617</v>
      </c>
      <c r="D397" s="209" t="s">
        <v>1123</v>
      </c>
      <c r="E397" s="209" t="s">
        <v>535</v>
      </c>
      <c r="F397" s="215">
        <v>3600</v>
      </c>
      <c r="G397" s="203">
        <v>0</v>
      </c>
      <c r="H397" s="215">
        <f>H398</f>
        <v>182.90000000000009</v>
      </c>
      <c r="I397" s="203">
        <f>I398</f>
        <v>0</v>
      </c>
      <c r="J397" s="216">
        <f t="shared" si="97"/>
        <v>-3417.1</v>
      </c>
      <c r="K397" s="204">
        <f t="shared" si="98"/>
        <v>0</v>
      </c>
    </row>
    <row r="398" spans="1:11" ht="22.5" x14ac:dyDescent="0.2">
      <c r="A398" s="202" t="s">
        <v>534</v>
      </c>
      <c r="B398" s="209" t="s">
        <v>507</v>
      </c>
      <c r="C398" s="209" t="s">
        <v>617</v>
      </c>
      <c r="D398" s="209" t="s">
        <v>1123</v>
      </c>
      <c r="E398" s="209" t="s">
        <v>529</v>
      </c>
      <c r="F398" s="215">
        <v>3600</v>
      </c>
      <c r="G398" s="203">
        <v>0</v>
      </c>
      <c r="H398" s="215">
        <f>'Ведомственная 2020'!H355</f>
        <v>182.90000000000009</v>
      </c>
      <c r="I398" s="203">
        <v>0</v>
      </c>
      <c r="J398" s="216">
        <f t="shared" si="97"/>
        <v>-3417.1</v>
      </c>
      <c r="K398" s="204">
        <f t="shared" si="98"/>
        <v>0</v>
      </c>
    </row>
    <row r="399" spans="1:11" ht="22.5" x14ac:dyDescent="0.2">
      <c r="A399" s="202" t="s">
        <v>1122</v>
      </c>
      <c r="B399" s="209" t="s">
        <v>507</v>
      </c>
      <c r="C399" s="209" t="s">
        <v>617</v>
      </c>
      <c r="D399" s="209" t="s">
        <v>1121</v>
      </c>
      <c r="E399" s="209"/>
      <c r="F399" s="215">
        <v>39020</v>
      </c>
      <c r="G399" s="203">
        <v>0</v>
      </c>
      <c r="H399" s="215">
        <f>H400</f>
        <v>39020</v>
      </c>
      <c r="I399" s="203">
        <f>I400</f>
        <v>0</v>
      </c>
      <c r="J399" s="216">
        <f t="shared" si="97"/>
        <v>0</v>
      </c>
      <c r="K399" s="204">
        <f t="shared" si="98"/>
        <v>0</v>
      </c>
    </row>
    <row r="400" spans="1:11" x14ac:dyDescent="0.2">
      <c r="A400" s="202" t="s">
        <v>1347</v>
      </c>
      <c r="B400" s="209" t="s">
        <v>507</v>
      </c>
      <c r="C400" s="209" t="s">
        <v>617</v>
      </c>
      <c r="D400" s="209" t="s">
        <v>1121</v>
      </c>
      <c r="E400" s="209" t="s">
        <v>535</v>
      </c>
      <c r="F400" s="215">
        <v>39020</v>
      </c>
      <c r="G400" s="203">
        <v>0</v>
      </c>
      <c r="H400" s="215">
        <f>H401</f>
        <v>39020</v>
      </c>
      <c r="I400" s="203">
        <f>I401</f>
        <v>0</v>
      </c>
      <c r="J400" s="216">
        <f t="shared" si="97"/>
        <v>0</v>
      </c>
      <c r="K400" s="204">
        <f t="shared" si="98"/>
        <v>0</v>
      </c>
    </row>
    <row r="401" spans="1:11" ht="22.5" x14ac:dyDescent="0.2">
      <c r="A401" s="202" t="s">
        <v>534</v>
      </c>
      <c r="B401" s="209" t="s">
        <v>507</v>
      </c>
      <c r="C401" s="209" t="s">
        <v>617</v>
      </c>
      <c r="D401" s="209" t="s">
        <v>1121</v>
      </c>
      <c r="E401" s="209" t="s">
        <v>529</v>
      </c>
      <c r="F401" s="215">
        <v>39020</v>
      </c>
      <c r="G401" s="203">
        <v>0</v>
      </c>
      <c r="H401" s="215">
        <f>'Ведомственная 2020'!H358</f>
        <v>39020</v>
      </c>
      <c r="I401" s="203">
        <v>0</v>
      </c>
      <c r="J401" s="216">
        <f t="shared" si="97"/>
        <v>0</v>
      </c>
      <c r="K401" s="204">
        <f t="shared" si="98"/>
        <v>0</v>
      </c>
    </row>
    <row r="402" spans="1:11" x14ac:dyDescent="0.2">
      <c r="A402" s="202" t="s">
        <v>1120</v>
      </c>
      <c r="B402" s="209" t="s">
        <v>507</v>
      </c>
      <c r="C402" s="209" t="s">
        <v>670</v>
      </c>
      <c r="D402" s="209"/>
      <c r="E402" s="209"/>
      <c r="F402" s="215">
        <v>622995.89999999991</v>
      </c>
      <c r="G402" s="203">
        <v>0</v>
      </c>
      <c r="H402" s="215">
        <f>H403+H412+H489</f>
        <v>630260.6</v>
      </c>
      <c r="I402" s="203">
        <f>I403+I412</f>
        <v>0</v>
      </c>
      <c r="J402" s="216">
        <f t="shared" si="97"/>
        <v>7264.7000000000698</v>
      </c>
      <c r="K402" s="204">
        <f t="shared" si="98"/>
        <v>0</v>
      </c>
    </row>
    <row r="403" spans="1:11" x14ac:dyDescent="0.2">
      <c r="A403" s="202" t="s">
        <v>568</v>
      </c>
      <c r="B403" s="209" t="s">
        <v>507</v>
      </c>
      <c r="C403" s="209" t="s">
        <v>670</v>
      </c>
      <c r="D403" s="209" t="s">
        <v>567</v>
      </c>
      <c r="E403" s="209"/>
      <c r="F403" s="215">
        <v>486</v>
      </c>
      <c r="G403" s="203">
        <v>0</v>
      </c>
      <c r="H403" s="215">
        <f>H404</f>
        <v>486</v>
      </c>
      <c r="I403" s="203">
        <f>I404</f>
        <v>0</v>
      </c>
      <c r="J403" s="216">
        <f t="shared" si="97"/>
        <v>0</v>
      </c>
      <c r="K403" s="204">
        <f t="shared" si="98"/>
        <v>0</v>
      </c>
    </row>
    <row r="404" spans="1:11" x14ac:dyDescent="0.2">
      <c r="A404" s="202" t="s">
        <v>566</v>
      </c>
      <c r="B404" s="209" t="s">
        <v>507</v>
      </c>
      <c r="C404" s="209" t="s">
        <v>670</v>
      </c>
      <c r="D404" s="209" t="s">
        <v>565</v>
      </c>
      <c r="E404" s="209"/>
      <c r="F404" s="215">
        <v>486</v>
      </c>
      <c r="G404" s="203">
        <v>0</v>
      </c>
      <c r="H404" s="215">
        <f>H405</f>
        <v>486</v>
      </c>
      <c r="I404" s="203">
        <f>I405</f>
        <v>0</v>
      </c>
      <c r="J404" s="216">
        <f t="shared" si="97"/>
        <v>0</v>
      </c>
      <c r="K404" s="204">
        <f t="shared" si="98"/>
        <v>0</v>
      </c>
    </row>
    <row r="405" spans="1:11" ht="22.5" x14ac:dyDescent="0.2">
      <c r="A405" s="202" t="s">
        <v>1387</v>
      </c>
      <c r="B405" s="209" t="s">
        <v>507</v>
      </c>
      <c r="C405" s="209" t="s">
        <v>670</v>
      </c>
      <c r="D405" s="209" t="s">
        <v>578</v>
      </c>
      <c r="E405" s="209"/>
      <c r="F405" s="215">
        <v>486</v>
      </c>
      <c r="G405" s="203">
        <v>0</v>
      </c>
      <c r="H405" s="215">
        <f>H406+H409</f>
        <v>486</v>
      </c>
      <c r="I405" s="203">
        <f>I406+I409</f>
        <v>0</v>
      </c>
      <c r="J405" s="216">
        <f t="shared" si="97"/>
        <v>0</v>
      </c>
      <c r="K405" s="204">
        <f t="shared" si="98"/>
        <v>0</v>
      </c>
    </row>
    <row r="406" spans="1:11" ht="33.75" x14ac:dyDescent="0.2">
      <c r="A406" s="202" t="s">
        <v>1389</v>
      </c>
      <c r="B406" s="209" t="s">
        <v>507</v>
      </c>
      <c r="C406" s="209" t="s">
        <v>670</v>
      </c>
      <c r="D406" s="209" t="s">
        <v>1119</v>
      </c>
      <c r="E406" s="209"/>
      <c r="F406" s="215">
        <v>475</v>
      </c>
      <c r="G406" s="203">
        <v>0</v>
      </c>
      <c r="H406" s="215">
        <f>H407</f>
        <v>475</v>
      </c>
      <c r="I406" s="203">
        <f>I407</f>
        <v>0</v>
      </c>
      <c r="J406" s="216">
        <f t="shared" si="97"/>
        <v>0</v>
      </c>
      <c r="K406" s="204">
        <f t="shared" si="98"/>
        <v>0</v>
      </c>
    </row>
    <row r="407" spans="1:11" ht="22.5" x14ac:dyDescent="0.2">
      <c r="A407" s="202" t="s">
        <v>547</v>
      </c>
      <c r="B407" s="209" t="s">
        <v>507</v>
      </c>
      <c r="C407" s="209" t="s">
        <v>670</v>
      </c>
      <c r="D407" s="209" t="s">
        <v>1119</v>
      </c>
      <c r="E407" s="209" t="s">
        <v>519</v>
      </c>
      <c r="F407" s="215">
        <v>475</v>
      </c>
      <c r="G407" s="203">
        <v>0</v>
      </c>
      <c r="H407" s="215">
        <f>H408</f>
        <v>475</v>
      </c>
      <c r="I407" s="203">
        <f>I408</f>
        <v>0</v>
      </c>
      <c r="J407" s="216">
        <f t="shared" si="97"/>
        <v>0</v>
      </c>
      <c r="K407" s="204">
        <f t="shared" si="98"/>
        <v>0</v>
      </c>
    </row>
    <row r="408" spans="1:11" x14ac:dyDescent="0.2">
      <c r="A408" s="202" t="s">
        <v>571</v>
      </c>
      <c r="B408" s="209" t="s">
        <v>507</v>
      </c>
      <c r="C408" s="209" t="s">
        <v>670</v>
      </c>
      <c r="D408" s="209" t="s">
        <v>1119</v>
      </c>
      <c r="E408" s="209" t="s">
        <v>522</v>
      </c>
      <c r="F408" s="215">
        <v>475</v>
      </c>
      <c r="G408" s="203">
        <v>0</v>
      </c>
      <c r="H408" s="215">
        <f>'Ведомственная 2020'!H365</f>
        <v>475</v>
      </c>
      <c r="I408" s="203">
        <v>0</v>
      </c>
      <c r="J408" s="216">
        <f t="shared" si="97"/>
        <v>0</v>
      </c>
      <c r="K408" s="204">
        <f t="shared" si="98"/>
        <v>0</v>
      </c>
    </row>
    <row r="409" spans="1:11" ht="33.75" x14ac:dyDescent="0.2">
      <c r="A409" s="202" t="s">
        <v>1390</v>
      </c>
      <c r="B409" s="209" t="s">
        <v>507</v>
      </c>
      <c r="C409" s="209" t="s">
        <v>670</v>
      </c>
      <c r="D409" s="209" t="s">
        <v>1118</v>
      </c>
      <c r="E409" s="209"/>
      <c r="F409" s="215">
        <v>11</v>
      </c>
      <c r="G409" s="203">
        <v>0</v>
      </c>
      <c r="H409" s="215">
        <f>H410</f>
        <v>11</v>
      </c>
      <c r="I409" s="203">
        <f>I410</f>
        <v>0</v>
      </c>
      <c r="J409" s="216">
        <f t="shared" si="97"/>
        <v>0</v>
      </c>
      <c r="K409" s="204">
        <f t="shared" si="98"/>
        <v>0</v>
      </c>
    </row>
    <row r="410" spans="1:11" x14ac:dyDescent="0.2">
      <c r="A410" s="202" t="s">
        <v>1347</v>
      </c>
      <c r="B410" s="209" t="s">
        <v>507</v>
      </c>
      <c r="C410" s="209" t="s">
        <v>670</v>
      </c>
      <c r="D410" s="209" t="s">
        <v>1118</v>
      </c>
      <c r="E410" s="209" t="s">
        <v>535</v>
      </c>
      <c r="F410" s="215">
        <v>11</v>
      </c>
      <c r="G410" s="203">
        <v>0</v>
      </c>
      <c r="H410" s="215">
        <f>H411</f>
        <v>11</v>
      </c>
      <c r="I410" s="203">
        <f>I411</f>
        <v>0</v>
      </c>
      <c r="J410" s="216">
        <f t="shared" si="97"/>
        <v>0</v>
      </c>
      <c r="K410" s="204">
        <f t="shared" si="98"/>
        <v>0</v>
      </c>
    </row>
    <row r="411" spans="1:11" ht="22.5" x14ac:dyDescent="0.2">
      <c r="A411" s="202" t="s">
        <v>534</v>
      </c>
      <c r="B411" s="209" t="s">
        <v>507</v>
      </c>
      <c r="C411" s="209" t="s">
        <v>670</v>
      </c>
      <c r="D411" s="209" t="s">
        <v>1118</v>
      </c>
      <c r="E411" s="209" t="s">
        <v>529</v>
      </c>
      <c r="F411" s="215">
        <v>11</v>
      </c>
      <c r="G411" s="203">
        <v>0</v>
      </c>
      <c r="H411" s="215">
        <f>'Ведомственная 2020'!H368</f>
        <v>11</v>
      </c>
      <c r="I411" s="203">
        <v>0</v>
      </c>
      <c r="J411" s="216">
        <f t="shared" si="97"/>
        <v>0</v>
      </c>
      <c r="K411" s="204">
        <f t="shared" si="98"/>
        <v>0</v>
      </c>
    </row>
    <row r="412" spans="1:11" ht="22.5" x14ac:dyDescent="0.2">
      <c r="A412" s="202" t="s">
        <v>1117</v>
      </c>
      <c r="B412" s="209" t="s">
        <v>507</v>
      </c>
      <c r="C412" s="209" t="s">
        <v>670</v>
      </c>
      <c r="D412" s="209" t="s">
        <v>1116</v>
      </c>
      <c r="E412" s="209"/>
      <c r="F412" s="215">
        <v>622509.89999999991</v>
      </c>
      <c r="G412" s="203">
        <v>0</v>
      </c>
      <c r="H412" s="215">
        <f>H413</f>
        <v>621644.5</v>
      </c>
      <c r="I412" s="203">
        <f>I413</f>
        <v>0</v>
      </c>
      <c r="J412" s="216">
        <f t="shared" si="97"/>
        <v>-865.39999999990687</v>
      </c>
      <c r="K412" s="204">
        <f t="shared" si="98"/>
        <v>0</v>
      </c>
    </row>
    <row r="413" spans="1:11" x14ac:dyDescent="0.2">
      <c r="A413" s="202" t="s">
        <v>1115</v>
      </c>
      <c r="B413" s="209" t="s">
        <v>507</v>
      </c>
      <c r="C413" s="209" t="s">
        <v>670</v>
      </c>
      <c r="D413" s="209" t="s">
        <v>1114</v>
      </c>
      <c r="E413" s="209"/>
      <c r="F413" s="215">
        <v>622509.89999999991</v>
      </c>
      <c r="G413" s="203">
        <v>0</v>
      </c>
      <c r="H413" s="215">
        <f>H414</f>
        <v>621644.5</v>
      </c>
      <c r="I413" s="203">
        <f>I414</f>
        <v>0</v>
      </c>
      <c r="J413" s="216">
        <f t="shared" si="97"/>
        <v>-865.39999999990687</v>
      </c>
      <c r="K413" s="204">
        <f t="shared" si="98"/>
        <v>0</v>
      </c>
    </row>
    <row r="414" spans="1:11" ht="22.5" x14ac:dyDescent="0.2">
      <c r="A414" s="202" t="s">
        <v>1113</v>
      </c>
      <c r="B414" s="209" t="s">
        <v>507</v>
      </c>
      <c r="C414" s="209" t="s">
        <v>670</v>
      </c>
      <c r="D414" s="209" t="s">
        <v>1112</v>
      </c>
      <c r="E414" s="209"/>
      <c r="F414" s="215">
        <v>622509.89999999991</v>
      </c>
      <c r="G414" s="203">
        <v>0</v>
      </c>
      <c r="H414" s="215">
        <f>H415+H418+H421+H428+H431+H434+H443+H446+H453+H456+H459+H462+H465+H468+H480+H483+H486+H477+H471+H474</f>
        <v>621644.5</v>
      </c>
      <c r="I414" s="203">
        <f>I415+I418+I421+I428+I431+I434+I443+I446+I453+I456+I459+I462+I465+I468+I480+I483+I486</f>
        <v>0</v>
      </c>
      <c r="J414" s="216">
        <f t="shared" si="97"/>
        <v>-865.39999999990687</v>
      </c>
      <c r="K414" s="204">
        <f t="shared" si="98"/>
        <v>0</v>
      </c>
    </row>
    <row r="415" spans="1:11" ht="22.5" x14ac:dyDescent="0.2">
      <c r="A415" s="202" t="s">
        <v>1111</v>
      </c>
      <c r="B415" s="209" t="s">
        <v>507</v>
      </c>
      <c r="C415" s="209" t="s">
        <v>670</v>
      </c>
      <c r="D415" s="209" t="s">
        <v>1110</v>
      </c>
      <c r="E415" s="209"/>
      <c r="F415" s="215">
        <v>12021.800000000001</v>
      </c>
      <c r="G415" s="203">
        <v>0</v>
      </c>
      <c r="H415" s="215">
        <f>H416</f>
        <v>12021.800000000001</v>
      </c>
      <c r="I415" s="203">
        <f>I416</f>
        <v>0</v>
      </c>
      <c r="J415" s="216">
        <f t="shared" si="97"/>
        <v>0</v>
      </c>
      <c r="K415" s="204">
        <f t="shared" si="98"/>
        <v>0</v>
      </c>
    </row>
    <row r="416" spans="1:11" x14ac:dyDescent="0.2">
      <c r="A416" s="202" t="s">
        <v>1347</v>
      </c>
      <c r="B416" s="209" t="s">
        <v>507</v>
      </c>
      <c r="C416" s="209" t="s">
        <v>670</v>
      </c>
      <c r="D416" s="209" t="s">
        <v>1110</v>
      </c>
      <c r="E416" s="209" t="s">
        <v>535</v>
      </c>
      <c r="F416" s="215">
        <v>12021.800000000001</v>
      </c>
      <c r="G416" s="203">
        <v>0</v>
      </c>
      <c r="H416" s="215">
        <f>H417</f>
        <v>12021.800000000001</v>
      </c>
      <c r="I416" s="203">
        <f>I417</f>
        <v>0</v>
      </c>
      <c r="J416" s="216">
        <f t="shared" si="97"/>
        <v>0</v>
      </c>
      <c r="K416" s="204">
        <f t="shared" si="98"/>
        <v>0</v>
      </c>
    </row>
    <row r="417" spans="1:11" ht="22.5" x14ac:dyDescent="0.2">
      <c r="A417" s="202" t="s">
        <v>534</v>
      </c>
      <c r="B417" s="209" t="s">
        <v>507</v>
      </c>
      <c r="C417" s="209" t="s">
        <v>670</v>
      </c>
      <c r="D417" s="209" t="s">
        <v>1110</v>
      </c>
      <c r="E417" s="209" t="s">
        <v>529</v>
      </c>
      <c r="F417" s="215">
        <v>12021.800000000001</v>
      </c>
      <c r="G417" s="203">
        <v>0</v>
      </c>
      <c r="H417" s="215">
        <f>'Ведомственная 2020'!H374</f>
        <v>12021.800000000001</v>
      </c>
      <c r="I417" s="203">
        <v>0</v>
      </c>
      <c r="J417" s="216">
        <f t="shared" si="97"/>
        <v>0</v>
      </c>
      <c r="K417" s="204">
        <f t="shared" si="98"/>
        <v>0</v>
      </c>
    </row>
    <row r="418" spans="1:11" ht="22.5" x14ac:dyDescent="0.2">
      <c r="A418" s="202" t="s">
        <v>1099</v>
      </c>
      <c r="B418" s="209" t="s">
        <v>507</v>
      </c>
      <c r="C418" s="209" t="s">
        <v>670</v>
      </c>
      <c r="D418" s="209" t="s">
        <v>1109</v>
      </c>
      <c r="E418" s="209"/>
      <c r="F418" s="215">
        <v>4791.8</v>
      </c>
      <c r="G418" s="203">
        <v>0</v>
      </c>
      <c r="H418" s="215">
        <f>H419</f>
        <v>5791.8</v>
      </c>
      <c r="I418" s="203">
        <f>I419</f>
        <v>0</v>
      </c>
      <c r="J418" s="216">
        <f t="shared" si="97"/>
        <v>1000</v>
      </c>
      <c r="K418" s="204">
        <f t="shared" si="98"/>
        <v>0</v>
      </c>
    </row>
    <row r="419" spans="1:11" x14ac:dyDescent="0.2">
      <c r="A419" s="202" t="s">
        <v>1347</v>
      </c>
      <c r="B419" s="209" t="s">
        <v>507</v>
      </c>
      <c r="C419" s="209" t="s">
        <v>670</v>
      </c>
      <c r="D419" s="209" t="s">
        <v>1109</v>
      </c>
      <c r="E419" s="209" t="s">
        <v>535</v>
      </c>
      <c r="F419" s="215">
        <v>4791.8</v>
      </c>
      <c r="G419" s="203">
        <v>0</v>
      </c>
      <c r="H419" s="215">
        <f>H420</f>
        <v>5791.8</v>
      </c>
      <c r="I419" s="203">
        <f>I420</f>
        <v>0</v>
      </c>
      <c r="J419" s="216">
        <f t="shared" si="97"/>
        <v>1000</v>
      </c>
      <c r="K419" s="204">
        <f t="shared" si="98"/>
        <v>0</v>
      </c>
    </row>
    <row r="420" spans="1:11" ht="22.5" x14ac:dyDescent="0.2">
      <c r="A420" s="202" t="s">
        <v>534</v>
      </c>
      <c r="B420" s="209" t="s">
        <v>507</v>
      </c>
      <c r="C420" s="209" t="s">
        <v>670</v>
      </c>
      <c r="D420" s="209" t="s">
        <v>1109</v>
      </c>
      <c r="E420" s="209" t="s">
        <v>529</v>
      </c>
      <c r="F420" s="215">
        <v>4791.8</v>
      </c>
      <c r="G420" s="203">
        <v>0</v>
      </c>
      <c r="H420" s="215">
        <f>'Ведомственная 2020'!H377</f>
        <v>5791.8</v>
      </c>
      <c r="I420" s="203">
        <v>0</v>
      </c>
      <c r="J420" s="216">
        <f t="shared" si="97"/>
        <v>1000</v>
      </c>
      <c r="K420" s="204">
        <f t="shared" si="98"/>
        <v>0</v>
      </c>
    </row>
    <row r="421" spans="1:11" ht="22.5" x14ac:dyDescent="0.2">
      <c r="A421" s="202" t="s">
        <v>1108</v>
      </c>
      <c r="B421" s="209" t="s">
        <v>507</v>
      </c>
      <c r="C421" s="209" t="s">
        <v>670</v>
      </c>
      <c r="D421" s="209" t="s">
        <v>1107</v>
      </c>
      <c r="E421" s="209"/>
      <c r="F421" s="215">
        <v>35282.700000000004</v>
      </c>
      <c r="G421" s="203">
        <v>0</v>
      </c>
      <c r="H421" s="215">
        <f>H422+H424+H426</f>
        <v>35987</v>
      </c>
      <c r="I421" s="203">
        <f>I422+I424+I426</f>
        <v>0</v>
      </c>
      <c r="J421" s="216">
        <f t="shared" si="97"/>
        <v>704.29999999999563</v>
      </c>
      <c r="K421" s="204">
        <f t="shared" si="98"/>
        <v>0</v>
      </c>
    </row>
    <row r="422" spans="1:11" ht="33.75" x14ac:dyDescent="0.2">
      <c r="A422" s="202" t="s">
        <v>1348</v>
      </c>
      <c r="B422" s="209" t="s">
        <v>507</v>
      </c>
      <c r="C422" s="209" t="s">
        <v>670</v>
      </c>
      <c r="D422" s="209" t="s">
        <v>1107</v>
      </c>
      <c r="E422" s="209" t="s">
        <v>556</v>
      </c>
      <c r="F422" s="215">
        <v>26407.5</v>
      </c>
      <c r="G422" s="203">
        <v>0</v>
      </c>
      <c r="H422" s="215">
        <f>H423</f>
        <v>26407.5</v>
      </c>
      <c r="I422" s="203">
        <f>I423</f>
        <v>0</v>
      </c>
      <c r="J422" s="216">
        <f t="shared" si="97"/>
        <v>0</v>
      </c>
      <c r="K422" s="204">
        <f t="shared" si="98"/>
        <v>0</v>
      </c>
    </row>
    <row r="423" spans="1:11" x14ac:dyDescent="0.2">
      <c r="A423" s="202" t="s">
        <v>555</v>
      </c>
      <c r="B423" s="209" t="s">
        <v>507</v>
      </c>
      <c r="C423" s="209" t="s">
        <v>670</v>
      </c>
      <c r="D423" s="209" t="s">
        <v>1107</v>
      </c>
      <c r="E423" s="209" t="s">
        <v>554</v>
      </c>
      <c r="F423" s="215">
        <v>26407.5</v>
      </c>
      <c r="G423" s="203">
        <v>0</v>
      </c>
      <c r="H423" s="215">
        <f>'Ведомственная 2020'!H380</f>
        <v>26407.5</v>
      </c>
      <c r="I423" s="203">
        <v>0</v>
      </c>
      <c r="J423" s="216">
        <f t="shared" si="97"/>
        <v>0</v>
      </c>
      <c r="K423" s="204">
        <f t="shared" si="98"/>
        <v>0</v>
      </c>
    </row>
    <row r="424" spans="1:11" x14ac:dyDescent="0.2">
      <c r="A424" s="202" t="s">
        <v>1347</v>
      </c>
      <c r="B424" s="209" t="s">
        <v>507</v>
      </c>
      <c r="C424" s="209" t="s">
        <v>670</v>
      </c>
      <c r="D424" s="209" t="s">
        <v>1107</v>
      </c>
      <c r="E424" s="209" t="s">
        <v>535</v>
      </c>
      <c r="F424" s="215">
        <v>7068.9</v>
      </c>
      <c r="G424" s="203">
        <v>0</v>
      </c>
      <c r="H424" s="215">
        <f>H425</f>
        <v>7468.9</v>
      </c>
      <c r="I424" s="203">
        <f>I425</f>
        <v>0</v>
      </c>
      <c r="J424" s="216">
        <f t="shared" si="97"/>
        <v>400</v>
      </c>
      <c r="K424" s="204">
        <f t="shared" si="98"/>
        <v>0</v>
      </c>
    </row>
    <row r="425" spans="1:11" ht="22.5" x14ac:dyDescent="0.2">
      <c r="A425" s="202" t="s">
        <v>534</v>
      </c>
      <c r="B425" s="209" t="s">
        <v>507</v>
      </c>
      <c r="C425" s="209" t="s">
        <v>670</v>
      </c>
      <c r="D425" s="209" t="s">
        <v>1107</v>
      </c>
      <c r="E425" s="209" t="s">
        <v>529</v>
      </c>
      <c r="F425" s="215">
        <v>7068.9</v>
      </c>
      <c r="G425" s="203">
        <v>0</v>
      </c>
      <c r="H425" s="215">
        <f>'Ведомственная 2020'!H382</f>
        <v>7468.9</v>
      </c>
      <c r="I425" s="203">
        <v>0</v>
      </c>
      <c r="J425" s="216">
        <f t="shared" si="97"/>
        <v>400</v>
      </c>
      <c r="K425" s="204">
        <f t="shared" si="98"/>
        <v>0</v>
      </c>
    </row>
    <row r="426" spans="1:11" x14ac:dyDescent="0.2">
      <c r="A426" s="202" t="s">
        <v>615</v>
      </c>
      <c r="B426" s="209" t="s">
        <v>507</v>
      </c>
      <c r="C426" s="209" t="s">
        <v>670</v>
      </c>
      <c r="D426" s="209" t="s">
        <v>1107</v>
      </c>
      <c r="E426" s="209" t="s">
        <v>509</v>
      </c>
      <c r="F426" s="215">
        <v>1806.3</v>
      </c>
      <c r="G426" s="203">
        <v>0</v>
      </c>
      <c r="H426" s="215">
        <f>H427</f>
        <v>2110.6</v>
      </c>
      <c r="I426" s="203">
        <f>I427</f>
        <v>0</v>
      </c>
      <c r="J426" s="216">
        <f t="shared" si="97"/>
        <v>304.29999999999995</v>
      </c>
      <c r="K426" s="204">
        <f t="shared" si="98"/>
        <v>0</v>
      </c>
    </row>
    <row r="427" spans="1:11" x14ac:dyDescent="0.2">
      <c r="A427" s="202" t="s">
        <v>614</v>
      </c>
      <c r="B427" s="209" t="s">
        <v>507</v>
      </c>
      <c r="C427" s="209" t="s">
        <v>670</v>
      </c>
      <c r="D427" s="209" t="s">
        <v>1107</v>
      </c>
      <c r="E427" s="209" t="s">
        <v>613</v>
      </c>
      <c r="F427" s="215">
        <v>1806.3</v>
      </c>
      <c r="G427" s="203">
        <v>0</v>
      </c>
      <c r="H427" s="215">
        <f>'Ведомственная 2020'!H384</f>
        <v>2110.6</v>
      </c>
      <c r="I427" s="203">
        <v>0</v>
      </c>
      <c r="J427" s="216">
        <f t="shared" si="97"/>
        <v>304.29999999999995</v>
      </c>
      <c r="K427" s="204">
        <f t="shared" si="98"/>
        <v>0</v>
      </c>
    </row>
    <row r="428" spans="1:11" ht="22.5" x14ac:dyDescent="0.2">
      <c r="A428" s="202" t="s">
        <v>1106</v>
      </c>
      <c r="B428" s="209" t="s">
        <v>507</v>
      </c>
      <c r="C428" s="209" t="s">
        <v>670</v>
      </c>
      <c r="D428" s="209" t="s">
        <v>1105</v>
      </c>
      <c r="E428" s="209"/>
      <c r="F428" s="215">
        <v>2750</v>
      </c>
      <c r="G428" s="203">
        <v>0</v>
      </c>
      <c r="H428" s="215">
        <f>H429</f>
        <v>2750</v>
      </c>
      <c r="I428" s="203">
        <f>I429</f>
        <v>0</v>
      </c>
      <c r="J428" s="216">
        <f t="shared" si="97"/>
        <v>0</v>
      </c>
      <c r="K428" s="204">
        <f t="shared" si="98"/>
        <v>0</v>
      </c>
    </row>
    <row r="429" spans="1:11" ht="22.5" x14ac:dyDescent="0.2">
      <c r="A429" s="202" t="s">
        <v>547</v>
      </c>
      <c r="B429" s="209" t="s">
        <v>507</v>
      </c>
      <c r="C429" s="209" t="s">
        <v>670</v>
      </c>
      <c r="D429" s="209" t="s">
        <v>1105</v>
      </c>
      <c r="E429" s="209" t="s">
        <v>519</v>
      </c>
      <c r="F429" s="215">
        <v>2750</v>
      </c>
      <c r="G429" s="203">
        <v>0</v>
      </c>
      <c r="H429" s="215">
        <f>H430</f>
        <v>2750</v>
      </c>
      <c r="I429" s="203">
        <f>I430</f>
        <v>0</v>
      </c>
      <c r="J429" s="216">
        <f t="shared" si="97"/>
        <v>0</v>
      </c>
      <c r="K429" s="204">
        <f t="shared" si="98"/>
        <v>0</v>
      </c>
    </row>
    <row r="430" spans="1:11" x14ac:dyDescent="0.2">
      <c r="A430" s="202" t="s">
        <v>571</v>
      </c>
      <c r="B430" s="209" t="s">
        <v>507</v>
      </c>
      <c r="C430" s="209" t="s">
        <v>670</v>
      </c>
      <c r="D430" s="209" t="s">
        <v>1105</v>
      </c>
      <c r="E430" s="209" t="s">
        <v>522</v>
      </c>
      <c r="F430" s="215">
        <v>2750</v>
      </c>
      <c r="G430" s="203">
        <v>0</v>
      </c>
      <c r="H430" s="215">
        <f>'Ведомственная 2020'!H387</f>
        <v>2750</v>
      </c>
      <c r="I430" s="203">
        <v>0</v>
      </c>
      <c r="J430" s="216">
        <f t="shared" si="97"/>
        <v>0</v>
      </c>
      <c r="K430" s="204">
        <f t="shared" si="98"/>
        <v>0</v>
      </c>
    </row>
    <row r="431" spans="1:11" ht="22.5" x14ac:dyDescent="0.2">
      <c r="A431" s="202" t="s">
        <v>1104</v>
      </c>
      <c r="B431" s="209" t="s">
        <v>507</v>
      </c>
      <c r="C431" s="209" t="s">
        <v>670</v>
      </c>
      <c r="D431" s="209" t="s">
        <v>1103</v>
      </c>
      <c r="E431" s="209"/>
      <c r="F431" s="215">
        <v>253725</v>
      </c>
      <c r="G431" s="203">
        <v>0</v>
      </c>
      <c r="H431" s="215">
        <f>H432</f>
        <v>262845.2</v>
      </c>
      <c r="I431" s="203">
        <f>I432</f>
        <v>0</v>
      </c>
      <c r="J431" s="216">
        <f t="shared" si="97"/>
        <v>9120.2000000000116</v>
      </c>
      <c r="K431" s="204">
        <f t="shared" si="98"/>
        <v>0</v>
      </c>
    </row>
    <row r="432" spans="1:11" x14ac:dyDescent="0.2">
      <c r="A432" s="202" t="s">
        <v>1347</v>
      </c>
      <c r="B432" s="209" t="s">
        <v>507</v>
      </c>
      <c r="C432" s="209" t="s">
        <v>670</v>
      </c>
      <c r="D432" s="209" t="s">
        <v>1103</v>
      </c>
      <c r="E432" s="209" t="s">
        <v>535</v>
      </c>
      <c r="F432" s="215">
        <v>253725</v>
      </c>
      <c r="G432" s="203">
        <v>0</v>
      </c>
      <c r="H432" s="215">
        <f>H433</f>
        <v>262845.2</v>
      </c>
      <c r="I432" s="203">
        <f>I433</f>
        <v>0</v>
      </c>
      <c r="J432" s="216">
        <f t="shared" si="97"/>
        <v>9120.2000000000116</v>
      </c>
      <c r="K432" s="204">
        <f t="shared" si="98"/>
        <v>0</v>
      </c>
    </row>
    <row r="433" spans="1:11" ht="22.5" x14ac:dyDescent="0.2">
      <c r="A433" s="202" t="s">
        <v>534</v>
      </c>
      <c r="B433" s="209" t="s">
        <v>507</v>
      </c>
      <c r="C433" s="209" t="s">
        <v>670</v>
      </c>
      <c r="D433" s="209" t="s">
        <v>1103</v>
      </c>
      <c r="E433" s="209" t="s">
        <v>529</v>
      </c>
      <c r="F433" s="215">
        <v>253725</v>
      </c>
      <c r="G433" s="203">
        <v>0</v>
      </c>
      <c r="H433" s="215">
        <f>'Ведомственная 2020'!H390</f>
        <v>262845.2</v>
      </c>
      <c r="I433" s="203">
        <v>0</v>
      </c>
      <c r="J433" s="216">
        <f t="shared" si="97"/>
        <v>9120.2000000000116</v>
      </c>
      <c r="K433" s="204">
        <f t="shared" si="98"/>
        <v>0</v>
      </c>
    </row>
    <row r="434" spans="1:11" ht="22.5" x14ac:dyDescent="0.2">
      <c r="A434" s="202" t="s">
        <v>1527</v>
      </c>
      <c r="B434" s="209" t="s">
        <v>507</v>
      </c>
      <c r="C434" s="209" t="s">
        <v>670</v>
      </c>
      <c r="D434" s="209" t="s">
        <v>1102</v>
      </c>
      <c r="E434" s="209"/>
      <c r="F434" s="215">
        <v>157791.79999999999</v>
      </c>
      <c r="G434" s="203">
        <v>0</v>
      </c>
      <c r="H434" s="215">
        <f>H435+H437+H439+H441</f>
        <v>158179.79999999999</v>
      </c>
      <c r="I434" s="203">
        <f>I435+I437+I439</f>
        <v>0</v>
      </c>
      <c r="J434" s="216">
        <f t="shared" si="97"/>
        <v>388</v>
      </c>
      <c r="K434" s="204">
        <f t="shared" si="98"/>
        <v>0</v>
      </c>
    </row>
    <row r="435" spans="1:11" ht="33.75" x14ac:dyDescent="0.2">
      <c r="A435" s="202" t="s">
        <v>1348</v>
      </c>
      <c r="B435" s="209" t="s">
        <v>507</v>
      </c>
      <c r="C435" s="209" t="s">
        <v>670</v>
      </c>
      <c r="D435" s="209" t="s">
        <v>1102</v>
      </c>
      <c r="E435" s="209" t="s">
        <v>556</v>
      </c>
      <c r="F435" s="215">
        <v>23602.899999999994</v>
      </c>
      <c r="G435" s="203">
        <v>0</v>
      </c>
      <c r="H435" s="215">
        <f>H436</f>
        <v>23602.899999999994</v>
      </c>
      <c r="I435" s="203">
        <f>I436</f>
        <v>0</v>
      </c>
      <c r="J435" s="216">
        <f t="shared" si="97"/>
        <v>0</v>
      </c>
      <c r="K435" s="204">
        <f t="shared" si="98"/>
        <v>0</v>
      </c>
    </row>
    <row r="436" spans="1:11" x14ac:dyDescent="0.2">
      <c r="A436" s="202" t="s">
        <v>555</v>
      </c>
      <c r="B436" s="209" t="s">
        <v>507</v>
      </c>
      <c r="C436" s="209" t="s">
        <v>670</v>
      </c>
      <c r="D436" s="209" t="s">
        <v>1102</v>
      </c>
      <c r="E436" s="209" t="s">
        <v>554</v>
      </c>
      <c r="F436" s="215">
        <v>23602.899999999994</v>
      </c>
      <c r="G436" s="203">
        <v>0</v>
      </c>
      <c r="H436" s="215">
        <f>'Ведомственная 2020'!H393</f>
        <v>23602.899999999994</v>
      </c>
      <c r="I436" s="203">
        <v>0</v>
      </c>
      <c r="J436" s="216">
        <f t="shared" si="97"/>
        <v>0</v>
      </c>
      <c r="K436" s="204">
        <f t="shared" si="98"/>
        <v>0</v>
      </c>
    </row>
    <row r="437" spans="1:11" x14ac:dyDescent="0.2">
      <c r="A437" s="202" t="s">
        <v>1347</v>
      </c>
      <c r="B437" s="209" t="s">
        <v>507</v>
      </c>
      <c r="C437" s="209" t="s">
        <v>670</v>
      </c>
      <c r="D437" s="209" t="s">
        <v>1102</v>
      </c>
      <c r="E437" s="209" t="s">
        <v>535</v>
      </c>
      <c r="F437" s="215">
        <v>17370.5</v>
      </c>
      <c r="G437" s="203">
        <v>0</v>
      </c>
      <c r="H437" s="215">
        <f>H438</f>
        <v>17370.5</v>
      </c>
      <c r="I437" s="203">
        <f>I438</f>
        <v>0</v>
      </c>
      <c r="J437" s="216">
        <f t="shared" si="97"/>
        <v>0</v>
      </c>
      <c r="K437" s="204">
        <f t="shared" si="98"/>
        <v>0</v>
      </c>
    </row>
    <row r="438" spans="1:11" ht="22.5" x14ac:dyDescent="0.2">
      <c r="A438" s="202" t="s">
        <v>534</v>
      </c>
      <c r="B438" s="209" t="s">
        <v>507</v>
      </c>
      <c r="C438" s="209" t="s">
        <v>670</v>
      </c>
      <c r="D438" s="209" t="s">
        <v>1102</v>
      </c>
      <c r="E438" s="209" t="s">
        <v>529</v>
      </c>
      <c r="F438" s="215">
        <v>17370.5</v>
      </c>
      <c r="G438" s="203">
        <v>0</v>
      </c>
      <c r="H438" s="215">
        <f>'Ведомственная 2020'!H395</f>
        <v>17370.5</v>
      </c>
      <c r="I438" s="203">
        <v>0</v>
      </c>
      <c r="J438" s="216">
        <f t="shared" si="97"/>
        <v>0</v>
      </c>
      <c r="K438" s="204">
        <f t="shared" si="98"/>
        <v>0</v>
      </c>
    </row>
    <row r="439" spans="1:11" x14ac:dyDescent="0.2">
      <c r="A439" s="202" t="s">
        <v>615</v>
      </c>
      <c r="B439" s="209" t="s">
        <v>507</v>
      </c>
      <c r="C439" s="209" t="s">
        <v>670</v>
      </c>
      <c r="D439" s="209" t="s">
        <v>1102</v>
      </c>
      <c r="E439" s="209" t="s">
        <v>509</v>
      </c>
      <c r="F439" s="215">
        <v>199.20000000000005</v>
      </c>
      <c r="G439" s="203">
        <v>0</v>
      </c>
      <c r="H439" s="215">
        <f>H440</f>
        <v>199.20000000000005</v>
      </c>
      <c r="I439" s="203">
        <f>I440</f>
        <v>0</v>
      </c>
      <c r="J439" s="216">
        <f t="shared" si="97"/>
        <v>0</v>
      </c>
      <c r="K439" s="204">
        <f t="shared" si="98"/>
        <v>0</v>
      </c>
    </row>
    <row r="440" spans="1:11" x14ac:dyDescent="0.2">
      <c r="A440" s="202" t="s">
        <v>614</v>
      </c>
      <c r="B440" s="209" t="s">
        <v>507</v>
      </c>
      <c r="C440" s="209" t="s">
        <v>670</v>
      </c>
      <c r="D440" s="209" t="s">
        <v>1102</v>
      </c>
      <c r="E440" s="209" t="s">
        <v>613</v>
      </c>
      <c r="F440" s="215">
        <v>199.20000000000005</v>
      </c>
      <c r="G440" s="203">
        <v>0</v>
      </c>
      <c r="H440" s="215">
        <f>'Ведомственная 2020'!H399</f>
        <v>199.20000000000005</v>
      </c>
      <c r="I440" s="203">
        <v>0</v>
      </c>
      <c r="J440" s="216">
        <f t="shared" si="97"/>
        <v>0</v>
      </c>
      <c r="K440" s="204">
        <f t="shared" si="98"/>
        <v>0</v>
      </c>
    </row>
    <row r="441" spans="1:11" s="389" customFormat="1" ht="22.5" x14ac:dyDescent="0.2">
      <c r="A441" s="202" t="s">
        <v>547</v>
      </c>
      <c r="B441" s="209" t="s">
        <v>507</v>
      </c>
      <c r="C441" s="209" t="s">
        <v>670</v>
      </c>
      <c r="D441" s="209" t="s">
        <v>1102</v>
      </c>
      <c r="E441" s="209" t="s">
        <v>519</v>
      </c>
      <c r="F441" s="215">
        <v>116619.2</v>
      </c>
      <c r="G441" s="203">
        <v>0</v>
      </c>
      <c r="H441" s="215">
        <f>H442</f>
        <v>117007.2</v>
      </c>
      <c r="I441" s="203">
        <f>I442</f>
        <v>0</v>
      </c>
      <c r="J441" s="216">
        <f t="shared" ref="J441:J442" si="99">H441-F441</f>
        <v>388</v>
      </c>
      <c r="K441" s="204">
        <f t="shared" ref="K441:K442" si="100">I441-G441</f>
        <v>0</v>
      </c>
    </row>
    <row r="442" spans="1:11" s="389" customFormat="1" x14ac:dyDescent="0.2">
      <c r="A442" s="202" t="s">
        <v>571</v>
      </c>
      <c r="B442" s="209" t="s">
        <v>507</v>
      </c>
      <c r="C442" s="209" t="s">
        <v>670</v>
      </c>
      <c r="D442" s="209" t="s">
        <v>1102</v>
      </c>
      <c r="E442" s="209" t="s">
        <v>522</v>
      </c>
      <c r="F442" s="215">
        <v>116619.2</v>
      </c>
      <c r="G442" s="203">
        <v>0</v>
      </c>
      <c r="H442" s="215">
        <f>'Ведомственная 2020'!H397</f>
        <v>117007.2</v>
      </c>
      <c r="I442" s="203">
        <v>0</v>
      </c>
      <c r="J442" s="216">
        <f t="shared" si="99"/>
        <v>388</v>
      </c>
      <c r="K442" s="204">
        <f t="shared" si="100"/>
        <v>0</v>
      </c>
    </row>
    <row r="443" spans="1:11" ht="22.5" x14ac:dyDescent="0.2">
      <c r="A443" s="202" t="s">
        <v>1101</v>
      </c>
      <c r="B443" s="209" t="s">
        <v>507</v>
      </c>
      <c r="C443" s="209" t="s">
        <v>670</v>
      </c>
      <c r="D443" s="209" t="s">
        <v>1100</v>
      </c>
      <c r="E443" s="209"/>
      <c r="F443" s="215">
        <v>53449.799999999996</v>
      </c>
      <c r="G443" s="203">
        <v>0</v>
      </c>
      <c r="H443" s="215">
        <f>H444</f>
        <v>53548.299999999996</v>
      </c>
      <c r="I443" s="203">
        <f>I444</f>
        <v>0</v>
      </c>
      <c r="J443" s="216">
        <f t="shared" si="97"/>
        <v>98.5</v>
      </c>
      <c r="K443" s="204">
        <f t="shared" si="98"/>
        <v>0</v>
      </c>
    </row>
    <row r="444" spans="1:11" x14ac:dyDescent="0.2">
      <c r="A444" s="202" t="s">
        <v>1347</v>
      </c>
      <c r="B444" s="209" t="s">
        <v>507</v>
      </c>
      <c r="C444" s="209" t="s">
        <v>670</v>
      </c>
      <c r="D444" s="209" t="s">
        <v>1100</v>
      </c>
      <c r="E444" s="209" t="s">
        <v>535</v>
      </c>
      <c r="F444" s="215">
        <v>53449.799999999996</v>
      </c>
      <c r="G444" s="203">
        <v>0</v>
      </c>
      <c r="H444" s="215">
        <f>H445</f>
        <v>53548.299999999996</v>
      </c>
      <c r="I444" s="203">
        <f>I445</f>
        <v>0</v>
      </c>
      <c r="J444" s="216">
        <f t="shared" si="97"/>
        <v>98.5</v>
      </c>
      <c r="K444" s="204">
        <f t="shared" si="98"/>
        <v>0</v>
      </c>
    </row>
    <row r="445" spans="1:11" ht="22.5" x14ac:dyDescent="0.2">
      <c r="A445" s="202" t="s">
        <v>534</v>
      </c>
      <c r="B445" s="209" t="s">
        <v>507</v>
      </c>
      <c r="C445" s="209" t="s">
        <v>670</v>
      </c>
      <c r="D445" s="209" t="s">
        <v>1100</v>
      </c>
      <c r="E445" s="209" t="s">
        <v>529</v>
      </c>
      <c r="F445" s="215">
        <v>53449.799999999996</v>
      </c>
      <c r="G445" s="203">
        <v>0</v>
      </c>
      <c r="H445" s="215">
        <f>'Ведомственная 2020'!H402</f>
        <v>53548.299999999996</v>
      </c>
      <c r="I445" s="203">
        <v>0</v>
      </c>
      <c r="J445" s="216">
        <f t="shared" si="97"/>
        <v>98.5</v>
      </c>
      <c r="K445" s="204">
        <f t="shared" si="98"/>
        <v>0</v>
      </c>
    </row>
    <row r="446" spans="1:11" ht="22.5" x14ac:dyDescent="0.2">
      <c r="A446" s="202" t="s">
        <v>1099</v>
      </c>
      <c r="B446" s="209" t="s">
        <v>507</v>
      </c>
      <c r="C446" s="209" t="s">
        <v>670</v>
      </c>
      <c r="D446" s="209" t="s">
        <v>1098</v>
      </c>
      <c r="E446" s="209"/>
      <c r="F446" s="215">
        <v>9581</v>
      </c>
      <c r="G446" s="203">
        <v>0</v>
      </c>
      <c r="H446" s="215">
        <f>H447+H449+H451</f>
        <v>9581</v>
      </c>
      <c r="I446" s="203">
        <f>I447+I449+I451</f>
        <v>0</v>
      </c>
      <c r="J446" s="216">
        <f t="shared" si="97"/>
        <v>0</v>
      </c>
      <c r="K446" s="204">
        <f t="shared" si="98"/>
        <v>0</v>
      </c>
    </row>
    <row r="447" spans="1:11" ht="33.75" x14ac:dyDescent="0.2">
      <c r="A447" s="202" t="s">
        <v>1348</v>
      </c>
      <c r="B447" s="209" t="s">
        <v>507</v>
      </c>
      <c r="C447" s="209" t="s">
        <v>670</v>
      </c>
      <c r="D447" s="209" t="s">
        <v>1098</v>
      </c>
      <c r="E447" s="209" t="s">
        <v>556</v>
      </c>
      <c r="F447" s="215">
        <v>5217.3</v>
      </c>
      <c r="G447" s="203">
        <v>0</v>
      </c>
      <c r="H447" s="215">
        <f>H448</f>
        <v>5217.3</v>
      </c>
      <c r="I447" s="203">
        <f>I448</f>
        <v>0</v>
      </c>
      <c r="J447" s="216">
        <f t="shared" si="97"/>
        <v>0</v>
      </c>
      <c r="K447" s="204">
        <f t="shared" si="98"/>
        <v>0</v>
      </c>
    </row>
    <row r="448" spans="1:11" x14ac:dyDescent="0.2">
      <c r="A448" s="202" t="s">
        <v>555</v>
      </c>
      <c r="B448" s="209" t="s">
        <v>507</v>
      </c>
      <c r="C448" s="209" t="s">
        <v>670</v>
      </c>
      <c r="D448" s="209" t="s">
        <v>1098</v>
      </c>
      <c r="E448" s="209" t="s">
        <v>554</v>
      </c>
      <c r="F448" s="215">
        <v>5217.3</v>
      </c>
      <c r="G448" s="203">
        <v>0</v>
      </c>
      <c r="H448" s="215">
        <f>'Ведомственная 2020'!H405</f>
        <v>5217.3</v>
      </c>
      <c r="I448" s="203">
        <v>0</v>
      </c>
      <c r="J448" s="216">
        <f t="shared" si="97"/>
        <v>0</v>
      </c>
      <c r="K448" s="204">
        <f t="shared" si="98"/>
        <v>0</v>
      </c>
    </row>
    <row r="449" spans="1:11" x14ac:dyDescent="0.2">
      <c r="A449" s="202" t="s">
        <v>1347</v>
      </c>
      <c r="B449" s="209" t="s">
        <v>507</v>
      </c>
      <c r="C449" s="209" t="s">
        <v>670</v>
      </c>
      <c r="D449" s="209" t="s">
        <v>1098</v>
      </c>
      <c r="E449" s="209" t="s">
        <v>535</v>
      </c>
      <c r="F449" s="215">
        <v>4263.7</v>
      </c>
      <c r="G449" s="203">
        <v>0</v>
      </c>
      <c r="H449" s="215">
        <f>H450</f>
        <v>4263.7</v>
      </c>
      <c r="I449" s="203">
        <f>I450</f>
        <v>0</v>
      </c>
      <c r="J449" s="216">
        <f t="shared" si="97"/>
        <v>0</v>
      </c>
      <c r="K449" s="204">
        <f t="shared" si="98"/>
        <v>0</v>
      </c>
    </row>
    <row r="450" spans="1:11" ht="22.5" x14ac:dyDescent="0.2">
      <c r="A450" s="202" t="s">
        <v>534</v>
      </c>
      <c r="B450" s="209" t="s">
        <v>507</v>
      </c>
      <c r="C450" s="209" t="s">
        <v>670</v>
      </c>
      <c r="D450" s="209" t="s">
        <v>1098</v>
      </c>
      <c r="E450" s="209" t="s">
        <v>529</v>
      </c>
      <c r="F450" s="215">
        <v>4263.7</v>
      </c>
      <c r="G450" s="203">
        <v>0</v>
      </c>
      <c r="H450" s="215">
        <f>'Ведомственная 2020'!H407</f>
        <v>4263.7</v>
      </c>
      <c r="I450" s="203">
        <v>0</v>
      </c>
      <c r="J450" s="216">
        <f t="shared" si="97"/>
        <v>0</v>
      </c>
      <c r="K450" s="204">
        <f t="shared" si="98"/>
        <v>0</v>
      </c>
    </row>
    <row r="451" spans="1:11" x14ac:dyDescent="0.2">
      <c r="A451" s="202" t="s">
        <v>615</v>
      </c>
      <c r="B451" s="209" t="s">
        <v>507</v>
      </c>
      <c r="C451" s="209" t="s">
        <v>670</v>
      </c>
      <c r="D451" s="209" t="s">
        <v>1098</v>
      </c>
      <c r="E451" s="209" t="s">
        <v>509</v>
      </c>
      <c r="F451" s="215">
        <v>100</v>
      </c>
      <c r="G451" s="203">
        <v>0</v>
      </c>
      <c r="H451" s="215">
        <f>H452</f>
        <v>100</v>
      </c>
      <c r="I451" s="203">
        <f>I452</f>
        <v>0</v>
      </c>
      <c r="J451" s="216">
        <f t="shared" si="97"/>
        <v>0</v>
      </c>
      <c r="K451" s="204">
        <f t="shared" si="98"/>
        <v>0</v>
      </c>
    </row>
    <row r="452" spans="1:11" x14ac:dyDescent="0.2">
      <c r="A452" s="202" t="s">
        <v>614</v>
      </c>
      <c r="B452" s="209" t="s">
        <v>507</v>
      </c>
      <c r="C452" s="209" t="s">
        <v>670</v>
      </c>
      <c r="D452" s="209" t="s">
        <v>1098</v>
      </c>
      <c r="E452" s="209" t="s">
        <v>613</v>
      </c>
      <c r="F452" s="215">
        <v>100</v>
      </c>
      <c r="G452" s="203">
        <v>0</v>
      </c>
      <c r="H452" s="215">
        <f>'Ведомственная 2020'!H409</f>
        <v>100</v>
      </c>
      <c r="I452" s="203">
        <v>0</v>
      </c>
      <c r="J452" s="216">
        <f t="shared" si="97"/>
        <v>0</v>
      </c>
      <c r="K452" s="204">
        <f t="shared" si="98"/>
        <v>0</v>
      </c>
    </row>
    <row r="453" spans="1:11" ht="22.5" x14ac:dyDescent="0.2">
      <c r="A453" s="202" t="s">
        <v>1097</v>
      </c>
      <c r="B453" s="209" t="s">
        <v>507</v>
      </c>
      <c r="C453" s="209" t="s">
        <v>670</v>
      </c>
      <c r="D453" s="209" t="s">
        <v>1096</v>
      </c>
      <c r="E453" s="209"/>
      <c r="F453" s="215">
        <v>50</v>
      </c>
      <c r="G453" s="203">
        <v>0</v>
      </c>
      <c r="H453" s="215">
        <f>H454</f>
        <v>50</v>
      </c>
      <c r="I453" s="203">
        <f>I454</f>
        <v>0</v>
      </c>
      <c r="J453" s="216">
        <f t="shared" si="97"/>
        <v>0</v>
      </c>
      <c r="K453" s="204">
        <f t="shared" si="98"/>
        <v>0</v>
      </c>
    </row>
    <row r="454" spans="1:11" x14ac:dyDescent="0.2">
      <c r="A454" s="202" t="s">
        <v>1347</v>
      </c>
      <c r="B454" s="209" t="s">
        <v>507</v>
      </c>
      <c r="C454" s="209" t="s">
        <v>670</v>
      </c>
      <c r="D454" s="209" t="s">
        <v>1096</v>
      </c>
      <c r="E454" s="209" t="s">
        <v>535</v>
      </c>
      <c r="F454" s="215">
        <v>50</v>
      </c>
      <c r="G454" s="203">
        <v>0</v>
      </c>
      <c r="H454" s="215">
        <f>H455</f>
        <v>50</v>
      </c>
      <c r="I454" s="203">
        <f>I455</f>
        <v>0</v>
      </c>
      <c r="J454" s="216">
        <f t="shared" si="97"/>
        <v>0</v>
      </c>
      <c r="K454" s="204">
        <f t="shared" si="98"/>
        <v>0</v>
      </c>
    </row>
    <row r="455" spans="1:11" ht="22.5" x14ac:dyDescent="0.2">
      <c r="A455" s="202" t="s">
        <v>534</v>
      </c>
      <c r="B455" s="209" t="s">
        <v>507</v>
      </c>
      <c r="C455" s="209" t="s">
        <v>670</v>
      </c>
      <c r="D455" s="209" t="s">
        <v>1096</v>
      </c>
      <c r="E455" s="209" t="s">
        <v>529</v>
      </c>
      <c r="F455" s="215">
        <v>50</v>
      </c>
      <c r="G455" s="203">
        <v>0</v>
      </c>
      <c r="H455" s="215">
        <f>'Ведомственная 2020'!H412</f>
        <v>50</v>
      </c>
      <c r="I455" s="203">
        <v>0</v>
      </c>
      <c r="J455" s="216">
        <f t="shared" si="97"/>
        <v>0</v>
      </c>
      <c r="K455" s="204">
        <f t="shared" si="98"/>
        <v>0</v>
      </c>
    </row>
    <row r="456" spans="1:11" ht="22.5" x14ac:dyDescent="0.2">
      <c r="A456" s="202" t="s">
        <v>1095</v>
      </c>
      <c r="B456" s="209" t="s">
        <v>507</v>
      </c>
      <c r="C456" s="209" t="s">
        <v>670</v>
      </c>
      <c r="D456" s="209" t="s">
        <v>1094</v>
      </c>
      <c r="E456" s="209"/>
      <c r="F456" s="215">
        <v>50</v>
      </c>
      <c r="G456" s="203">
        <v>0</v>
      </c>
      <c r="H456" s="215">
        <f>H457</f>
        <v>50</v>
      </c>
      <c r="I456" s="203">
        <f>I457</f>
        <v>0</v>
      </c>
      <c r="J456" s="216">
        <f t="shared" si="97"/>
        <v>0</v>
      </c>
      <c r="K456" s="204">
        <f t="shared" si="98"/>
        <v>0</v>
      </c>
    </row>
    <row r="457" spans="1:11" x14ac:dyDescent="0.2">
      <c r="A457" s="202" t="s">
        <v>1347</v>
      </c>
      <c r="B457" s="209" t="s">
        <v>507</v>
      </c>
      <c r="C457" s="209" t="s">
        <v>670</v>
      </c>
      <c r="D457" s="209" t="s">
        <v>1094</v>
      </c>
      <c r="E457" s="209" t="s">
        <v>535</v>
      </c>
      <c r="F457" s="215">
        <v>50</v>
      </c>
      <c r="G457" s="203">
        <v>0</v>
      </c>
      <c r="H457" s="215">
        <f>H458</f>
        <v>50</v>
      </c>
      <c r="I457" s="203">
        <f>I458</f>
        <v>0</v>
      </c>
      <c r="J457" s="216">
        <f t="shared" ref="J457:J533" si="101">H457-F457</f>
        <v>0</v>
      </c>
      <c r="K457" s="204">
        <f t="shared" ref="K457:K533" si="102">I457-G457</f>
        <v>0</v>
      </c>
    </row>
    <row r="458" spans="1:11" ht="22.5" x14ac:dyDescent="0.2">
      <c r="A458" s="202" t="s">
        <v>534</v>
      </c>
      <c r="B458" s="209" t="s">
        <v>507</v>
      </c>
      <c r="C458" s="209" t="s">
        <v>670</v>
      </c>
      <c r="D458" s="209" t="s">
        <v>1094</v>
      </c>
      <c r="E458" s="209" t="s">
        <v>529</v>
      </c>
      <c r="F458" s="215">
        <v>50</v>
      </c>
      <c r="G458" s="203">
        <v>0</v>
      </c>
      <c r="H458" s="215">
        <f>'Ведомственная 2020'!H415</f>
        <v>50</v>
      </c>
      <c r="I458" s="203">
        <v>0</v>
      </c>
      <c r="J458" s="216">
        <f t="shared" si="101"/>
        <v>0</v>
      </c>
      <c r="K458" s="204">
        <f t="shared" si="102"/>
        <v>0</v>
      </c>
    </row>
    <row r="459" spans="1:11" ht="22.5" x14ac:dyDescent="0.2">
      <c r="A459" s="202" t="s">
        <v>1093</v>
      </c>
      <c r="B459" s="209" t="s">
        <v>507</v>
      </c>
      <c r="C459" s="209" t="s">
        <v>670</v>
      </c>
      <c r="D459" s="209" t="s">
        <v>1092</v>
      </c>
      <c r="E459" s="209"/>
      <c r="F459" s="215">
        <v>8702</v>
      </c>
      <c r="G459" s="203">
        <v>0</v>
      </c>
      <c r="H459" s="215">
        <f>H460</f>
        <v>9102</v>
      </c>
      <c r="I459" s="203">
        <f>I460</f>
        <v>0</v>
      </c>
      <c r="J459" s="216">
        <f t="shared" si="101"/>
        <v>400</v>
      </c>
      <c r="K459" s="204">
        <f t="shared" si="102"/>
        <v>0</v>
      </c>
    </row>
    <row r="460" spans="1:11" x14ac:dyDescent="0.2">
      <c r="A460" s="202" t="s">
        <v>1347</v>
      </c>
      <c r="B460" s="209" t="s">
        <v>507</v>
      </c>
      <c r="C460" s="209" t="s">
        <v>670</v>
      </c>
      <c r="D460" s="209" t="s">
        <v>1092</v>
      </c>
      <c r="E460" s="209" t="s">
        <v>535</v>
      </c>
      <c r="F460" s="215">
        <v>8702</v>
      </c>
      <c r="G460" s="203">
        <v>0</v>
      </c>
      <c r="H460" s="215">
        <f>H461</f>
        <v>9102</v>
      </c>
      <c r="I460" s="203">
        <f>I461</f>
        <v>0</v>
      </c>
      <c r="J460" s="216">
        <f t="shared" si="101"/>
        <v>400</v>
      </c>
      <c r="K460" s="204">
        <f t="shared" si="102"/>
        <v>0</v>
      </c>
    </row>
    <row r="461" spans="1:11" ht="22.5" x14ac:dyDescent="0.2">
      <c r="A461" s="202" t="s">
        <v>534</v>
      </c>
      <c r="B461" s="209" t="s">
        <v>507</v>
      </c>
      <c r="C461" s="209" t="s">
        <v>670</v>
      </c>
      <c r="D461" s="209" t="s">
        <v>1092</v>
      </c>
      <c r="E461" s="209" t="s">
        <v>529</v>
      </c>
      <c r="F461" s="215">
        <v>8702</v>
      </c>
      <c r="G461" s="203">
        <v>0</v>
      </c>
      <c r="H461" s="215">
        <f>'Ведомственная 2020'!H418</f>
        <v>9102</v>
      </c>
      <c r="I461" s="203">
        <v>0</v>
      </c>
      <c r="J461" s="216">
        <f t="shared" si="101"/>
        <v>400</v>
      </c>
      <c r="K461" s="204">
        <f t="shared" si="102"/>
        <v>0</v>
      </c>
    </row>
    <row r="462" spans="1:11" x14ac:dyDescent="0.2">
      <c r="A462" s="202" t="s">
        <v>1528</v>
      </c>
      <c r="B462" s="209" t="s">
        <v>507</v>
      </c>
      <c r="C462" s="209" t="s">
        <v>670</v>
      </c>
      <c r="D462" s="209" t="s">
        <v>1091</v>
      </c>
      <c r="E462" s="209"/>
      <c r="F462" s="215">
        <v>660</v>
      </c>
      <c r="G462" s="203">
        <v>0</v>
      </c>
      <c r="H462" s="215">
        <f>H463</f>
        <v>660</v>
      </c>
      <c r="I462" s="203">
        <f>I463</f>
        <v>0</v>
      </c>
      <c r="J462" s="216">
        <f t="shared" si="101"/>
        <v>0</v>
      </c>
      <c r="K462" s="204">
        <f t="shared" si="102"/>
        <v>0</v>
      </c>
    </row>
    <row r="463" spans="1:11" s="389" customFormat="1" ht="22.5" x14ac:dyDescent="0.2">
      <c r="A463" s="202" t="s">
        <v>547</v>
      </c>
      <c r="B463" s="209" t="s">
        <v>507</v>
      </c>
      <c r="C463" s="209" t="s">
        <v>670</v>
      </c>
      <c r="D463" s="209" t="s">
        <v>1091</v>
      </c>
      <c r="E463" s="209">
        <v>600</v>
      </c>
      <c r="F463" s="215">
        <v>660</v>
      </c>
      <c r="G463" s="203">
        <v>0</v>
      </c>
      <c r="H463" s="215">
        <f>H464</f>
        <v>660</v>
      </c>
      <c r="I463" s="203">
        <f>I464</f>
        <v>0</v>
      </c>
      <c r="J463" s="216">
        <f>H463-F463</f>
        <v>0</v>
      </c>
      <c r="K463" s="204">
        <f>I463-G463</f>
        <v>0</v>
      </c>
    </row>
    <row r="464" spans="1:11" s="389" customFormat="1" x14ac:dyDescent="0.2">
      <c r="A464" s="202" t="s">
        <v>571</v>
      </c>
      <c r="B464" s="209" t="s">
        <v>507</v>
      </c>
      <c r="C464" s="209" t="s">
        <v>670</v>
      </c>
      <c r="D464" s="209" t="s">
        <v>1091</v>
      </c>
      <c r="E464" s="209">
        <v>610</v>
      </c>
      <c r="F464" s="215">
        <v>660</v>
      </c>
      <c r="G464" s="203">
        <v>0</v>
      </c>
      <c r="H464" s="215">
        <f>'Ведомственная 2020'!H421</f>
        <v>660</v>
      </c>
      <c r="I464" s="203">
        <v>0</v>
      </c>
      <c r="J464" s="216">
        <f>H464-F464</f>
        <v>0</v>
      </c>
      <c r="K464" s="204">
        <f>I464-G464</f>
        <v>0</v>
      </c>
    </row>
    <row r="465" spans="1:11" ht="22.5" x14ac:dyDescent="0.2">
      <c r="A465" s="202" t="s">
        <v>1090</v>
      </c>
      <c r="B465" s="209" t="s">
        <v>507</v>
      </c>
      <c r="C465" s="209" t="s">
        <v>670</v>
      </c>
      <c r="D465" s="209" t="s">
        <v>1089</v>
      </c>
      <c r="E465" s="209"/>
      <c r="F465" s="215">
        <v>340</v>
      </c>
      <c r="G465" s="203">
        <v>0</v>
      </c>
      <c r="H465" s="215">
        <f>H466</f>
        <v>814.1</v>
      </c>
      <c r="I465" s="203">
        <f>I466</f>
        <v>0</v>
      </c>
      <c r="J465" s="216">
        <f t="shared" si="101"/>
        <v>474.1</v>
      </c>
      <c r="K465" s="204">
        <f t="shared" si="102"/>
        <v>0</v>
      </c>
    </row>
    <row r="466" spans="1:11" x14ac:dyDescent="0.2">
      <c r="A466" s="202" t="s">
        <v>1347</v>
      </c>
      <c r="B466" s="209" t="s">
        <v>507</v>
      </c>
      <c r="C466" s="209" t="s">
        <v>670</v>
      </c>
      <c r="D466" s="209" t="s">
        <v>1089</v>
      </c>
      <c r="E466" s="209" t="s">
        <v>535</v>
      </c>
      <c r="F466" s="215">
        <v>340</v>
      </c>
      <c r="G466" s="203">
        <v>0</v>
      </c>
      <c r="H466" s="215">
        <f>H467</f>
        <v>814.1</v>
      </c>
      <c r="I466" s="203">
        <f>I467</f>
        <v>0</v>
      </c>
      <c r="J466" s="216">
        <f t="shared" si="101"/>
        <v>474.1</v>
      </c>
      <c r="K466" s="204">
        <f t="shared" si="102"/>
        <v>0</v>
      </c>
    </row>
    <row r="467" spans="1:11" ht="22.5" x14ac:dyDescent="0.2">
      <c r="A467" s="202" t="s">
        <v>534</v>
      </c>
      <c r="B467" s="209" t="s">
        <v>507</v>
      </c>
      <c r="C467" s="209" t="s">
        <v>670</v>
      </c>
      <c r="D467" s="209" t="s">
        <v>1089</v>
      </c>
      <c r="E467" s="209" t="s">
        <v>529</v>
      </c>
      <c r="F467" s="215">
        <v>340</v>
      </c>
      <c r="G467" s="203">
        <v>0</v>
      </c>
      <c r="H467" s="215">
        <f>'Ведомственная 2020'!H424</f>
        <v>814.1</v>
      </c>
      <c r="I467" s="203">
        <v>0</v>
      </c>
      <c r="J467" s="216">
        <f t="shared" si="101"/>
        <v>474.1</v>
      </c>
      <c r="K467" s="204">
        <f t="shared" si="102"/>
        <v>0</v>
      </c>
    </row>
    <row r="468" spans="1:11" ht="22.5" x14ac:dyDescent="0.2">
      <c r="A468" s="202" t="s">
        <v>1088</v>
      </c>
      <c r="B468" s="209" t="s">
        <v>507</v>
      </c>
      <c r="C468" s="209" t="s">
        <v>670</v>
      </c>
      <c r="D468" s="209" t="s">
        <v>1087</v>
      </c>
      <c r="E468" s="209"/>
      <c r="F468" s="215">
        <v>1250</v>
      </c>
      <c r="G468" s="203">
        <v>0</v>
      </c>
      <c r="H468" s="215">
        <f>H469</f>
        <v>1250</v>
      </c>
      <c r="I468" s="203">
        <f>I469</f>
        <v>0</v>
      </c>
      <c r="J468" s="216">
        <f t="shared" si="101"/>
        <v>0</v>
      </c>
      <c r="K468" s="204">
        <f t="shared" si="102"/>
        <v>0</v>
      </c>
    </row>
    <row r="469" spans="1:11" ht="22.5" x14ac:dyDescent="0.2">
      <c r="A469" s="202" t="s">
        <v>547</v>
      </c>
      <c r="B469" s="209" t="s">
        <v>507</v>
      </c>
      <c r="C469" s="209" t="s">
        <v>670</v>
      </c>
      <c r="D469" s="209" t="s">
        <v>1087</v>
      </c>
      <c r="E469" s="209" t="s">
        <v>519</v>
      </c>
      <c r="F469" s="215">
        <v>1250</v>
      </c>
      <c r="G469" s="203">
        <v>0</v>
      </c>
      <c r="H469" s="215">
        <f>H470</f>
        <v>1250</v>
      </c>
      <c r="I469" s="203">
        <f>I470</f>
        <v>0</v>
      </c>
      <c r="J469" s="216">
        <f t="shared" si="101"/>
        <v>0</v>
      </c>
      <c r="K469" s="204">
        <f t="shared" si="102"/>
        <v>0</v>
      </c>
    </row>
    <row r="470" spans="1:11" x14ac:dyDescent="0.2">
      <c r="A470" s="202" t="s">
        <v>571</v>
      </c>
      <c r="B470" s="209" t="s">
        <v>507</v>
      </c>
      <c r="C470" s="209" t="s">
        <v>670</v>
      </c>
      <c r="D470" s="209" t="s">
        <v>1087</v>
      </c>
      <c r="E470" s="209" t="s">
        <v>522</v>
      </c>
      <c r="F470" s="215">
        <v>1250</v>
      </c>
      <c r="G470" s="203">
        <v>0</v>
      </c>
      <c r="H470" s="215">
        <f>'Ведомственная 2020'!H427</f>
        <v>1250</v>
      </c>
      <c r="I470" s="203">
        <v>0</v>
      </c>
      <c r="J470" s="216">
        <f t="shared" si="101"/>
        <v>0</v>
      </c>
      <c r="K470" s="204">
        <f t="shared" si="102"/>
        <v>0</v>
      </c>
    </row>
    <row r="471" spans="1:11" s="386" customFormat="1" ht="22.5" x14ac:dyDescent="0.2">
      <c r="A471" s="202" t="s">
        <v>1522</v>
      </c>
      <c r="B471" s="209" t="s">
        <v>507</v>
      </c>
      <c r="C471" s="209" t="s">
        <v>670</v>
      </c>
      <c r="D471" s="209" t="s">
        <v>1523</v>
      </c>
      <c r="E471" s="209"/>
      <c r="F471" s="215">
        <v>100</v>
      </c>
      <c r="G471" s="203">
        <v>0</v>
      </c>
      <c r="H471" s="215">
        <f t="shared" ref="H471:I472" si="103">H472</f>
        <v>100</v>
      </c>
      <c r="I471" s="203">
        <f t="shared" si="103"/>
        <v>0</v>
      </c>
      <c r="J471" s="216">
        <f t="shared" ref="J471:J473" si="104">H471-F471</f>
        <v>0</v>
      </c>
      <c r="K471" s="204">
        <f t="shared" ref="K471:K473" si="105">I471-G471</f>
        <v>0</v>
      </c>
    </row>
    <row r="472" spans="1:11" s="386" customFormat="1" x14ac:dyDescent="0.2">
      <c r="A472" s="202" t="s">
        <v>1347</v>
      </c>
      <c r="B472" s="209" t="s">
        <v>507</v>
      </c>
      <c r="C472" s="209" t="s">
        <v>670</v>
      </c>
      <c r="D472" s="209" t="s">
        <v>1523</v>
      </c>
      <c r="E472" s="209" t="s">
        <v>535</v>
      </c>
      <c r="F472" s="215">
        <v>100</v>
      </c>
      <c r="G472" s="203">
        <v>0</v>
      </c>
      <c r="H472" s="215">
        <f t="shared" si="103"/>
        <v>100</v>
      </c>
      <c r="I472" s="203">
        <f t="shared" si="103"/>
        <v>0</v>
      </c>
      <c r="J472" s="216">
        <f t="shared" si="104"/>
        <v>0</v>
      </c>
      <c r="K472" s="204">
        <f t="shared" si="105"/>
        <v>0</v>
      </c>
    </row>
    <row r="473" spans="1:11" s="386" customFormat="1" ht="22.5" x14ac:dyDescent="0.2">
      <c r="A473" s="202" t="s">
        <v>534</v>
      </c>
      <c r="B473" s="209" t="s">
        <v>507</v>
      </c>
      <c r="C473" s="209" t="s">
        <v>670</v>
      </c>
      <c r="D473" s="209" t="s">
        <v>1523</v>
      </c>
      <c r="E473" s="209" t="s">
        <v>529</v>
      </c>
      <c r="F473" s="215">
        <v>100</v>
      </c>
      <c r="G473" s="203">
        <v>0</v>
      </c>
      <c r="H473" s="215">
        <f>'Ведомственная 2020'!H430</f>
        <v>100</v>
      </c>
      <c r="I473" s="203">
        <v>0</v>
      </c>
      <c r="J473" s="216">
        <f t="shared" si="104"/>
        <v>0</v>
      </c>
      <c r="K473" s="204">
        <f t="shared" si="105"/>
        <v>0</v>
      </c>
    </row>
    <row r="474" spans="1:11" s="436" customFormat="1" ht="33.75" x14ac:dyDescent="0.2">
      <c r="A474" s="202" t="s">
        <v>1735</v>
      </c>
      <c r="B474" s="209" t="s">
        <v>507</v>
      </c>
      <c r="C474" s="209" t="s">
        <v>670</v>
      </c>
      <c r="D474" s="209" t="s">
        <v>1642</v>
      </c>
      <c r="E474" s="209"/>
      <c r="F474" s="215">
        <f>F475</f>
        <v>0</v>
      </c>
      <c r="G474" s="203">
        <f t="shared" ref="G474:I475" si="106">G475</f>
        <v>0</v>
      </c>
      <c r="H474" s="215">
        <f t="shared" si="106"/>
        <v>1803.5</v>
      </c>
      <c r="I474" s="203">
        <f t="shared" si="106"/>
        <v>0</v>
      </c>
      <c r="J474" s="216">
        <f t="shared" ref="J474:J476" si="107">H474-F474</f>
        <v>1803.5</v>
      </c>
      <c r="K474" s="204">
        <f t="shared" ref="K474:K476" si="108">I474-G474</f>
        <v>0</v>
      </c>
    </row>
    <row r="475" spans="1:11" s="436" customFormat="1" x14ac:dyDescent="0.2">
      <c r="A475" s="202" t="s">
        <v>1347</v>
      </c>
      <c r="B475" s="209" t="s">
        <v>507</v>
      </c>
      <c r="C475" s="209" t="s">
        <v>670</v>
      </c>
      <c r="D475" s="209" t="s">
        <v>1642</v>
      </c>
      <c r="E475" s="209" t="s">
        <v>535</v>
      </c>
      <c r="F475" s="215">
        <f>F476</f>
        <v>0</v>
      </c>
      <c r="G475" s="203">
        <f t="shared" si="106"/>
        <v>0</v>
      </c>
      <c r="H475" s="215">
        <f t="shared" si="106"/>
        <v>1803.5</v>
      </c>
      <c r="I475" s="203">
        <f t="shared" si="106"/>
        <v>0</v>
      </c>
      <c r="J475" s="216">
        <f t="shared" si="107"/>
        <v>1803.5</v>
      </c>
      <c r="K475" s="204">
        <f t="shared" si="108"/>
        <v>0</v>
      </c>
    </row>
    <row r="476" spans="1:11" s="436" customFormat="1" ht="22.5" x14ac:dyDescent="0.2">
      <c r="A476" s="202" t="s">
        <v>534</v>
      </c>
      <c r="B476" s="209" t="s">
        <v>507</v>
      </c>
      <c r="C476" s="209" t="s">
        <v>670</v>
      </c>
      <c r="D476" s="209" t="s">
        <v>1642</v>
      </c>
      <c r="E476" s="209" t="s">
        <v>529</v>
      </c>
      <c r="F476" s="215">
        <v>0</v>
      </c>
      <c r="G476" s="203">
        <v>0</v>
      </c>
      <c r="H476" s="215">
        <f>'Ведомственная 2020'!H433</f>
        <v>1803.5</v>
      </c>
      <c r="I476" s="203">
        <v>0</v>
      </c>
      <c r="J476" s="216">
        <f t="shared" si="107"/>
        <v>1803.5</v>
      </c>
      <c r="K476" s="204">
        <f t="shared" si="108"/>
        <v>0</v>
      </c>
    </row>
    <row r="477" spans="1:11" s="386" customFormat="1" ht="33.75" x14ac:dyDescent="0.2">
      <c r="A477" s="202" t="s">
        <v>1520</v>
      </c>
      <c r="B477" s="209" t="s">
        <v>507</v>
      </c>
      <c r="C477" s="209" t="s">
        <v>670</v>
      </c>
      <c r="D477" s="209" t="s">
        <v>1521</v>
      </c>
      <c r="E477" s="209"/>
      <c r="F477" s="215">
        <v>690</v>
      </c>
      <c r="G477" s="203">
        <v>0</v>
      </c>
      <c r="H477" s="215">
        <f t="shared" ref="H477:I478" si="109">H478</f>
        <v>690</v>
      </c>
      <c r="I477" s="203">
        <f t="shared" si="109"/>
        <v>0</v>
      </c>
      <c r="J477" s="216">
        <f t="shared" ref="J477:J479" si="110">H477-F477</f>
        <v>0</v>
      </c>
      <c r="K477" s="204">
        <f t="shared" ref="K477:K479" si="111">I477-G477</f>
        <v>0</v>
      </c>
    </row>
    <row r="478" spans="1:11" s="386" customFormat="1" x14ac:dyDescent="0.2">
      <c r="A478" s="202" t="s">
        <v>1347</v>
      </c>
      <c r="B478" s="209" t="s">
        <v>507</v>
      </c>
      <c r="C478" s="209" t="s">
        <v>670</v>
      </c>
      <c r="D478" s="209" t="s">
        <v>1521</v>
      </c>
      <c r="E478" s="209" t="s">
        <v>535</v>
      </c>
      <c r="F478" s="215">
        <v>690</v>
      </c>
      <c r="G478" s="203">
        <v>0</v>
      </c>
      <c r="H478" s="215">
        <f t="shared" si="109"/>
        <v>690</v>
      </c>
      <c r="I478" s="203">
        <f t="shared" si="109"/>
        <v>0</v>
      </c>
      <c r="J478" s="216">
        <f t="shared" si="110"/>
        <v>0</v>
      </c>
      <c r="K478" s="204">
        <f t="shared" si="111"/>
        <v>0</v>
      </c>
    </row>
    <row r="479" spans="1:11" s="386" customFormat="1" ht="22.5" x14ac:dyDescent="0.2">
      <c r="A479" s="202" t="s">
        <v>534</v>
      </c>
      <c r="B479" s="209" t="s">
        <v>507</v>
      </c>
      <c r="C479" s="209" t="s">
        <v>670</v>
      </c>
      <c r="D479" s="209" t="s">
        <v>1521</v>
      </c>
      <c r="E479" s="209" t="s">
        <v>529</v>
      </c>
      <c r="F479" s="215">
        <v>690</v>
      </c>
      <c r="G479" s="203">
        <v>0</v>
      </c>
      <c r="H479" s="215">
        <f>'Ведомственная 2020'!H436</f>
        <v>690</v>
      </c>
      <c r="I479" s="203">
        <v>0</v>
      </c>
      <c r="J479" s="216">
        <f t="shared" si="110"/>
        <v>0</v>
      </c>
      <c r="K479" s="204">
        <f t="shared" si="111"/>
        <v>0</v>
      </c>
    </row>
    <row r="480" spans="1:11" ht="22.5" x14ac:dyDescent="0.2">
      <c r="A480" s="202" t="s">
        <v>1086</v>
      </c>
      <c r="B480" s="209" t="s">
        <v>507</v>
      </c>
      <c r="C480" s="209" t="s">
        <v>670</v>
      </c>
      <c r="D480" s="209" t="s">
        <v>1085</v>
      </c>
      <c r="E480" s="209"/>
      <c r="F480" s="215">
        <v>10399</v>
      </c>
      <c r="G480" s="203">
        <v>0</v>
      </c>
      <c r="H480" s="215">
        <f>H481</f>
        <v>7219.5</v>
      </c>
      <c r="I480" s="203">
        <f>I481</f>
        <v>0</v>
      </c>
      <c r="J480" s="216">
        <f t="shared" si="101"/>
        <v>-3179.5</v>
      </c>
      <c r="K480" s="204">
        <f t="shared" si="102"/>
        <v>0</v>
      </c>
    </row>
    <row r="481" spans="1:11" x14ac:dyDescent="0.2">
      <c r="A481" s="202" t="s">
        <v>1347</v>
      </c>
      <c r="B481" s="209" t="s">
        <v>507</v>
      </c>
      <c r="C481" s="209" t="s">
        <v>670</v>
      </c>
      <c r="D481" s="209" t="s">
        <v>1085</v>
      </c>
      <c r="E481" s="209" t="s">
        <v>535</v>
      </c>
      <c r="F481" s="215">
        <v>10399</v>
      </c>
      <c r="G481" s="203">
        <v>0</v>
      </c>
      <c r="H481" s="215">
        <f>H482</f>
        <v>7219.5</v>
      </c>
      <c r="I481" s="203">
        <f>I482</f>
        <v>0</v>
      </c>
      <c r="J481" s="216">
        <f t="shared" si="101"/>
        <v>-3179.5</v>
      </c>
      <c r="K481" s="204">
        <f t="shared" si="102"/>
        <v>0</v>
      </c>
    </row>
    <row r="482" spans="1:11" ht="22.5" x14ac:dyDescent="0.2">
      <c r="A482" s="202" t="s">
        <v>534</v>
      </c>
      <c r="B482" s="209" t="s">
        <v>507</v>
      </c>
      <c r="C482" s="209" t="s">
        <v>670</v>
      </c>
      <c r="D482" s="209" t="s">
        <v>1085</v>
      </c>
      <c r="E482" s="209" t="s">
        <v>529</v>
      </c>
      <c r="F482" s="215">
        <v>10399</v>
      </c>
      <c r="G482" s="203">
        <v>0</v>
      </c>
      <c r="H482" s="215">
        <f>'Ведомственная 2020'!H439</f>
        <v>7219.5</v>
      </c>
      <c r="I482" s="203">
        <v>0</v>
      </c>
      <c r="J482" s="216">
        <f t="shared" si="101"/>
        <v>-3179.5</v>
      </c>
      <c r="K482" s="204">
        <f t="shared" si="102"/>
        <v>0</v>
      </c>
    </row>
    <row r="483" spans="1:11" ht="22.5" x14ac:dyDescent="0.2">
      <c r="A483" s="202" t="s">
        <v>1084</v>
      </c>
      <c r="B483" s="209" t="s">
        <v>507</v>
      </c>
      <c r="C483" s="209" t="s">
        <v>670</v>
      </c>
      <c r="D483" s="209" t="s">
        <v>1083</v>
      </c>
      <c r="E483" s="209"/>
      <c r="F483" s="215">
        <v>55457</v>
      </c>
      <c r="G483" s="203">
        <v>0</v>
      </c>
      <c r="H483" s="215">
        <f>H484</f>
        <v>46080.9</v>
      </c>
      <c r="I483" s="203">
        <f>I484</f>
        <v>0</v>
      </c>
      <c r="J483" s="216">
        <f t="shared" si="101"/>
        <v>-9376.0999999999985</v>
      </c>
      <c r="K483" s="204">
        <f t="shared" si="102"/>
        <v>0</v>
      </c>
    </row>
    <row r="484" spans="1:11" x14ac:dyDescent="0.2">
      <c r="A484" s="202" t="s">
        <v>1347</v>
      </c>
      <c r="B484" s="209" t="s">
        <v>507</v>
      </c>
      <c r="C484" s="209" t="s">
        <v>670</v>
      </c>
      <c r="D484" s="209" t="s">
        <v>1083</v>
      </c>
      <c r="E484" s="209" t="s">
        <v>535</v>
      </c>
      <c r="F484" s="215">
        <v>55457</v>
      </c>
      <c r="G484" s="203">
        <v>0</v>
      </c>
      <c r="H484" s="215">
        <f>H485</f>
        <v>46080.9</v>
      </c>
      <c r="I484" s="203">
        <f>I485</f>
        <v>0</v>
      </c>
      <c r="J484" s="216">
        <f t="shared" si="101"/>
        <v>-9376.0999999999985</v>
      </c>
      <c r="K484" s="204">
        <f t="shared" si="102"/>
        <v>0</v>
      </c>
    </row>
    <row r="485" spans="1:11" ht="22.5" x14ac:dyDescent="0.2">
      <c r="A485" s="202" t="s">
        <v>534</v>
      </c>
      <c r="B485" s="209" t="s">
        <v>507</v>
      </c>
      <c r="C485" s="209" t="s">
        <v>670</v>
      </c>
      <c r="D485" s="209" t="s">
        <v>1083</v>
      </c>
      <c r="E485" s="209" t="s">
        <v>529</v>
      </c>
      <c r="F485" s="215">
        <v>55457</v>
      </c>
      <c r="G485" s="203">
        <v>0</v>
      </c>
      <c r="H485" s="215">
        <f>'Ведомственная 2020'!H442</f>
        <v>46080.9</v>
      </c>
      <c r="I485" s="203">
        <v>0</v>
      </c>
      <c r="J485" s="216">
        <f t="shared" si="101"/>
        <v>-9376.0999999999985</v>
      </c>
      <c r="K485" s="204">
        <f t="shared" si="102"/>
        <v>0</v>
      </c>
    </row>
    <row r="486" spans="1:11" ht="22.5" x14ac:dyDescent="0.2">
      <c r="A486" s="202" t="s">
        <v>1082</v>
      </c>
      <c r="B486" s="209" t="s">
        <v>507</v>
      </c>
      <c r="C486" s="209" t="s">
        <v>670</v>
      </c>
      <c r="D486" s="209" t="s">
        <v>1081</v>
      </c>
      <c r="E486" s="209"/>
      <c r="F486" s="215">
        <v>15418</v>
      </c>
      <c r="G486" s="203">
        <v>0</v>
      </c>
      <c r="H486" s="215">
        <f>H487</f>
        <v>13119.6</v>
      </c>
      <c r="I486" s="203">
        <f>I487</f>
        <v>0</v>
      </c>
      <c r="J486" s="216">
        <f t="shared" si="101"/>
        <v>-2298.3999999999996</v>
      </c>
      <c r="K486" s="204">
        <f t="shared" si="102"/>
        <v>0</v>
      </c>
    </row>
    <row r="487" spans="1:11" x14ac:dyDescent="0.2">
      <c r="A487" s="202" t="s">
        <v>1347</v>
      </c>
      <c r="B487" s="209" t="s">
        <v>507</v>
      </c>
      <c r="C487" s="209" t="s">
        <v>670</v>
      </c>
      <c r="D487" s="209" t="s">
        <v>1081</v>
      </c>
      <c r="E487" s="209" t="s">
        <v>535</v>
      </c>
      <c r="F487" s="215">
        <v>15418</v>
      </c>
      <c r="G487" s="203">
        <v>0</v>
      </c>
      <c r="H487" s="215">
        <f>H488</f>
        <v>13119.6</v>
      </c>
      <c r="I487" s="203">
        <f>I488</f>
        <v>0</v>
      </c>
      <c r="J487" s="216">
        <f t="shared" si="101"/>
        <v>-2298.3999999999996</v>
      </c>
      <c r="K487" s="204">
        <f t="shared" si="102"/>
        <v>0</v>
      </c>
    </row>
    <row r="488" spans="1:11" ht="22.5" x14ac:dyDescent="0.2">
      <c r="A488" s="202" t="s">
        <v>534</v>
      </c>
      <c r="B488" s="209" t="s">
        <v>507</v>
      </c>
      <c r="C488" s="209" t="s">
        <v>670</v>
      </c>
      <c r="D488" s="209" t="s">
        <v>1081</v>
      </c>
      <c r="E488" s="209" t="s">
        <v>529</v>
      </c>
      <c r="F488" s="215">
        <v>15418</v>
      </c>
      <c r="G488" s="203">
        <v>0</v>
      </c>
      <c r="H488" s="215">
        <f>'Ведомственная 2020'!H445</f>
        <v>13119.6</v>
      </c>
      <c r="I488" s="203">
        <v>0</v>
      </c>
      <c r="J488" s="216">
        <f t="shared" si="101"/>
        <v>-2298.3999999999996</v>
      </c>
      <c r="K488" s="204">
        <f t="shared" si="102"/>
        <v>0</v>
      </c>
    </row>
    <row r="489" spans="1:11" s="424" customFormat="1" x14ac:dyDescent="0.2">
      <c r="A489" s="202" t="s">
        <v>986</v>
      </c>
      <c r="B489" s="209" t="s">
        <v>507</v>
      </c>
      <c r="C489" s="209" t="s">
        <v>670</v>
      </c>
      <c r="D489" s="209" t="s">
        <v>985</v>
      </c>
      <c r="E489" s="209"/>
      <c r="F489" s="215">
        <f>F490</f>
        <v>0</v>
      </c>
      <c r="G489" s="203">
        <f t="shared" ref="G489:I493" si="112">G490</f>
        <v>0</v>
      </c>
      <c r="H489" s="215">
        <f t="shared" si="112"/>
        <v>8130.1</v>
      </c>
      <c r="I489" s="203">
        <f t="shared" si="112"/>
        <v>0</v>
      </c>
      <c r="J489" s="216">
        <f t="shared" ref="J489:J494" si="113">H489-F489</f>
        <v>8130.1</v>
      </c>
      <c r="K489" s="204">
        <f t="shared" ref="K489:K494" si="114">I489-G489</f>
        <v>0</v>
      </c>
    </row>
    <row r="490" spans="1:11" s="424" customFormat="1" x14ac:dyDescent="0.2">
      <c r="A490" s="202" t="s">
        <v>984</v>
      </c>
      <c r="B490" s="209" t="s">
        <v>507</v>
      </c>
      <c r="C490" s="209" t="s">
        <v>670</v>
      </c>
      <c r="D490" s="209" t="s">
        <v>983</v>
      </c>
      <c r="E490" s="209"/>
      <c r="F490" s="215">
        <f>F491</f>
        <v>0</v>
      </c>
      <c r="G490" s="203">
        <f t="shared" si="112"/>
        <v>0</v>
      </c>
      <c r="H490" s="215">
        <f t="shared" si="112"/>
        <v>8130.1</v>
      </c>
      <c r="I490" s="203">
        <f t="shared" si="112"/>
        <v>0</v>
      </c>
      <c r="J490" s="216">
        <f t="shared" si="113"/>
        <v>8130.1</v>
      </c>
      <c r="K490" s="204">
        <f t="shared" si="114"/>
        <v>0</v>
      </c>
    </row>
    <row r="491" spans="1:11" s="424" customFormat="1" x14ac:dyDescent="0.2">
      <c r="A491" s="202" t="s">
        <v>978</v>
      </c>
      <c r="B491" s="209" t="s">
        <v>507</v>
      </c>
      <c r="C491" s="209" t="s">
        <v>670</v>
      </c>
      <c r="D491" s="209" t="s">
        <v>977</v>
      </c>
      <c r="E491" s="209"/>
      <c r="F491" s="215">
        <f>F492</f>
        <v>0</v>
      </c>
      <c r="G491" s="203">
        <f t="shared" si="112"/>
        <v>0</v>
      </c>
      <c r="H491" s="215">
        <f t="shared" si="112"/>
        <v>8130.1</v>
      </c>
      <c r="I491" s="203">
        <f t="shared" si="112"/>
        <v>0</v>
      </c>
      <c r="J491" s="216">
        <f t="shared" si="113"/>
        <v>8130.1</v>
      </c>
      <c r="K491" s="204">
        <f t="shared" si="114"/>
        <v>0</v>
      </c>
    </row>
    <row r="492" spans="1:11" s="424" customFormat="1" x14ac:dyDescent="0.2">
      <c r="A492" s="202" t="s">
        <v>1622</v>
      </c>
      <c r="B492" s="209" t="s">
        <v>507</v>
      </c>
      <c r="C492" s="209" t="s">
        <v>670</v>
      </c>
      <c r="D492" s="209" t="s">
        <v>1623</v>
      </c>
      <c r="E492" s="209"/>
      <c r="F492" s="215">
        <f>F493</f>
        <v>0</v>
      </c>
      <c r="G492" s="203">
        <f t="shared" si="112"/>
        <v>0</v>
      </c>
      <c r="H492" s="215">
        <f t="shared" si="112"/>
        <v>8130.1</v>
      </c>
      <c r="I492" s="203">
        <f t="shared" si="112"/>
        <v>0</v>
      </c>
      <c r="J492" s="216">
        <f t="shared" si="113"/>
        <v>8130.1</v>
      </c>
      <c r="K492" s="204">
        <f t="shared" si="114"/>
        <v>0</v>
      </c>
    </row>
    <row r="493" spans="1:11" s="424" customFormat="1" x14ac:dyDescent="0.2">
      <c r="A493" s="202" t="s">
        <v>1347</v>
      </c>
      <c r="B493" s="209" t="s">
        <v>507</v>
      </c>
      <c r="C493" s="209" t="s">
        <v>670</v>
      </c>
      <c r="D493" s="209" t="s">
        <v>1623</v>
      </c>
      <c r="E493" s="209" t="s">
        <v>535</v>
      </c>
      <c r="F493" s="215">
        <f>F494</f>
        <v>0</v>
      </c>
      <c r="G493" s="203">
        <f t="shared" si="112"/>
        <v>0</v>
      </c>
      <c r="H493" s="215">
        <f t="shared" si="112"/>
        <v>8130.1</v>
      </c>
      <c r="I493" s="203">
        <f t="shared" si="112"/>
        <v>0</v>
      </c>
      <c r="J493" s="216">
        <f t="shared" si="113"/>
        <v>8130.1</v>
      </c>
      <c r="K493" s="204">
        <f t="shared" si="114"/>
        <v>0</v>
      </c>
    </row>
    <row r="494" spans="1:11" s="424" customFormat="1" ht="22.5" x14ac:dyDescent="0.2">
      <c r="A494" s="202" t="s">
        <v>534</v>
      </c>
      <c r="B494" s="209" t="s">
        <v>507</v>
      </c>
      <c r="C494" s="209" t="s">
        <v>670</v>
      </c>
      <c r="D494" s="209" t="s">
        <v>1623</v>
      </c>
      <c r="E494" s="209" t="s">
        <v>529</v>
      </c>
      <c r="F494" s="215">
        <v>0</v>
      </c>
      <c r="G494" s="203">
        <v>0</v>
      </c>
      <c r="H494" s="215">
        <f>'Ведомственная 2020'!H451</f>
        <v>8130.1</v>
      </c>
      <c r="I494" s="203">
        <v>0</v>
      </c>
      <c r="J494" s="216">
        <f t="shared" si="113"/>
        <v>8130.1</v>
      </c>
      <c r="K494" s="204">
        <f t="shared" si="114"/>
        <v>0</v>
      </c>
    </row>
    <row r="495" spans="1:11" x14ac:dyDescent="0.2">
      <c r="A495" s="202" t="s">
        <v>743</v>
      </c>
      <c r="B495" s="209" t="s">
        <v>507</v>
      </c>
      <c r="C495" s="209" t="s">
        <v>657</v>
      </c>
      <c r="D495" s="209"/>
      <c r="E495" s="209"/>
      <c r="F495" s="215">
        <v>90651.1</v>
      </c>
      <c r="G495" s="203">
        <v>0</v>
      </c>
      <c r="H495" s="215">
        <f>H496</f>
        <v>58393.1</v>
      </c>
      <c r="I495" s="203">
        <f>I496</f>
        <v>0</v>
      </c>
      <c r="J495" s="216">
        <f t="shared" si="101"/>
        <v>-32258.000000000007</v>
      </c>
      <c r="K495" s="204">
        <f t="shared" si="102"/>
        <v>0</v>
      </c>
    </row>
    <row r="496" spans="1:11" x14ac:dyDescent="0.2">
      <c r="A496" s="202" t="s">
        <v>742</v>
      </c>
      <c r="B496" s="209" t="s">
        <v>507</v>
      </c>
      <c r="C496" s="209" t="s">
        <v>657</v>
      </c>
      <c r="D496" s="209" t="s">
        <v>741</v>
      </c>
      <c r="E496" s="209"/>
      <c r="F496" s="215">
        <v>90651.1</v>
      </c>
      <c r="G496" s="203">
        <v>0</v>
      </c>
      <c r="H496" s="215">
        <f>H497</f>
        <v>58393.1</v>
      </c>
      <c r="I496" s="203">
        <f>I497</f>
        <v>0</v>
      </c>
      <c r="J496" s="216">
        <f t="shared" si="101"/>
        <v>-32258.000000000007</v>
      </c>
      <c r="K496" s="204">
        <f t="shared" si="102"/>
        <v>0</v>
      </c>
    </row>
    <row r="497" spans="1:11" ht="22.5" x14ac:dyDescent="0.2">
      <c r="A497" s="202" t="s">
        <v>740</v>
      </c>
      <c r="B497" s="209" t="s">
        <v>507</v>
      </c>
      <c r="C497" s="209" t="s">
        <v>657</v>
      </c>
      <c r="D497" s="209" t="s">
        <v>739</v>
      </c>
      <c r="E497" s="209"/>
      <c r="F497" s="215">
        <v>90651.1</v>
      </c>
      <c r="G497" s="203">
        <v>0</v>
      </c>
      <c r="H497" s="215">
        <f>H498+H502+H506+H513+H517</f>
        <v>58393.1</v>
      </c>
      <c r="I497" s="203">
        <f>I498+I502+I506+I513+I517</f>
        <v>0</v>
      </c>
      <c r="J497" s="216">
        <f t="shared" si="101"/>
        <v>-32258.000000000007</v>
      </c>
      <c r="K497" s="204">
        <f t="shared" si="102"/>
        <v>0</v>
      </c>
    </row>
    <row r="498" spans="1:11" x14ac:dyDescent="0.2">
      <c r="A498" s="202" t="s">
        <v>786</v>
      </c>
      <c r="B498" s="209" t="s">
        <v>507</v>
      </c>
      <c r="C498" s="209" t="s">
        <v>657</v>
      </c>
      <c r="D498" s="209" t="s">
        <v>785</v>
      </c>
      <c r="E498" s="209"/>
      <c r="F498" s="215">
        <v>14818</v>
      </c>
      <c r="G498" s="203">
        <v>0</v>
      </c>
      <c r="H498" s="215">
        <f t="shared" ref="H498:I500" si="115">H499</f>
        <v>14818</v>
      </c>
      <c r="I498" s="203">
        <f t="shared" si="115"/>
        <v>0</v>
      </c>
      <c r="J498" s="216">
        <f t="shared" si="101"/>
        <v>0</v>
      </c>
      <c r="K498" s="204">
        <f t="shared" si="102"/>
        <v>0</v>
      </c>
    </row>
    <row r="499" spans="1:11" x14ac:dyDescent="0.2">
      <c r="A499" s="202" t="s">
        <v>1080</v>
      </c>
      <c r="B499" s="209" t="s">
        <v>507</v>
      </c>
      <c r="C499" s="209" t="s">
        <v>657</v>
      </c>
      <c r="D499" s="209" t="s">
        <v>1079</v>
      </c>
      <c r="E499" s="209"/>
      <c r="F499" s="215">
        <v>14818</v>
      </c>
      <c r="G499" s="203">
        <v>0</v>
      </c>
      <c r="H499" s="215">
        <f t="shared" si="115"/>
        <v>14818</v>
      </c>
      <c r="I499" s="203">
        <f t="shared" si="115"/>
        <v>0</v>
      </c>
      <c r="J499" s="216">
        <f t="shared" si="101"/>
        <v>0</v>
      </c>
      <c r="K499" s="204">
        <f t="shared" si="102"/>
        <v>0</v>
      </c>
    </row>
    <row r="500" spans="1:11" x14ac:dyDescent="0.2">
      <c r="A500" s="202" t="s">
        <v>1347</v>
      </c>
      <c r="B500" s="209" t="s">
        <v>507</v>
      </c>
      <c r="C500" s="209" t="s">
        <v>657</v>
      </c>
      <c r="D500" s="209" t="s">
        <v>1079</v>
      </c>
      <c r="E500" s="209" t="s">
        <v>535</v>
      </c>
      <c r="F500" s="215">
        <v>14818</v>
      </c>
      <c r="G500" s="203">
        <v>0</v>
      </c>
      <c r="H500" s="215">
        <f t="shared" si="115"/>
        <v>14818</v>
      </c>
      <c r="I500" s="203">
        <f t="shared" si="115"/>
        <v>0</v>
      </c>
      <c r="J500" s="216">
        <f t="shared" si="101"/>
        <v>0</v>
      </c>
      <c r="K500" s="204">
        <f t="shared" si="102"/>
        <v>0</v>
      </c>
    </row>
    <row r="501" spans="1:11" ht="22.5" x14ac:dyDescent="0.2">
      <c r="A501" s="202" t="s">
        <v>534</v>
      </c>
      <c r="B501" s="209" t="s">
        <v>507</v>
      </c>
      <c r="C501" s="209" t="s">
        <v>657</v>
      </c>
      <c r="D501" s="209" t="s">
        <v>1079</v>
      </c>
      <c r="E501" s="209" t="s">
        <v>529</v>
      </c>
      <c r="F501" s="215">
        <v>14818</v>
      </c>
      <c r="G501" s="203">
        <v>0</v>
      </c>
      <c r="H501" s="215">
        <f>'Ведомственная 2020'!H458</f>
        <v>14818</v>
      </c>
      <c r="I501" s="203">
        <v>0</v>
      </c>
      <c r="J501" s="216">
        <f t="shared" si="101"/>
        <v>0</v>
      </c>
      <c r="K501" s="204">
        <f t="shared" si="102"/>
        <v>0</v>
      </c>
    </row>
    <row r="502" spans="1:11" x14ac:dyDescent="0.2">
      <c r="A502" s="202" t="s">
        <v>1078</v>
      </c>
      <c r="B502" s="209" t="s">
        <v>507</v>
      </c>
      <c r="C502" s="209" t="s">
        <v>657</v>
      </c>
      <c r="D502" s="209" t="s">
        <v>1077</v>
      </c>
      <c r="E502" s="209"/>
      <c r="F502" s="215">
        <v>850</v>
      </c>
      <c r="G502" s="203">
        <v>0</v>
      </c>
      <c r="H502" s="215">
        <f t="shared" ref="H502:I504" si="116">H503</f>
        <v>850</v>
      </c>
      <c r="I502" s="203">
        <f t="shared" si="116"/>
        <v>0</v>
      </c>
      <c r="J502" s="216">
        <f t="shared" si="101"/>
        <v>0</v>
      </c>
      <c r="K502" s="204">
        <f t="shared" si="102"/>
        <v>0</v>
      </c>
    </row>
    <row r="503" spans="1:11" x14ac:dyDescent="0.2">
      <c r="A503" s="202" t="s">
        <v>1076</v>
      </c>
      <c r="B503" s="209" t="s">
        <v>507</v>
      </c>
      <c r="C503" s="209" t="s">
        <v>657</v>
      </c>
      <c r="D503" s="209" t="s">
        <v>1075</v>
      </c>
      <c r="E503" s="209"/>
      <c r="F503" s="215">
        <v>850</v>
      </c>
      <c r="G503" s="203">
        <v>0</v>
      </c>
      <c r="H503" s="215">
        <f t="shared" si="116"/>
        <v>850</v>
      </c>
      <c r="I503" s="203">
        <f t="shared" si="116"/>
        <v>0</v>
      </c>
      <c r="J503" s="216">
        <f t="shared" si="101"/>
        <v>0</v>
      </c>
      <c r="K503" s="204">
        <f t="shared" si="102"/>
        <v>0</v>
      </c>
    </row>
    <row r="504" spans="1:11" x14ac:dyDescent="0.2">
      <c r="A504" s="202" t="s">
        <v>1347</v>
      </c>
      <c r="B504" s="209" t="s">
        <v>507</v>
      </c>
      <c r="C504" s="209" t="s">
        <v>657</v>
      </c>
      <c r="D504" s="209" t="s">
        <v>1075</v>
      </c>
      <c r="E504" s="209" t="s">
        <v>535</v>
      </c>
      <c r="F504" s="215">
        <v>850</v>
      </c>
      <c r="G504" s="203">
        <v>0</v>
      </c>
      <c r="H504" s="215">
        <f t="shared" si="116"/>
        <v>850</v>
      </c>
      <c r="I504" s="203">
        <f t="shared" si="116"/>
        <v>0</v>
      </c>
      <c r="J504" s="216">
        <f t="shared" si="101"/>
        <v>0</v>
      </c>
      <c r="K504" s="204">
        <f t="shared" si="102"/>
        <v>0</v>
      </c>
    </row>
    <row r="505" spans="1:11" ht="22.5" x14ac:dyDescent="0.2">
      <c r="A505" s="202" t="s">
        <v>534</v>
      </c>
      <c r="B505" s="209" t="s">
        <v>507</v>
      </c>
      <c r="C505" s="209" t="s">
        <v>657</v>
      </c>
      <c r="D505" s="209" t="s">
        <v>1075</v>
      </c>
      <c r="E505" s="209" t="s">
        <v>529</v>
      </c>
      <c r="F505" s="215">
        <v>850</v>
      </c>
      <c r="G505" s="203">
        <v>0</v>
      </c>
      <c r="H505" s="215">
        <f>'Ведомственная 2020'!H462</f>
        <v>850</v>
      </c>
      <c r="I505" s="203">
        <v>0</v>
      </c>
      <c r="J505" s="216">
        <f t="shared" si="101"/>
        <v>0</v>
      </c>
      <c r="K505" s="204">
        <f t="shared" si="102"/>
        <v>0</v>
      </c>
    </row>
    <row r="506" spans="1:11" x14ac:dyDescent="0.2">
      <c r="A506" s="202" t="s">
        <v>1074</v>
      </c>
      <c r="B506" s="209" t="s">
        <v>507</v>
      </c>
      <c r="C506" s="209" t="s">
        <v>657</v>
      </c>
      <c r="D506" s="209" t="s">
        <v>1073</v>
      </c>
      <c r="E506" s="209"/>
      <c r="F506" s="215">
        <v>19829.2</v>
      </c>
      <c r="G506" s="203">
        <v>0</v>
      </c>
      <c r="H506" s="215">
        <f>H507+H510</f>
        <v>19829.2</v>
      </c>
      <c r="I506" s="203">
        <f>I507+I510</f>
        <v>0</v>
      </c>
      <c r="J506" s="216">
        <f t="shared" si="101"/>
        <v>0</v>
      </c>
      <c r="K506" s="204">
        <f t="shared" si="102"/>
        <v>0</v>
      </c>
    </row>
    <row r="507" spans="1:11" x14ac:dyDescent="0.2">
      <c r="A507" s="202" t="s">
        <v>1072</v>
      </c>
      <c r="B507" s="209" t="s">
        <v>507</v>
      </c>
      <c r="C507" s="209" t="s">
        <v>657</v>
      </c>
      <c r="D507" s="209" t="s">
        <v>1071</v>
      </c>
      <c r="E507" s="209"/>
      <c r="F507" s="215">
        <v>5781.4</v>
      </c>
      <c r="G507" s="203">
        <v>0</v>
      </c>
      <c r="H507" s="215">
        <f>H508</f>
        <v>5781.4</v>
      </c>
      <c r="I507" s="203">
        <f>I508</f>
        <v>0</v>
      </c>
      <c r="J507" s="216">
        <f t="shared" si="101"/>
        <v>0</v>
      </c>
      <c r="K507" s="204">
        <f t="shared" si="102"/>
        <v>0</v>
      </c>
    </row>
    <row r="508" spans="1:11" x14ac:dyDescent="0.2">
      <c r="A508" s="202" t="s">
        <v>1347</v>
      </c>
      <c r="B508" s="209" t="s">
        <v>507</v>
      </c>
      <c r="C508" s="209" t="s">
        <v>657</v>
      </c>
      <c r="D508" s="209" t="s">
        <v>1071</v>
      </c>
      <c r="E508" s="209" t="s">
        <v>535</v>
      </c>
      <c r="F508" s="215">
        <v>5781.4</v>
      </c>
      <c r="G508" s="203">
        <v>0</v>
      </c>
      <c r="H508" s="215">
        <f>H509</f>
        <v>5781.4</v>
      </c>
      <c r="I508" s="203">
        <f>I509</f>
        <v>0</v>
      </c>
      <c r="J508" s="216">
        <f t="shared" si="101"/>
        <v>0</v>
      </c>
      <c r="K508" s="204">
        <f t="shared" si="102"/>
        <v>0</v>
      </c>
    </row>
    <row r="509" spans="1:11" ht="22.5" x14ac:dyDescent="0.2">
      <c r="A509" s="202" t="s">
        <v>534</v>
      </c>
      <c r="B509" s="209" t="s">
        <v>507</v>
      </c>
      <c r="C509" s="209" t="s">
        <v>657</v>
      </c>
      <c r="D509" s="209" t="s">
        <v>1071</v>
      </c>
      <c r="E509" s="209" t="s">
        <v>529</v>
      </c>
      <c r="F509" s="215">
        <v>5781.4</v>
      </c>
      <c r="G509" s="203">
        <v>0</v>
      </c>
      <c r="H509" s="215">
        <f>'Ведомственная 2020'!H466</f>
        <v>5781.4</v>
      </c>
      <c r="I509" s="203">
        <v>0</v>
      </c>
      <c r="J509" s="216">
        <f t="shared" si="101"/>
        <v>0</v>
      </c>
      <c r="K509" s="204">
        <f t="shared" si="102"/>
        <v>0</v>
      </c>
    </row>
    <row r="510" spans="1:11" x14ac:dyDescent="0.2">
      <c r="A510" s="202" t="s">
        <v>1352</v>
      </c>
      <c r="B510" s="209" t="s">
        <v>507</v>
      </c>
      <c r="C510" s="209" t="s">
        <v>657</v>
      </c>
      <c r="D510" s="209" t="s">
        <v>1070</v>
      </c>
      <c r="E510" s="209"/>
      <c r="F510" s="215">
        <v>14047.800000000001</v>
      </c>
      <c r="G510" s="203">
        <v>0</v>
      </c>
      <c r="H510" s="215">
        <f>H511</f>
        <v>14047.800000000001</v>
      </c>
      <c r="I510" s="203">
        <f>I511</f>
        <v>0</v>
      </c>
      <c r="J510" s="216">
        <f t="shared" si="101"/>
        <v>0</v>
      </c>
      <c r="K510" s="204">
        <f t="shared" si="102"/>
        <v>0</v>
      </c>
    </row>
    <row r="511" spans="1:11" ht="22.5" x14ac:dyDescent="0.2">
      <c r="A511" s="202" t="s">
        <v>547</v>
      </c>
      <c r="B511" s="209" t="s">
        <v>507</v>
      </c>
      <c r="C511" s="209" t="s">
        <v>657</v>
      </c>
      <c r="D511" s="209" t="s">
        <v>1070</v>
      </c>
      <c r="E511" s="209" t="s">
        <v>519</v>
      </c>
      <c r="F511" s="215">
        <v>14047.800000000001</v>
      </c>
      <c r="G511" s="203">
        <v>0</v>
      </c>
      <c r="H511" s="215">
        <f>H512</f>
        <v>14047.800000000001</v>
      </c>
      <c r="I511" s="203">
        <f>I512</f>
        <v>0</v>
      </c>
      <c r="J511" s="216">
        <f t="shared" si="101"/>
        <v>0</v>
      </c>
      <c r="K511" s="204">
        <f t="shared" si="102"/>
        <v>0</v>
      </c>
    </row>
    <row r="512" spans="1:11" x14ac:dyDescent="0.2">
      <c r="A512" s="202" t="s">
        <v>546</v>
      </c>
      <c r="B512" s="209" t="s">
        <v>507</v>
      </c>
      <c r="C512" s="209" t="s">
        <v>657</v>
      </c>
      <c r="D512" s="209" t="s">
        <v>1070</v>
      </c>
      <c r="E512" s="209" t="s">
        <v>544</v>
      </c>
      <c r="F512" s="215">
        <v>14047.800000000001</v>
      </c>
      <c r="G512" s="203">
        <v>0</v>
      </c>
      <c r="H512" s="215">
        <f>'Ведомственная 2020'!H469</f>
        <v>14047.800000000001</v>
      </c>
      <c r="I512" s="203">
        <v>0</v>
      </c>
      <c r="J512" s="216">
        <f t="shared" si="101"/>
        <v>0</v>
      </c>
      <c r="K512" s="204">
        <f t="shared" si="102"/>
        <v>0</v>
      </c>
    </row>
    <row r="513" spans="1:11" x14ac:dyDescent="0.2">
      <c r="A513" s="202" t="s">
        <v>1069</v>
      </c>
      <c r="B513" s="209" t="s">
        <v>507</v>
      </c>
      <c r="C513" s="209" t="s">
        <v>657</v>
      </c>
      <c r="D513" s="209" t="s">
        <v>1068</v>
      </c>
      <c r="E513" s="209"/>
      <c r="F513" s="215">
        <v>3976</v>
      </c>
      <c r="G513" s="203">
        <v>0</v>
      </c>
      <c r="H513" s="215">
        <f t="shared" ref="H513:I515" si="117">H514</f>
        <v>3976</v>
      </c>
      <c r="I513" s="203">
        <f t="shared" si="117"/>
        <v>0</v>
      </c>
      <c r="J513" s="216">
        <f t="shared" si="101"/>
        <v>0</v>
      </c>
      <c r="K513" s="204">
        <f t="shared" si="102"/>
        <v>0</v>
      </c>
    </row>
    <row r="514" spans="1:11" ht="22.5" x14ac:dyDescent="0.2">
      <c r="A514" s="202" t="s">
        <v>1067</v>
      </c>
      <c r="B514" s="209" t="s">
        <v>507</v>
      </c>
      <c r="C514" s="209" t="s">
        <v>657</v>
      </c>
      <c r="D514" s="209" t="s">
        <v>1066</v>
      </c>
      <c r="E514" s="209"/>
      <c r="F514" s="215">
        <v>3976</v>
      </c>
      <c r="G514" s="203">
        <v>0</v>
      </c>
      <c r="H514" s="215">
        <f t="shared" si="117"/>
        <v>3976</v>
      </c>
      <c r="I514" s="203">
        <f t="shared" si="117"/>
        <v>0</v>
      </c>
      <c r="J514" s="216">
        <f t="shared" si="101"/>
        <v>0</v>
      </c>
      <c r="K514" s="204">
        <f t="shared" si="102"/>
        <v>0</v>
      </c>
    </row>
    <row r="515" spans="1:11" x14ac:dyDescent="0.2">
      <c r="A515" s="202" t="s">
        <v>1347</v>
      </c>
      <c r="B515" s="209" t="s">
        <v>507</v>
      </c>
      <c r="C515" s="209" t="s">
        <v>657</v>
      </c>
      <c r="D515" s="209" t="s">
        <v>1066</v>
      </c>
      <c r="E515" s="209" t="s">
        <v>535</v>
      </c>
      <c r="F515" s="215">
        <v>3976</v>
      </c>
      <c r="G515" s="203">
        <v>0</v>
      </c>
      <c r="H515" s="215">
        <f t="shared" si="117"/>
        <v>3976</v>
      </c>
      <c r="I515" s="203">
        <f t="shared" si="117"/>
        <v>0</v>
      </c>
      <c r="J515" s="216">
        <f t="shared" si="101"/>
        <v>0</v>
      </c>
      <c r="K515" s="204">
        <f t="shared" si="102"/>
        <v>0</v>
      </c>
    </row>
    <row r="516" spans="1:11" ht="22.5" x14ac:dyDescent="0.2">
      <c r="A516" s="202" t="s">
        <v>534</v>
      </c>
      <c r="B516" s="209" t="s">
        <v>507</v>
      </c>
      <c r="C516" s="209" t="s">
        <v>657</v>
      </c>
      <c r="D516" s="209" t="s">
        <v>1066</v>
      </c>
      <c r="E516" s="209" t="s">
        <v>529</v>
      </c>
      <c r="F516" s="215">
        <v>3976</v>
      </c>
      <c r="G516" s="203">
        <v>0</v>
      </c>
      <c r="H516" s="215">
        <f>'Ведомственная 2020'!H473</f>
        <v>3976</v>
      </c>
      <c r="I516" s="203">
        <v>0</v>
      </c>
      <c r="J516" s="216">
        <f t="shared" si="101"/>
        <v>0</v>
      </c>
      <c r="K516" s="204">
        <f t="shared" si="102"/>
        <v>0</v>
      </c>
    </row>
    <row r="517" spans="1:11" x14ac:dyDescent="0.2">
      <c r="A517" s="202" t="s">
        <v>738</v>
      </c>
      <c r="B517" s="209" t="s">
        <v>507</v>
      </c>
      <c r="C517" s="209" t="s">
        <v>657</v>
      </c>
      <c r="D517" s="209" t="s">
        <v>737</v>
      </c>
      <c r="E517" s="209"/>
      <c r="F517" s="215">
        <v>51177.9</v>
      </c>
      <c r="G517" s="203">
        <v>0</v>
      </c>
      <c r="H517" s="215">
        <f>H518+H521+H524+H527</f>
        <v>18919.900000000001</v>
      </c>
      <c r="I517" s="203">
        <f>I518+I521+I524+I527</f>
        <v>0</v>
      </c>
      <c r="J517" s="216">
        <f t="shared" si="101"/>
        <v>-32258</v>
      </c>
      <c r="K517" s="204">
        <f t="shared" si="102"/>
        <v>0</v>
      </c>
    </row>
    <row r="518" spans="1:11" ht="22.5" x14ac:dyDescent="0.2">
      <c r="A518" s="202" t="s">
        <v>736</v>
      </c>
      <c r="B518" s="209" t="s">
        <v>507</v>
      </c>
      <c r="C518" s="209" t="s">
        <v>657</v>
      </c>
      <c r="D518" s="209" t="s">
        <v>735</v>
      </c>
      <c r="E518" s="209"/>
      <c r="F518" s="215">
        <v>6946.9</v>
      </c>
      <c r="G518" s="203">
        <v>0</v>
      </c>
      <c r="H518" s="215">
        <f>H519</f>
        <v>6946.9</v>
      </c>
      <c r="I518" s="203">
        <f>I519</f>
        <v>0</v>
      </c>
      <c r="J518" s="216">
        <f t="shared" si="101"/>
        <v>0</v>
      </c>
      <c r="K518" s="204">
        <f t="shared" si="102"/>
        <v>0</v>
      </c>
    </row>
    <row r="519" spans="1:11" s="304" customFormat="1" x14ac:dyDescent="0.2">
      <c r="A519" s="202" t="s">
        <v>1347</v>
      </c>
      <c r="B519" s="209" t="s">
        <v>507</v>
      </c>
      <c r="C519" s="209" t="s">
        <v>657</v>
      </c>
      <c r="D519" s="209" t="s">
        <v>735</v>
      </c>
      <c r="E519" s="209">
        <v>200</v>
      </c>
      <c r="F519" s="215">
        <v>6946.9</v>
      </c>
      <c r="G519" s="203">
        <v>0</v>
      </c>
      <c r="H519" s="215">
        <f>H520</f>
        <v>6946.9</v>
      </c>
      <c r="I519" s="203">
        <f>I520</f>
        <v>0</v>
      </c>
      <c r="J519" s="216">
        <f t="shared" ref="J519:J520" si="118">H519-F519</f>
        <v>0</v>
      </c>
      <c r="K519" s="204">
        <f t="shared" ref="K519:K520" si="119">I519-G519</f>
        <v>0</v>
      </c>
    </row>
    <row r="520" spans="1:11" s="304" customFormat="1" ht="22.5" x14ac:dyDescent="0.2">
      <c r="A520" s="202" t="s">
        <v>534</v>
      </c>
      <c r="B520" s="209" t="s">
        <v>507</v>
      </c>
      <c r="C520" s="209" t="s">
        <v>657</v>
      </c>
      <c r="D520" s="209" t="s">
        <v>735</v>
      </c>
      <c r="E520" s="209">
        <v>240</v>
      </c>
      <c r="F520" s="215">
        <v>6946.9</v>
      </c>
      <c r="G520" s="203">
        <v>0</v>
      </c>
      <c r="H520" s="215">
        <f>'Ведомственная 2020'!H1147</f>
        <v>6946.9</v>
      </c>
      <c r="I520" s="203">
        <v>0</v>
      </c>
      <c r="J520" s="216">
        <f t="shared" si="118"/>
        <v>0</v>
      </c>
      <c r="K520" s="204">
        <f t="shared" si="119"/>
        <v>0</v>
      </c>
    </row>
    <row r="521" spans="1:11" s="379" customFormat="1" ht="45" x14ac:dyDescent="0.2">
      <c r="A521" s="202" t="s">
        <v>734</v>
      </c>
      <c r="B521" s="209" t="s">
        <v>507</v>
      </c>
      <c r="C521" s="209" t="s">
        <v>657</v>
      </c>
      <c r="D521" s="209" t="s">
        <v>733</v>
      </c>
      <c r="E521" s="209"/>
      <c r="F521" s="215">
        <v>903</v>
      </c>
      <c r="G521" s="203">
        <v>0</v>
      </c>
      <c r="H521" s="215">
        <f>H522</f>
        <v>903</v>
      </c>
      <c r="I521" s="203">
        <f>I522</f>
        <v>0</v>
      </c>
      <c r="J521" s="216">
        <f t="shared" si="101"/>
        <v>0</v>
      </c>
      <c r="K521" s="204">
        <f t="shared" si="102"/>
        <v>0</v>
      </c>
    </row>
    <row r="522" spans="1:11" s="379" customFormat="1" x14ac:dyDescent="0.2">
      <c r="A522" s="202" t="s">
        <v>1347</v>
      </c>
      <c r="B522" s="209" t="s">
        <v>507</v>
      </c>
      <c r="C522" s="209" t="s">
        <v>657</v>
      </c>
      <c r="D522" s="209" t="s">
        <v>733</v>
      </c>
      <c r="E522" s="209">
        <v>200</v>
      </c>
      <c r="F522" s="215">
        <v>903</v>
      </c>
      <c r="G522" s="203">
        <v>0</v>
      </c>
      <c r="H522" s="215">
        <f>H523</f>
        <v>903</v>
      </c>
      <c r="I522" s="203">
        <f>I523</f>
        <v>0</v>
      </c>
      <c r="J522" s="216">
        <f t="shared" ref="J522:J523" si="120">H522-F522</f>
        <v>0</v>
      </c>
      <c r="K522" s="204">
        <f t="shared" ref="K522:K523" si="121">I522-G522</f>
        <v>0</v>
      </c>
    </row>
    <row r="523" spans="1:11" s="379" customFormat="1" ht="22.5" x14ac:dyDescent="0.2">
      <c r="A523" s="202" t="s">
        <v>534</v>
      </c>
      <c r="B523" s="209" t="s">
        <v>507</v>
      </c>
      <c r="C523" s="209" t="s">
        <v>657</v>
      </c>
      <c r="D523" s="209" t="s">
        <v>733</v>
      </c>
      <c r="E523" s="209">
        <v>240</v>
      </c>
      <c r="F523" s="215">
        <v>903</v>
      </c>
      <c r="G523" s="203">
        <v>0</v>
      </c>
      <c r="H523" s="215">
        <f>'Ведомственная 2020'!H1150</f>
        <v>903</v>
      </c>
      <c r="I523" s="203">
        <v>0</v>
      </c>
      <c r="J523" s="216">
        <f t="shared" si="120"/>
        <v>0</v>
      </c>
      <c r="K523" s="204">
        <f t="shared" si="121"/>
        <v>0</v>
      </c>
    </row>
    <row r="524" spans="1:11" ht="22.5" x14ac:dyDescent="0.2">
      <c r="A524" s="202" t="s">
        <v>732</v>
      </c>
      <c r="B524" s="209" t="s">
        <v>507</v>
      </c>
      <c r="C524" s="209" t="s">
        <v>657</v>
      </c>
      <c r="D524" s="209" t="s">
        <v>731</v>
      </c>
      <c r="E524" s="209"/>
      <c r="F524" s="215">
        <v>11070</v>
      </c>
      <c r="G524" s="203">
        <v>0</v>
      </c>
      <c r="H524" s="215">
        <f>H525</f>
        <v>11070</v>
      </c>
      <c r="I524" s="203">
        <f>I525</f>
        <v>0</v>
      </c>
      <c r="J524" s="216">
        <f t="shared" si="101"/>
        <v>0</v>
      </c>
      <c r="K524" s="204">
        <f t="shared" si="102"/>
        <v>0</v>
      </c>
    </row>
    <row r="525" spans="1:11" s="308" customFormat="1" x14ac:dyDescent="0.2">
      <c r="A525" s="202" t="s">
        <v>1347</v>
      </c>
      <c r="B525" s="209" t="s">
        <v>507</v>
      </c>
      <c r="C525" s="209" t="s">
        <v>657</v>
      </c>
      <c r="D525" s="209" t="s">
        <v>731</v>
      </c>
      <c r="E525" s="209">
        <v>200</v>
      </c>
      <c r="F525" s="215">
        <v>11070</v>
      </c>
      <c r="G525" s="203">
        <v>0</v>
      </c>
      <c r="H525" s="215">
        <f>H526</f>
        <v>11070</v>
      </c>
      <c r="I525" s="203">
        <f>I526</f>
        <v>0</v>
      </c>
      <c r="J525" s="216">
        <f t="shared" ref="J525:J526" si="122">H525-F525</f>
        <v>0</v>
      </c>
      <c r="K525" s="204">
        <f t="shared" ref="K525:K526" si="123">I525-G525</f>
        <v>0</v>
      </c>
    </row>
    <row r="526" spans="1:11" s="308" customFormat="1" ht="22.5" x14ac:dyDescent="0.2">
      <c r="A526" s="202" t="s">
        <v>534</v>
      </c>
      <c r="B526" s="209" t="s">
        <v>507</v>
      </c>
      <c r="C526" s="209" t="s">
        <v>657</v>
      </c>
      <c r="D526" s="209" t="s">
        <v>731</v>
      </c>
      <c r="E526" s="209">
        <v>240</v>
      </c>
      <c r="F526" s="215">
        <v>11070</v>
      </c>
      <c r="G526" s="203">
        <v>0</v>
      </c>
      <c r="H526" s="215">
        <f>'Ведомственная 2020'!H1153</f>
        <v>11070</v>
      </c>
      <c r="I526" s="203">
        <v>0</v>
      </c>
      <c r="J526" s="216">
        <f t="shared" si="122"/>
        <v>0</v>
      </c>
      <c r="K526" s="204">
        <f t="shared" si="123"/>
        <v>0</v>
      </c>
    </row>
    <row r="527" spans="1:11" ht="22.5" x14ac:dyDescent="0.2">
      <c r="A527" s="202" t="s">
        <v>730</v>
      </c>
      <c r="B527" s="209" t="s">
        <v>507</v>
      </c>
      <c r="C527" s="209" t="s">
        <v>657</v>
      </c>
      <c r="D527" s="209" t="s">
        <v>729</v>
      </c>
      <c r="E527" s="209"/>
      <c r="F527" s="215">
        <v>32258</v>
      </c>
      <c r="G527" s="203">
        <v>0</v>
      </c>
      <c r="H527" s="215">
        <f>H528</f>
        <v>0</v>
      </c>
      <c r="I527" s="203">
        <f>I528</f>
        <v>0</v>
      </c>
      <c r="J527" s="216">
        <f t="shared" si="101"/>
        <v>-32258</v>
      </c>
      <c r="K527" s="204">
        <f t="shared" si="102"/>
        <v>0</v>
      </c>
    </row>
    <row r="528" spans="1:11" s="308" customFormat="1" x14ac:dyDescent="0.2">
      <c r="A528" s="202" t="s">
        <v>1347</v>
      </c>
      <c r="B528" s="209" t="s">
        <v>507</v>
      </c>
      <c r="C528" s="209" t="s">
        <v>657</v>
      </c>
      <c r="D528" s="209" t="s">
        <v>729</v>
      </c>
      <c r="E528" s="209">
        <v>200</v>
      </c>
      <c r="F528" s="215">
        <v>32258</v>
      </c>
      <c r="G528" s="203">
        <v>0</v>
      </c>
      <c r="H528" s="215">
        <f>H529</f>
        <v>0</v>
      </c>
      <c r="I528" s="203">
        <f>I529</f>
        <v>0</v>
      </c>
      <c r="J528" s="216">
        <f t="shared" ref="J528:J529" si="124">H528-F528</f>
        <v>-32258</v>
      </c>
      <c r="K528" s="204">
        <f t="shared" ref="K528:K529" si="125">I528-G528</f>
        <v>0</v>
      </c>
    </row>
    <row r="529" spans="1:11" s="308" customFormat="1" ht="22.5" x14ac:dyDescent="0.2">
      <c r="A529" s="202" t="s">
        <v>534</v>
      </c>
      <c r="B529" s="209" t="s">
        <v>507</v>
      </c>
      <c r="C529" s="209" t="s">
        <v>657</v>
      </c>
      <c r="D529" s="209" t="s">
        <v>729</v>
      </c>
      <c r="E529" s="209">
        <v>240</v>
      </c>
      <c r="F529" s="215">
        <v>32258</v>
      </c>
      <c r="G529" s="203">
        <v>0</v>
      </c>
      <c r="H529" s="215">
        <f>'Ведомственная 2020'!H1156</f>
        <v>0</v>
      </c>
      <c r="I529" s="203">
        <v>0</v>
      </c>
      <c r="J529" s="216">
        <f t="shared" si="124"/>
        <v>-32258</v>
      </c>
      <c r="K529" s="204">
        <f t="shared" si="125"/>
        <v>0</v>
      </c>
    </row>
    <row r="530" spans="1:11" x14ac:dyDescent="0.2">
      <c r="A530" s="202" t="s">
        <v>1065</v>
      </c>
      <c r="B530" s="209" t="s">
        <v>507</v>
      </c>
      <c r="C530" s="209" t="s">
        <v>783</v>
      </c>
      <c r="D530" s="209"/>
      <c r="E530" s="209"/>
      <c r="F530" s="215">
        <v>12531.4</v>
      </c>
      <c r="G530" s="203">
        <v>2399</v>
      </c>
      <c r="H530" s="215">
        <f>H531+H555+H566</f>
        <v>12531.4</v>
      </c>
      <c r="I530" s="203">
        <f>I531+I555+I566</f>
        <v>2399</v>
      </c>
      <c r="J530" s="216">
        <f t="shared" si="101"/>
        <v>0</v>
      </c>
      <c r="K530" s="204">
        <f t="shared" si="102"/>
        <v>0</v>
      </c>
    </row>
    <row r="531" spans="1:11" ht="22.5" x14ac:dyDescent="0.2">
      <c r="A531" s="202" t="s">
        <v>1005</v>
      </c>
      <c r="B531" s="209" t="s">
        <v>507</v>
      </c>
      <c r="C531" s="209" t="s">
        <v>783</v>
      </c>
      <c r="D531" s="209" t="s">
        <v>1004</v>
      </c>
      <c r="E531" s="209"/>
      <c r="F531" s="215">
        <v>4453.6000000000004</v>
      </c>
      <c r="G531" s="203">
        <v>2399</v>
      </c>
      <c r="H531" s="215">
        <f t="shared" ref="H531:I533" si="126">H532</f>
        <v>4453.6000000000004</v>
      </c>
      <c r="I531" s="203">
        <f t="shared" si="126"/>
        <v>2399</v>
      </c>
      <c r="J531" s="216">
        <f t="shared" si="101"/>
        <v>0</v>
      </c>
      <c r="K531" s="204">
        <f t="shared" si="102"/>
        <v>0</v>
      </c>
    </row>
    <row r="532" spans="1:11" x14ac:dyDescent="0.2">
      <c r="A532" s="202" t="s">
        <v>1003</v>
      </c>
      <c r="B532" s="209" t="s">
        <v>507</v>
      </c>
      <c r="C532" s="209" t="s">
        <v>783</v>
      </c>
      <c r="D532" s="209" t="s">
        <v>1002</v>
      </c>
      <c r="E532" s="209"/>
      <c r="F532" s="215">
        <v>4453.6000000000004</v>
      </c>
      <c r="G532" s="203">
        <v>2399</v>
      </c>
      <c r="H532" s="215">
        <f>H533+H544</f>
        <v>4453.6000000000004</v>
      </c>
      <c r="I532" s="203">
        <f>I533+I544</f>
        <v>2399</v>
      </c>
      <c r="J532" s="216">
        <f t="shared" si="101"/>
        <v>0</v>
      </c>
      <c r="K532" s="204">
        <f t="shared" si="102"/>
        <v>0</v>
      </c>
    </row>
    <row r="533" spans="1:11" ht="45" x14ac:dyDescent="0.2">
      <c r="A533" s="202" t="s">
        <v>1001</v>
      </c>
      <c r="B533" s="209" t="s">
        <v>507</v>
      </c>
      <c r="C533" s="209" t="s">
        <v>783</v>
      </c>
      <c r="D533" s="209" t="s">
        <v>1000</v>
      </c>
      <c r="E533" s="209"/>
      <c r="F533" s="215">
        <v>4453.6000000000004</v>
      </c>
      <c r="G533" s="203">
        <v>2399</v>
      </c>
      <c r="H533" s="215">
        <f>H534+H539</f>
        <v>0</v>
      </c>
      <c r="I533" s="203">
        <f t="shared" si="126"/>
        <v>0</v>
      </c>
      <c r="J533" s="216">
        <f t="shared" si="101"/>
        <v>-4453.6000000000004</v>
      </c>
      <c r="K533" s="204">
        <f t="shared" si="102"/>
        <v>-2399</v>
      </c>
    </row>
    <row r="534" spans="1:11" ht="45" x14ac:dyDescent="0.2">
      <c r="A534" s="202" t="s">
        <v>1064</v>
      </c>
      <c r="B534" s="209" t="s">
        <v>507</v>
      </c>
      <c r="C534" s="209" t="s">
        <v>783</v>
      </c>
      <c r="D534" s="209" t="s">
        <v>1063</v>
      </c>
      <c r="E534" s="209"/>
      <c r="F534" s="215">
        <v>2399</v>
      </c>
      <c r="G534" s="203">
        <v>2399</v>
      </c>
      <c r="H534" s="215">
        <f>H535+H537</f>
        <v>0</v>
      </c>
      <c r="I534" s="203">
        <f>I535+I537</f>
        <v>0</v>
      </c>
      <c r="J534" s="216">
        <f t="shared" ref="J534:J613" si="127">H534-F534</f>
        <v>-2399</v>
      </c>
      <c r="K534" s="204">
        <f t="shared" ref="K534:K613" si="128">I534-G534</f>
        <v>-2399</v>
      </c>
    </row>
    <row r="535" spans="1:11" ht="33.75" x14ac:dyDescent="0.2">
      <c r="A535" s="202" t="s">
        <v>1348</v>
      </c>
      <c r="B535" s="209" t="s">
        <v>507</v>
      </c>
      <c r="C535" s="209" t="s">
        <v>783</v>
      </c>
      <c r="D535" s="209" t="s">
        <v>1063</v>
      </c>
      <c r="E535" s="209" t="s">
        <v>556</v>
      </c>
      <c r="F535" s="215">
        <v>1385.1</v>
      </c>
      <c r="G535" s="203">
        <v>1385.1</v>
      </c>
      <c r="H535" s="215">
        <f>H536</f>
        <v>0</v>
      </c>
      <c r="I535" s="203">
        <f>I536</f>
        <v>0</v>
      </c>
      <c r="J535" s="216">
        <f t="shared" si="127"/>
        <v>-1385.1</v>
      </c>
      <c r="K535" s="204">
        <f t="shared" si="128"/>
        <v>-1385.1</v>
      </c>
    </row>
    <row r="536" spans="1:11" x14ac:dyDescent="0.2">
      <c r="A536" s="202" t="s">
        <v>555</v>
      </c>
      <c r="B536" s="209" t="s">
        <v>507</v>
      </c>
      <c r="C536" s="209" t="s">
        <v>783</v>
      </c>
      <c r="D536" s="209" t="s">
        <v>1063</v>
      </c>
      <c r="E536" s="209" t="s">
        <v>554</v>
      </c>
      <c r="F536" s="215">
        <v>1385.1</v>
      </c>
      <c r="G536" s="203">
        <v>1385.1</v>
      </c>
      <c r="H536" s="215">
        <f>'Ведомственная 2020'!H480</f>
        <v>0</v>
      </c>
      <c r="I536" s="203">
        <f>H536</f>
        <v>0</v>
      </c>
      <c r="J536" s="216">
        <f t="shared" si="127"/>
        <v>-1385.1</v>
      </c>
      <c r="K536" s="204">
        <f t="shared" si="128"/>
        <v>-1385.1</v>
      </c>
    </row>
    <row r="537" spans="1:11" x14ac:dyDescent="0.2">
      <c r="A537" s="202" t="s">
        <v>1347</v>
      </c>
      <c r="B537" s="209" t="s">
        <v>507</v>
      </c>
      <c r="C537" s="209" t="s">
        <v>783</v>
      </c>
      <c r="D537" s="209" t="s">
        <v>1063</v>
      </c>
      <c r="E537" s="209" t="s">
        <v>535</v>
      </c>
      <c r="F537" s="215">
        <v>1013.9</v>
      </c>
      <c r="G537" s="203">
        <v>1013.9</v>
      </c>
      <c r="H537" s="215">
        <f>H538</f>
        <v>0</v>
      </c>
      <c r="I537" s="203">
        <f>I538</f>
        <v>0</v>
      </c>
      <c r="J537" s="216">
        <f t="shared" si="127"/>
        <v>-1013.9</v>
      </c>
      <c r="K537" s="204">
        <f t="shared" si="128"/>
        <v>-1013.9</v>
      </c>
    </row>
    <row r="538" spans="1:11" ht="22.5" x14ac:dyDescent="0.2">
      <c r="A538" s="202" t="s">
        <v>534</v>
      </c>
      <c r="B538" s="209" t="s">
        <v>507</v>
      </c>
      <c r="C538" s="209" t="s">
        <v>783</v>
      </c>
      <c r="D538" s="209" t="s">
        <v>1063</v>
      </c>
      <c r="E538" s="209" t="s">
        <v>529</v>
      </c>
      <c r="F538" s="215">
        <v>1013.9</v>
      </c>
      <c r="G538" s="203">
        <v>1013.9</v>
      </c>
      <c r="H538" s="215">
        <f>'Ведомственная 2020'!H482</f>
        <v>0</v>
      </c>
      <c r="I538" s="203">
        <f>H538</f>
        <v>0</v>
      </c>
      <c r="J538" s="216">
        <f t="shared" si="127"/>
        <v>-1013.9</v>
      </c>
      <c r="K538" s="204">
        <f t="shared" si="128"/>
        <v>-1013.9</v>
      </c>
    </row>
    <row r="539" spans="1:11" s="306" customFormat="1" ht="56.25" x14ac:dyDescent="0.2">
      <c r="A539" s="202" t="s">
        <v>1341</v>
      </c>
      <c r="B539" s="209" t="s">
        <v>507</v>
      </c>
      <c r="C539" s="209" t="s">
        <v>783</v>
      </c>
      <c r="D539" s="209" t="s">
        <v>999</v>
      </c>
      <c r="E539" s="209"/>
      <c r="F539" s="215">
        <v>2054.6000000000004</v>
      </c>
      <c r="G539" s="203">
        <v>0</v>
      </c>
      <c r="H539" s="215">
        <f t="shared" ref="H539:I539" si="129">H540+H542</f>
        <v>0</v>
      </c>
      <c r="I539" s="203">
        <f t="shared" si="129"/>
        <v>0</v>
      </c>
      <c r="J539" s="216">
        <f t="shared" ref="J539:J543" si="130">H539-F539</f>
        <v>-2054.6000000000004</v>
      </c>
      <c r="K539" s="204">
        <f t="shared" ref="K539:K543" si="131">I539-G539</f>
        <v>0</v>
      </c>
    </row>
    <row r="540" spans="1:11" s="306" customFormat="1" ht="33.75" x14ac:dyDescent="0.2">
      <c r="A540" s="202" t="s">
        <v>1348</v>
      </c>
      <c r="B540" s="209" t="s">
        <v>507</v>
      </c>
      <c r="C540" s="209" t="s">
        <v>783</v>
      </c>
      <c r="D540" s="209" t="s">
        <v>999</v>
      </c>
      <c r="E540" s="209" t="s">
        <v>556</v>
      </c>
      <c r="F540" s="215">
        <v>1499.1000000000001</v>
      </c>
      <c r="G540" s="203">
        <v>0</v>
      </c>
      <c r="H540" s="215">
        <f>H541</f>
        <v>0</v>
      </c>
      <c r="I540" s="203">
        <f t="shared" ref="I540" si="132">I541+I543</f>
        <v>0</v>
      </c>
      <c r="J540" s="216">
        <f t="shared" si="130"/>
        <v>-1499.1000000000001</v>
      </c>
      <c r="K540" s="204">
        <f t="shared" si="131"/>
        <v>0</v>
      </c>
    </row>
    <row r="541" spans="1:11" s="306" customFormat="1" x14ac:dyDescent="0.2">
      <c r="A541" s="202" t="s">
        <v>555</v>
      </c>
      <c r="B541" s="209" t="s">
        <v>507</v>
      </c>
      <c r="C541" s="209" t="s">
        <v>783</v>
      </c>
      <c r="D541" s="209" t="s">
        <v>999</v>
      </c>
      <c r="E541" s="209" t="s">
        <v>554</v>
      </c>
      <c r="F541" s="215">
        <v>1499.1000000000001</v>
      </c>
      <c r="G541" s="203">
        <v>0</v>
      </c>
      <c r="H541" s="215">
        <f>'Ведомственная 2020'!H485</f>
        <v>0</v>
      </c>
      <c r="I541" s="203">
        <v>0</v>
      </c>
      <c r="J541" s="216">
        <f t="shared" si="130"/>
        <v>-1499.1000000000001</v>
      </c>
      <c r="K541" s="204">
        <f t="shared" si="131"/>
        <v>0</v>
      </c>
    </row>
    <row r="542" spans="1:11" s="306" customFormat="1" x14ac:dyDescent="0.2">
      <c r="A542" s="202" t="s">
        <v>1347</v>
      </c>
      <c r="B542" s="209" t="s">
        <v>507</v>
      </c>
      <c r="C542" s="209" t="s">
        <v>783</v>
      </c>
      <c r="D542" s="209" t="s">
        <v>999</v>
      </c>
      <c r="E542" s="209" t="s">
        <v>535</v>
      </c>
      <c r="F542" s="215">
        <v>555.5</v>
      </c>
      <c r="G542" s="203">
        <v>0</v>
      </c>
      <c r="H542" s="215">
        <f>H543</f>
        <v>0</v>
      </c>
      <c r="I542" s="203">
        <f>I543</f>
        <v>0</v>
      </c>
      <c r="J542" s="216">
        <f t="shared" si="130"/>
        <v>-555.5</v>
      </c>
      <c r="K542" s="204">
        <f t="shared" si="131"/>
        <v>0</v>
      </c>
    </row>
    <row r="543" spans="1:11" s="306" customFormat="1" ht="22.5" x14ac:dyDescent="0.2">
      <c r="A543" s="202" t="s">
        <v>534</v>
      </c>
      <c r="B543" s="209" t="s">
        <v>507</v>
      </c>
      <c r="C543" s="209" t="s">
        <v>783</v>
      </c>
      <c r="D543" s="209" t="s">
        <v>999</v>
      </c>
      <c r="E543" s="209" t="s">
        <v>529</v>
      </c>
      <c r="F543" s="215">
        <v>555.5</v>
      </c>
      <c r="G543" s="203">
        <v>0</v>
      </c>
      <c r="H543" s="215">
        <f>'Ведомственная 2020'!H487</f>
        <v>0</v>
      </c>
      <c r="I543" s="203">
        <v>0</v>
      </c>
      <c r="J543" s="216">
        <f t="shared" si="130"/>
        <v>-555.5</v>
      </c>
      <c r="K543" s="204">
        <f t="shared" si="131"/>
        <v>0</v>
      </c>
    </row>
    <row r="544" spans="1:11" s="442" customFormat="1" x14ac:dyDescent="0.2">
      <c r="A544" s="202" t="s">
        <v>1640</v>
      </c>
      <c r="B544" s="209" t="s">
        <v>507</v>
      </c>
      <c r="C544" s="209" t="s">
        <v>783</v>
      </c>
      <c r="D544" s="209" t="s">
        <v>998</v>
      </c>
      <c r="E544" s="209"/>
      <c r="F544" s="215">
        <f>F545</f>
        <v>0</v>
      </c>
      <c r="G544" s="203">
        <f>G545</f>
        <v>0</v>
      </c>
      <c r="H544" s="215">
        <f>H545+H550</f>
        <v>4453.6000000000004</v>
      </c>
      <c r="I544" s="203">
        <f>I545</f>
        <v>2399</v>
      </c>
      <c r="J544" s="216">
        <f t="shared" ref="J544:J549" si="133">H544-F544</f>
        <v>4453.6000000000004</v>
      </c>
      <c r="K544" s="204">
        <f t="shared" ref="K544:K549" si="134">I544-G544</f>
        <v>2399</v>
      </c>
    </row>
    <row r="545" spans="1:11" s="442" customFormat="1" ht="45" x14ac:dyDescent="0.2">
      <c r="A545" s="202" t="s">
        <v>1064</v>
      </c>
      <c r="B545" s="209" t="s">
        <v>507</v>
      </c>
      <c r="C545" s="209" t="s">
        <v>783</v>
      </c>
      <c r="D545" s="209" t="s">
        <v>1649</v>
      </c>
      <c r="E545" s="209"/>
      <c r="F545" s="215">
        <f>F546+F548</f>
        <v>0</v>
      </c>
      <c r="G545" s="203">
        <f t="shared" ref="G545:I545" si="135">G546+G548</f>
        <v>0</v>
      </c>
      <c r="H545" s="215">
        <f t="shared" si="135"/>
        <v>2399</v>
      </c>
      <c r="I545" s="203">
        <f t="shared" si="135"/>
        <v>2399</v>
      </c>
      <c r="J545" s="216">
        <f t="shared" si="133"/>
        <v>2399</v>
      </c>
      <c r="K545" s="204">
        <f t="shared" si="134"/>
        <v>2399</v>
      </c>
    </row>
    <row r="546" spans="1:11" s="442" customFormat="1" ht="33.75" x14ac:dyDescent="0.2">
      <c r="A546" s="202" t="s">
        <v>1348</v>
      </c>
      <c r="B546" s="209" t="s">
        <v>507</v>
      </c>
      <c r="C546" s="209" t="s">
        <v>783</v>
      </c>
      <c r="D546" s="209" t="s">
        <v>1649</v>
      </c>
      <c r="E546" s="209" t="s">
        <v>556</v>
      </c>
      <c r="F546" s="215">
        <f>F547</f>
        <v>0</v>
      </c>
      <c r="G546" s="203">
        <f>G547</f>
        <v>0</v>
      </c>
      <c r="H546" s="215">
        <f>H547</f>
        <v>1385.1</v>
      </c>
      <c r="I546" s="203">
        <f>I547</f>
        <v>1385.1</v>
      </c>
      <c r="J546" s="216">
        <f t="shared" si="133"/>
        <v>1385.1</v>
      </c>
      <c r="K546" s="204">
        <f t="shared" si="134"/>
        <v>1385.1</v>
      </c>
    </row>
    <row r="547" spans="1:11" s="442" customFormat="1" x14ac:dyDescent="0.2">
      <c r="A547" s="202" t="s">
        <v>555</v>
      </c>
      <c r="B547" s="209" t="s">
        <v>507</v>
      </c>
      <c r="C547" s="209" t="s">
        <v>783</v>
      </c>
      <c r="D547" s="209" t="s">
        <v>1649</v>
      </c>
      <c r="E547" s="209" t="s">
        <v>554</v>
      </c>
      <c r="F547" s="215">
        <v>0</v>
      </c>
      <c r="G547" s="203">
        <v>0</v>
      </c>
      <c r="H547" s="215">
        <f>'Ведомственная 2020'!H491</f>
        <v>1385.1</v>
      </c>
      <c r="I547" s="203">
        <f>H547</f>
        <v>1385.1</v>
      </c>
      <c r="J547" s="216">
        <f t="shared" si="133"/>
        <v>1385.1</v>
      </c>
      <c r="K547" s="204">
        <f t="shared" si="134"/>
        <v>1385.1</v>
      </c>
    </row>
    <row r="548" spans="1:11" s="442" customFormat="1" x14ac:dyDescent="0.2">
      <c r="A548" s="202" t="s">
        <v>1347</v>
      </c>
      <c r="B548" s="209" t="s">
        <v>507</v>
      </c>
      <c r="C548" s="209" t="s">
        <v>783</v>
      </c>
      <c r="D548" s="209" t="s">
        <v>1649</v>
      </c>
      <c r="E548" s="209" t="s">
        <v>535</v>
      </c>
      <c r="F548" s="215">
        <f>F549</f>
        <v>0</v>
      </c>
      <c r="G548" s="203">
        <f>G549</f>
        <v>0</v>
      </c>
      <c r="H548" s="215">
        <f>H549</f>
        <v>1013.9</v>
      </c>
      <c r="I548" s="203">
        <f>I549</f>
        <v>1013.9</v>
      </c>
      <c r="J548" s="216">
        <f t="shared" si="133"/>
        <v>1013.9</v>
      </c>
      <c r="K548" s="204">
        <f t="shared" si="134"/>
        <v>1013.9</v>
      </c>
    </row>
    <row r="549" spans="1:11" s="442" customFormat="1" ht="22.5" x14ac:dyDescent="0.2">
      <c r="A549" s="202" t="s">
        <v>534</v>
      </c>
      <c r="B549" s="209" t="s">
        <v>507</v>
      </c>
      <c r="C549" s="209" t="s">
        <v>783</v>
      </c>
      <c r="D549" s="209" t="s">
        <v>1649</v>
      </c>
      <c r="E549" s="209" t="s">
        <v>529</v>
      </c>
      <c r="F549" s="215">
        <v>0</v>
      </c>
      <c r="G549" s="203">
        <v>0</v>
      </c>
      <c r="H549" s="215">
        <f>'Ведомственная 2020'!H493</f>
        <v>1013.9</v>
      </c>
      <c r="I549" s="203">
        <f>H549</f>
        <v>1013.9</v>
      </c>
      <c r="J549" s="216">
        <f t="shared" si="133"/>
        <v>1013.9</v>
      </c>
      <c r="K549" s="204">
        <f t="shared" si="134"/>
        <v>1013.9</v>
      </c>
    </row>
    <row r="550" spans="1:11" s="442" customFormat="1" ht="45" x14ac:dyDescent="0.2">
      <c r="A550" s="202" t="s">
        <v>1650</v>
      </c>
      <c r="B550" s="209" t="s">
        <v>507</v>
      </c>
      <c r="C550" s="209" t="s">
        <v>783</v>
      </c>
      <c r="D550" s="209" t="s">
        <v>1651</v>
      </c>
      <c r="E550" s="202"/>
      <c r="F550" s="215">
        <f>F551+F553</f>
        <v>0</v>
      </c>
      <c r="G550" s="203">
        <f t="shared" ref="G550:I550" si="136">G551+G553</f>
        <v>0</v>
      </c>
      <c r="H550" s="215">
        <f t="shared" si="136"/>
        <v>2054.6000000000004</v>
      </c>
      <c r="I550" s="203">
        <f t="shared" si="136"/>
        <v>0</v>
      </c>
      <c r="J550" s="216">
        <f t="shared" ref="J550:J554" si="137">H550-F550</f>
        <v>2054.6000000000004</v>
      </c>
      <c r="K550" s="204">
        <f t="shared" ref="K550:K554" si="138">I550-G550</f>
        <v>0</v>
      </c>
    </row>
    <row r="551" spans="1:11" s="442" customFormat="1" ht="33.75" x14ac:dyDescent="0.2">
      <c r="A551" s="202" t="s">
        <v>1348</v>
      </c>
      <c r="B551" s="209" t="s">
        <v>507</v>
      </c>
      <c r="C551" s="209" t="s">
        <v>783</v>
      </c>
      <c r="D551" s="209" t="s">
        <v>1651</v>
      </c>
      <c r="E551" s="209" t="s">
        <v>556</v>
      </c>
      <c r="F551" s="215">
        <f>F552</f>
        <v>0</v>
      </c>
      <c r="G551" s="203">
        <f>G552</f>
        <v>0</v>
      </c>
      <c r="H551" s="215">
        <f>H552</f>
        <v>1499.1000000000001</v>
      </c>
      <c r="I551" s="203">
        <f>I552</f>
        <v>0</v>
      </c>
      <c r="J551" s="216">
        <f t="shared" si="137"/>
        <v>1499.1000000000001</v>
      </c>
      <c r="K551" s="204">
        <f t="shared" si="138"/>
        <v>0</v>
      </c>
    </row>
    <row r="552" spans="1:11" s="442" customFormat="1" x14ac:dyDescent="0.2">
      <c r="A552" s="202" t="s">
        <v>555</v>
      </c>
      <c r="B552" s="209" t="s">
        <v>507</v>
      </c>
      <c r="C552" s="209" t="s">
        <v>783</v>
      </c>
      <c r="D552" s="209" t="s">
        <v>1651</v>
      </c>
      <c r="E552" s="209" t="s">
        <v>554</v>
      </c>
      <c r="F552" s="215">
        <v>0</v>
      </c>
      <c r="G552" s="203">
        <v>0</v>
      </c>
      <c r="H552" s="215">
        <f>'Ведомственная 2020'!H496</f>
        <v>1499.1000000000001</v>
      </c>
      <c r="I552" s="203">
        <v>0</v>
      </c>
      <c r="J552" s="216">
        <f t="shared" si="137"/>
        <v>1499.1000000000001</v>
      </c>
      <c r="K552" s="204">
        <f t="shared" si="138"/>
        <v>0</v>
      </c>
    </row>
    <row r="553" spans="1:11" s="442" customFormat="1" x14ac:dyDescent="0.2">
      <c r="A553" s="202" t="s">
        <v>1347</v>
      </c>
      <c r="B553" s="209" t="s">
        <v>507</v>
      </c>
      <c r="C553" s="209" t="s">
        <v>783</v>
      </c>
      <c r="D553" s="209" t="s">
        <v>1651</v>
      </c>
      <c r="E553" s="209" t="s">
        <v>535</v>
      </c>
      <c r="F553" s="215">
        <f>F554</f>
        <v>0</v>
      </c>
      <c r="G553" s="203">
        <f>G554</f>
        <v>0</v>
      </c>
      <c r="H553" s="215">
        <f>H554</f>
        <v>555.5</v>
      </c>
      <c r="I553" s="203">
        <f>I554</f>
        <v>0</v>
      </c>
      <c r="J553" s="216">
        <f t="shared" si="137"/>
        <v>555.5</v>
      </c>
      <c r="K553" s="204">
        <f t="shared" si="138"/>
        <v>0</v>
      </c>
    </row>
    <row r="554" spans="1:11" s="442" customFormat="1" ht="22.5" x14ac:dyDescent="0.2">
      <c r="A554" s="202" t="s">
        <v>534</v>
      </c>
      <c r="B554" s="209" t="s">
        <v>507</v>
      </c>
      <c r="C554" s="209" t="s">
        <v>783</v>
      </c>
      <c r="D554" s="209" t="s">
        <v>1651</v>
      </c>
      <c r="E554" s="209" t="s">
        <v>529</v>
      </c>
      <c r="F554" s="215">
        <v>0</v>
      </c>
      <c r="G554" s="203">
        <v>0</v>
      </c>
      <c r="H554" s="215">
        <f>'Ведомственная 2020'!H498</f>
        <v>555.5</v>
      </c>
      <c r="I554" s="203">
        <v>0</v>
      </c>
      <c r="J554" s="216">
        <f t="shared" si="137"/>
        <v>555.5</v>
      </c>
      <c r="K554" s="204">
        <f t="shared" si="138"/>
        <v>0</v>
      </c>
    </row>
    <row r="555" spans="1:11" x14ac:dyDescent="0.2">
      <c r="A555" s="202" t="s">
        <v>879</v>
      </c>
      <c r="B555" s="209" t="s">
        <v>507</v>
      </c>
      <c r="C555" s="209" t="s">
        <v>783</v>
      </c>
      <c r="D555" s="209" t="s">
        <v>878</v>
      </c>
      <c r="E555" s="209"/>
      <c r="F555" s="215">
        <v>7638.9</v>
      </c>
      <c r="G555" s="203">
        <v>0</v>
      </c>
      <c r="H555" s="215">
        <f>H556+H561</f>
        <v>7638.9</v>
      </c>
      <c r="I555" s="203">
        <f>I556+I561</f>
        <v>0</v>
      </c>
      <c r="J555" s="216">
        <f t="shared" si="127"/>
        <v>0</v>
      </c>
      <c r="K555" s="204">
        <f t="shared" si="128"/>
        <v>0</v>
      </c>
    </row>
    <row r="556" spans="1:11" x14ac:dyDescent="0.2">
      <c r="A556" s="202" t="s">
        <v>1062</v>
      </c>
      <c r="B556" s="209" t="s">
        <v>507</v>
      </c>
      <c r="C556" s="209" t="s">
        <v>783</v>
      </c>
      <c r="D556" s="209" t="s">
        <v>1061</v>
      </c>
      <c r="E556" s="209"/>
      <c r="F556" s="215">
        <v>5890</v>
      </c>
      <c r="G556" s="203">
        <v>0</v>
      </c>
      <c r="H556" s="215">
        <f t="shared" ref="H556:I559" si="139">H557</f>
        <v>5890</v>
      </c>
      <c r="I556" s="203">
        <f t="shared" si="139"/>
        <v>0</v>
      </c>
      <c r="J556" s="216">
        <f t="shared" si="127"/>
        <v>0</v>
      </c>
      <c r="K556" s="204">
        <f t="shared" si="128"/>
        <v>0</v>
      </c>
    </row>
    <row r="557" spans="1:11" ht="22.5" x14ac:dyDescent="0.2">
      <c r="A557" s="202" t="s">
        <v>1060</v>
      </c>
      <c r="B557" s="209" t="s">
        <v>507</v>
      </c>
      <c r="C557" s="209" t="s">
        <v>783</v>
      </c>
      <c r="D557" s="209" t="s">
        <v>1059</v>
      </c>
      <c r="E557" s="209"/>
      <c r="F557" s="215">
        <v>5890</v>
      </c>
      <c r="G557" s="203">
        <v>0</v>
      </c>
      <c r="H557" s="215">
        <f t="shared" si="139"/>
        <v>5890</v>
      </c>
      <c r="I557" s="203">
        <f t="shared" si="139"/>
        <v>0</v>
      </c>
      <c r="J557" s="216">
        <f t="shared" si="127"/>
        <v>0</v>
      </c>
      <c r="K557" s="204">
        <f t="shared" si="128"/>
        <v>0</v>
      </c>
    </row>
    <row r="558" spans="1:11" x14ac:dyDescent="0.2">
      <c r="A558" s="202" t="s">
        <v>1058</v>
      </c>
      <c r="B558" s="209" t="s">
        <v>507</v>
      </c>
      <c r="C558" s="209" t="s">
        <v>783</v>
      </c>
      <c r="D558" s="209" t="s">
        <v>1057</v>
      </c>
      <c r="E558" s="209"/>
      <c r="F558" s="215">
        <v>5890</v>
      </c>
      <c r="G558" s="203">
        <v>0</v>
      </c>
      <c r="H558" s="215">
        <f t="shared" si="139"/>
        <v>5890</v>
      </c>
      <c r="I558" s="203">
        <f t="shared" si="139"/>
        <v>0</v>
      </c>
      <c r="J558" s="216">
        <f t="shared" si="127"/>
        <v>0</v>
      </c>
      <c r="K558" s="204">
        <f t="shared" si="128"/>
        <v>0</v>
      </c>
    </row>
    <row r="559" spans="1:11" x14ac:dyDescent="0.2">
      <c r="A559" s="202" t="s">
        <v>615</v>
      </c>
      <c r="B559" s="209" t="s">
        <v>507</v>
      </c>
      <c r="C559" s="209" t="s">
        <v>783</v>
      </c>
      <c r="D559" s="209" t="s">
        <v>1057</v>
      </c>
      <c r="E559" s="209" t="s">
        <v>509</v>
      </c>
      <c r="F559" s="215">
        <v>5890</v>
      </c>
      <c r="G559" s="203">
        <v>0</v>
      </c>
      <c r="H559" s="215">
        <f t="shared" si="139"/>
        <v>5890</v>
      </c>
      <c r="I559" s="203">
        <f t="shared" si="139"/>
        <v>0</v>
      </c>
      <c r="J559" s="216">
        <f t="shared" si="127"/>
        <v>0</v>
      </c>
      <c r="K559" s="204">
        <f t="shared" si="128"/>
        <v>0</v>
      </c>
    </row>
    <row r="560" spans="1:11" ht="22.5" x14ac:dyDescent="0.2">
      <c r="A560" s="202" t="s">
        <v>1346</v>
      </c>
      <c r="B560" s="209" t="s">
        <v>507</v>
      </c>
      <c r="C560" s="209" t="s">
        <v>783</v>
      </c>
      <c r="D560" s="209" t="s">
        <v>1057</v>
      </c>
      <c r="E560" s="209" t="s">
        <v>511</v>
      </c>
      <c r="F560" s="215">
        <v>5890</v>
      </c>
      <c r="G560" s="203">
        <v>0</v>
      </c>
      <c r="H560" s="215">
        <f>'Ведомственная 2020'!H504</f>
        <v>5890</v>
      </c>
      <c r="I560" s="203">
        <v>0</v>
      </c>
      <c r="J560" s="216">
        <f t="shared" si="127"/>
        <v>0</v>
      </c>
      <c r="K560" s="204">
        <f t="shared" si="128"/>
        <v>0</v>
      </c>
    </row>
    <row r="561" spans="1:11" x14ac:dyDescent="0.2">
      <c r="A561" s="202" t="s">
        <v>877</v>
      </c>
      <c r="B561" s="209" t="s">
        <v>507</v>
      </c>
      <c r="C561" s="209" t="s">
        <v>783</v>
      </c>
      <c r="D561" s="209" t="s">
        <v>876</v>
      </c>
      <c r="E561" s="209"/>
      <c r="F561" s="215">
        <v>1748.9</v>
      </c>
      <c r="G561" s="203">
        <v>0</v>
      </c>
      <c r="H561" s="215">
        <f t="shared" ref="H561:I564" si="140">H562</f>
        <v>1748.9</v>
      </c>
      <c r="I561" s="203">
        <f t="shared" si="140"/>
        <v>0</v>
      </c>
      <c r="J561" s="216">
        <f t="shared" si="127"/>
        <v>0</v>
      </c>
      <c r="K561" s="204">
        <f t="shared" si="128"/>
        <v>0</v>
      </c>
    </row>
    <row r="562" spans="1:11" x14ac:dyDescent="0.2">
      <c r="A562" s="202" t="s">
        <v>875</v>
      </c>
      <c r="B562" s="209" t="s">
        <v>507</v>
      </c>
      <c r="C562" s="209" t="s">
        <v>783</v>
      </c>
      <c r="D562" s="209" t="s">
        <v>874</v>
      </c>
      <c r="E562" s="209"/>
      <c r="F562" s="215">
        <v>1748.9</v>
      </c>
      <c r="G562" s="203">
        <v>0</v>
      </c>
      <c r="H562" s="215">
        <f t="shared" si="140"/>
        <v>1748.9</v>
      </c>
      <c r="I562" s="203">
        <f t="shared" si="140"/>
        <v>0</v>
      </c>
      <c r="J562" s="216">
        <f t="shared" si="127"/>
        <v>0</v>
      </c>
      <c r="K562" s="204">
        <f t="shared" si="128"/>
        <v>0</v>
      </c>
    </row>
    <row r="563" spans="1:11" ht="22.5" x14ac:dyDescent="0.2">
      <c r="A563" s="202" t="s">
        <v>873</v>
      </c>
      <c r="B563" s="209" t="s">
        <v>507</v>
      </c>
      <c r="C563" s="209" t="s">
        <v>783</v>
      </c>
      <c r="D563" s="209" t="s">
        <v>872</v>
      </c>
      <c r="E563" s="209"/>
      <c r="F563" s="215">
        <v>1748.9</v>
      </c>
      <c r="G563" s="203">
        <v>0</v>
      </c>
      <c r="H563" s="215">
        <f t="shared" si="140"/>
        <v>1748.9</v>
      </c>
      <c r="I563" s="203">
        <f t="shared" si="140"/>
        <v>0</v>
      </c>
      <c r="J563" s="216">
        <f t="shared" si="127"/>
        <v>0</v>
      </c>
      <c r="K563" s="204">
        <f t="shared" si="128"/>
        <v>0</v>
      </c>
    </row>
    <row r="564" spans="1:11" x14ac:dyDescent="0.2">
      <c r="A564" s="202" t="s">
        <v>1347</v>
      </c>
      <c r="B564" s="209" t="s">
        <v>507</v>
      </c>
      <c r="C564" s="209" t="s">
        <v>783</v>
      </c>
      <c r="D564" s="209" t="s">
        <v>872</v>
      </c>
      <c r="E564" s="209" t="s">
        <v>535</v>
      </c>
      <c r="F564" s="215">
        <v>1748.9</v>
      </c>
      <c r="G564" s="203">
        <v>0</v>
      </c>
      <c r="H564" s="215">
        <f t="shared" si="140"/>
        <v>1748.9</v>
      </c>
      <c r="I564" s="203">
        <f t="shared" si="140"/>
        <v>0</v>
      </c>
      <c r="J564" s="216">
        <f t="shared" si="127"/>
        <v>0</v>
      </c>
      <c r="K564" s="204">
        <f t="shared" si="128"/>
        <v>0</v>
      </c>
    </row>
    <row r="565" spans="1:11" ht="22.5" x14ac:dyDescent="0.2">
      <c r="A565" s="202" t="s">
        <v>534</v>
      </c>
      <c r="B565" s="209" t="s">
        <v>507</v>
      </c>
      <c r="C565" s="209" t="s">
        <v>783</v>
      </c>
      <c r="D565" s="209" t="s">
        <v>872</v>
      </c>
      <c r="E565" s="209" t="s">
        <v>529</v>
      </c>
      <c r="F565" s="215">
        <v>1748.9</v>
      </c>
      <c r="G565" s="203">
        <v>0</v>
      </c>
      <c r="H565" s="215">
        <f>'Ведомственная 2020'!H509</f>
        <v>1748.9</v>
      </c>
      <c r="I565" s="203">
        <v>0</v>
      </c>
      <c r="J565" s="216">
        <f t="shared" si="127"/>
        <v>0</v>
      </c>
      <c r="K565" s="204">
        <f t="shared" si="128"/>
        <v>0</v>
      </c>
    </row>
    <row r="566" spans="1:11" ht="22.5" x14ac:dyDescent="0.2">
      <c r="A566" s="202" t="s">
        <v>588</v>
      </c>
      <c r="B566" s="209" t="s">
        <v>507</v>
      </c>
      <c r="C566" s="209" t="s">
        <v>783</v>
      </c>
      <c r="D566" s="209" t="s">
        <v>587</v>
      </c>
      <c r="E566" s="209"/>
      <c r="F566" s="215">
        <v>438.9</v>
      </c>
      <c r="G566" s="203">
        <v>0</v>
      </c>
      <c r="H566" s="215">
        <f t="shared" ref="H566:I570" si="141">H567</f>
        <v>438.9</v>
      </c>
      <c r="I566" s="203">
        <f t="shared" si="141"/>
        <v>0</v>
      </c>
      <c r="J566" s="216">
        <f t="shared" si="127"/>
        <v>0</v>
      </c>
      <c r="K566" s="204">
        <f t="shared" si="128"/>
        <v>0</v>
      </c>
    </row>
    <row r="567" spans="1:11" x14ac:dyDescent="0.2">
      <c r="A567" s="202" t="s">
        <v>1056</v>
      </c>
      <c r="B567" s="209" t="s">
        <v>507</v>
      </c>
      <c r="C567" s="209" t="s">
        <v>783</v>
      </c>
      <c r="D567" s="209" t="s">
        <v>1055</v>
      </c>
      <c r="E567" s="209"/>
      <c r="F567" s="215">
        <v>438.9</v>
      </c>
      <c r="G567" s="203">
        <v>0</v>
      </c>
      <c r="H567" s="215">
        <f t="shared" si="141"/>
        <v>438.9</v>
      </c>
      <c r="I567" s="203">
        <f t="shared" si="141"/>
        <v>0</v>
      </c>
      <c r="J567" s="216">
        <f t="shared" si="127"/>
        <v>0</v>
      </c>
      <c r="K567" s="204">
        <f t="shared" si="128"/>
        <v>0</v>
      </c>
    </row>
    <row r="568" spans="1:11" ht="22.5" x14ac:dyDescent="0.2">
      <c r="A568" s="202" t="s">
        <v>1054</v>
      </c>
      <c r="B568" s="209" t="s">
        <v>507</v>
      </c>
      <c r="C568" s="209" t="s">
        <v>783</v>
      </c>
      <c r="D568" s="209" t="s">
        <v>1053</v>
      </c>
      <c r="E568" s="209"/>
      <c r="F568" s="215">
        <v>438.9</v>
      </c>
      <c r="G568" s="203">
        <v>0</v>
      </c>
      <c r="H568" s="215">
        <f t="shared" si="141"/>
        <v>438.9</v>
      </c>
      <c r="I568" s="203">
        <f t="shared" si="141"/>
        <v>0</v>
      </c>
      <c r="J568" s="216">
        <f t="shared" si="127"/>
        <v>0</v>
      </c>
      <c r="K568" s="204">
        <f t="shared" si="128"/>
        <v>0</v>
      </c>
    </row>
    <row r="569" spans="1:11" x14ac:dyDescent="0.2">
      <c r="A569" s="202" t="s">
        <v>1052</v>
      </c>
      <c r="B569" s="209" t="s">
        <v>507</v>
      </c>
      <c r="C569" s="209" t="s">
        <v>783</v>
      </c>
      <c r="D569" s="209" t="s">
        <v>1051</v>
      </c>
      <c r="E569" s="209"/>
      <c r="F569" s="215">
        <v>438.9</v>
      </c>
      <c r="G569" s="203">
        <v>0</v>
      </c>
      <c r="H569" s="215">
        <f t="shared" si="141"/>
        <v>438.9</v>
      </c>
      <c r="I569" s="203">
        <f t="shared" si="141"/>
        <v>0</v>
      </c>
      <c r="J569" s="216">
        <f t="shared" si="127"/>
        <v>0</v>
      </c>
      <c r="K569" s="204">
        <f t="shared" si="128"/>
        <v>0</v>
      </c>
    </row>
    <row r="570" spans="1:11" x14ac:dyDescent="0.2">
      <c r="A570" s="202" t="s">
        <v>1347</v>
      </c>
      <c r="B570" s="209" t="s">
        <v>507</v>
      </c>
      <c r="C570" s="209" t="s">
        <v>783</v>
      </c>
      <c r="D570" s="209" t="s">
        <v>1051</v>
      </c>
      <c r="E570" s="209" t="s">
        <v>535</v>
      </c>
      <c r="F570" s="215">
        <v>438.9</v>
      </c>
      <c r="G570" s="203">
        <v>0</v>
      </c>
      <c r="H570" s="215">
        <f t="shared" si="141"/>
        <v>438.9</v>
      </c>
      <c r="I570" s="203">
        <f t="shared" si="141"/>
        <v>0</v>
      </c>
      <c r="J570" s="216">
        <f t="shared" si="127"/>
        <v>0</v>
      </c>
      <c r="K570" s="204">
        <f t="shared" si="128"/>
        <v>0</v>
      </c>
    </row>
    <row r="571" spans="1:11" ht="22.5" x14ac:dyDescent="0.2">
      <c r="A571" s="202" t="s">
        <v>534</v>
      </c>
      <c r="B571" s="209" t="s">
        <v>507</v>
      </c>
      <c r="C571" s="209" t="s">
        <v>783</v>
      </c>
      <c r="D571" s="209" t="s">
        <v>1051</v>
      </c>
      <c r="E571" s="209" t="s">
        <v>529</v>
      </c>
      <c r="F571" s="215">
        <v>438.9</v>
      </c>
      <c r="G571" s="203">
        <v>0</v>
      </c>
      <c r="H571" s="215">
        <f>'Ведомственная 2020'!H515</f>
        <v>438.9</v>
      </c>
      <c r="I571" s="203">
        <v>0</v>
      </c>
      <c r="J571" s="216">
        <f t="shared" si="127"/>
        <v>0</v>
      </c>
      <c r="K571" s="204">
        <f t="shared" si="128"/>
        <v>0</v>
      </c>
    </row>
    <row r="572" spans="1:11" s="97" customFormat="1" x14ac:dyDescent="0.2">
      <c r="A572" s="199" t="s">
        <v>1046</v>
      </c>
      <c r="B572" s="212" t="s">
        <v>512</v>
      </c>
      <c r="C572" s="212"/>
      <c r="D572" s="212"/>
      <c r="E572" s="212"/>
      <c r="F572" s="213">
        <v>1116996.3</v>
      </c>
      <c r="G572" s="200">
        <v>0</v>
      </c>
      <c r="H572" s="213">
        <f>H573+H613+H655+H817</f>
        <v>1124244.7999999998</v>
      </c>
      <c r="I572" s="200">
        <f>I573+I613+I655+I817</f>
        <v>0</v>
      </c>
      <c r="J572" s="214">
        <f t="shared" si="127"/>
        <v>7248.4999999997672</v>
      </c>
      <c r="K572" s="201">
        <f t="shared" si="128"/>
        <v>0</v>
      </c>
    </row>
    <row r="573" spans="1:11" x14ac:dyDescent="0.2">
      <c r="A573" s="202" t="s">
        <v>1045</v>
      </c>
      <c r="B573" s="209" t="s">
        <v>512</v>
      </c>
      <c r="C573" s="209" t="s">
        <v>498</v>
      </c>
      <c r="D573" s="209"/>
      <c r="E573" s="209"/>
      <c r="F573" s="215">
        <v>96054.399999999994</v>
      </c>
      <c r="G573" s="203">
        <v>0</v>
      </c>
      <c r="H573" s="215">
        <f>H574+H580+H589+H605</f>
        <v>78171.7</v>
      </c>
      <c r="I573" s="203">
        <f>I574+I580+I589</f>
        <v>0</v>
      </c>
      <c r="J573" s="216">
        <f t="shared" si="127"/>
        <v>-17882.699999999997</v>
      </c>
      <c r="K573" s="204">
        <f t="shared" si="128"/>
        <v>0</v>
      </c>
    </row>
    <row r="574" spans="1:11" x14ac:dyDescent="0.2">
      <c r="A574" s="202" t="s">
        <v>943</v>
      </c>
      <c r="B574" s="209" t="s">
        <v>512</v>
      </c>
      <c r="C574" s="209" t="s">
        <v>498</v>
      </c>
      <c r="D574" s="209" t="s">
        <v>942</v>
      </c>
      <c r="E574" s="209"/>
      <c r="F574" s="215">
        <v>5016.2</v>
      </c>
      <c r="G574" s="203">
        <v>0</v>
      </c>
      <c r="H574" s="215">
        <f t="shared" ref="H574:I578" si="142">H575</f>
        <v>5016.2</v>
      </c>
      <c r="I574" s="203">
        <f t="shared" si="142"/>
        <v>0</v>
      </c>
      <c r="J574" s="216">
        <f t="shared" si="127"/>
        <v>0</v>
      </c>
      <c r="K574" s="204">
        <f t="shared" si="128"/>
        <v>0</v>
      </c>
    </row>
    <row r="575" spans="1:11" x14ac:dyDescent="0.2">
      <c r="A575" s="202" t="s">
        <v>602</v>
      </c>
      <c r="B575" s="209" t="s">
        <v>512</v>
      </c>
      <c r="C575" s="209" t="s">
        <v>498</v>
      </c>
      <c r="D575" s="209" t="s">
        <v>941</v>
      </c>
      <c r="E575" s="209"/>
      <c r="F575" s="215">
        <v>5016.2</v>
      </c>
      <c r="G575" s="203">
        <v>0</v>
      </c>
      <c r="H575" s="215">
        <f t="shared" si="142"/>
        <v>5016.2</v>
      </c>
      <c r="I575" s="203">
        <f t="shared" si="142"/>
        <v>0</v>
      </c>
      <c r="J575" s="216">
        <f t="shared" si="127"/>
        <v>0</v>
      </c>
      <c r="K575" s="204">
        <f t="shared" si="128"/>
        <v>0</v>
      </c>
    </row>
    <row r="576" spans="1:11" ht="22.5" x14ac:dyDescent="0.2">
      <c r="A576" s="202" t="s">
        <v>600</v>
      </c>
      <c r="B576" s="209" t="s">
        <v>512</v>
      </c>
      <c r="C576" s="209" t="s">
        <v>498</v>
      </c>
      <c r="D576" s="209" t="s">
        <v>940</v>
      </c>
      <c r="E576" s="209"/>
      <c r="F576" s="215">
        <v>5016.2</v>
      </c>
      <c r="G576" s="203">
        <v>0</v>
      </c>
      <c r="H576" s="215">
        <f t="shared" si="142"/>
        <v>5016.2</v>
      </c>
      <c r="I576" s="203">
        <f t="shared" si="142"/>
        <v>0</v>
      </c>
      <c r="J576" s="216">
        <f t="shared" si="127"/>
        <v>0</v>
      </c>
      <c r="K576" s="204">
        <f t="shared" si="128"/>
        <v>0</v>
      </c>
    </row>
    <row r="577" spans="1:11" ht="22.5" x14ac:dyDescent="0.2">
      <c r="A577" s="202" t="s">
        <v>1044</v>
      </c>
      <c r="B577" s="209" t="s">
        <v>512</v>
      </c>
      <c r="C577" s="209" t="s">
        <v>498</v>
      </c>
      <c r="D577" s="209" t="s">
        <v>1043</v>
      </c>
      <c r="E577" s="209"/>
      <c r="F577" s="215">
        <v>5016.2</v>
      </c>
      <c r="G577" s="203">
        <v>0</v>
      </c>
      <c r="H577" s="215">
        <f t="shared" si="142"/>
        <v>5016.2</v>
      </c>
      <c r="I577" s="203">
        <f t="shared" si="142"/>
        <v>0</v>
      </c>
      <c r="J577" s="216">
        <f t="shared" si="127"/>
        <v>0</v>
      </c>
      <c r="K577" s="204">
        <f t="shared" si="128"/>
        <v>0</v>
      </c>
    </row>
    <row r="578" spans="1:11" ht="22.5" x14ac:dyDescent="0.2">
      <c r="A578" s="202" t="s">
        <v>547</v>
      </c>
      <c r="B578" s="209" t="s">
        <v>512</v>
      </c>
      <c r="C578" s="209" t="s">
        <v>498</v>
      </c>
      <c r="D578" s="209" t="s">
        <v>1043</v>
      </c>
      <c r="E578" s="209" t="s">
        <v>519</v>
      </c>
      <c r="F578" s="215">
        <v>5016.2</v>
      </c>
      <c r="G578" s="203">
        <v>0</v>
      </c>
      <c r="H578" s="215">
        <f t="shared" si="142"/>
        <v>5016.2</v>
      </c>
      <c r="I578" s="203">
        <f t="shared" si="142"/>
        <v>0</v>
      </c>
      <c r="J578" s="216">
        <f t="shared" si="127"/>
        <v>0</v>
      </c>
      <c r="K578" s="204">
        <f t="shared" si="128"/>
        <v>0</v>
      </c>
    </row>
    <row r="579" spans="1:11" x14ac:dyDescent="0.2">
      <c r="A579" s="202" t="s">
        <v>571</v>
      </c>
      <c r="B579" s="209" t="s">
        <v>512</v>
      </c>
      <c r="C579" s="209" t="s">
        <v>498</v>
      </c>
      <c r="D579" s="209" t="s">
        <v>1043</v>
      </c>
      <c r="E579" s="209" t="s">
        <v>522</v>
      </c>
      <c r="F579" s="215">
        <v>5016.2</v>
      </c>
      <c r="G579" s="203">
        <v>0</v>
      </c>
      <c r="H579" s="215">
        <f>'Ведомственная 2020'!H523</f>
        <v>5016.2</v>
      </c>
      <c r="I579" s="203">
        <v>0</v>
      </c>
      <c r="J579" s="216">
        <f t="shared" si="127"/>
        <v>0</v>
      </c>
      <c r="K579" s="204">
        <f t="shared" si="128"/>
        <v>0</v>
      </c>
    </row>
    <row r="580" spans="1:11" x14ac:dyDescent="0.2">
      <c r="A580" s="202" t="s">
        <v>604</v>
      </c>
      <c r="B580" s="209" t="s">
        <v>512</v>
      </c>
      <c r="C580" s="209" t="s">
        <v>498</v>
      </c>
      <c r="D580" s="209" t="s">
        <v>603</v>
      </c>
      <c r="E580" s="209"/>
      <c r="F580" s="215">
        <v>46788.4</v>
      </c>
      <c r="G580" s="203">
        <v>0</v>
      </c>
      <c r="H580" s="215">
        <f>H581</f>
        <v>35688.400000000001</v>
      </c>
      <c r="I580" s="203">
        <f>I581</f>
        <v>0</v>
      </c>
      <c r="J580" s="216">
        <f t="shared" si="127"/>
        <v>-11100</v>
      </c>
      <c r="K580" s="204">
        <f t="shared" si="128"/>
        <v>0</v>
      </c>
    </row>
    <row r="581" spans="1:11" x14ac:dyDescent="0.2">
      <c r="A581" s="202" t="s">
        <v>1042</v>
      </c>
      <c r="B581" s="209" t="s">
        <v>512</v>
      </c>
      <c r="C581" s="209" t="s">
        <v>498</v>
      </c>
      <c r="D581" s="209" t="s">
        <v>1041</v>
      </c>
      <c r="E581" s="209"/>
      <c r="F581" s="215">
        <v>46788.4</v>
      </c>
      <c r="G581" s="203">
        <v>0</v>
      </c>
      <c r="H581" s="215">
        <f>H582</f>
        <v>35688.400000000001</v>
      </c>
      <c r="I581" s="203">
        <f>I582</f>
        <v>0</v>
      </c>
      <c r="J581" s="216">
        <f t="shared" si="127"/>
        <v>-11100</v>
      </c>
      <c r="K581" s="204">
        <f t="shared" si="128"/>
        <v>0</v>
      </c>
    </row>
    <row r="582" spans="1:11" ht="22.5" x14ac:dyDescent="0.2">
      <c r="A582" s="202" t="s">
        <v>1040</v>
      </c>
      <c r="B582" s="209" t="s">
        <v>512</v>
      </c>
      <c r="C582" s="209" t="s">
        <v>498</v>
      </c>
      <c r="D582" s="209" t="s">
        <v>1039</v>
      </c>
      <c r="E582" s="209"/>
      <c r="F582" s="215">
        <v>46788.4</v>
      </c>
      <c r="G582" s="203">
        <v>0</v>
      </c>
      <c r="H582" s="215">
        <f>H583+H586</f>
        <v>35688.400000000001</v>
      </c>
      <c r="I582" s="203">
        <f>I583+I586</f>
        <v>0</v>
      </c>
      <c r="J582" s="216">
        <f t="shared" si="127"/>
        <v>-11100</v>
      </c>
      <c r="K582" s="204">
        <f t="shared" si="128"/>
        <v>0</v>
      </c>
    </row>
    <row r="583" spans="1:11" ht="22.5" x14ac:dyDescent="0.2">
      <c r="A583" s="202" t="s">
        <v>1038</v>
      </c>
      <c r="B583" s="209" t="s">
        <v>512</v>
      </c>
      <c r="C583" s="209" t="s">
        <v>498</v>
      </c>
      <c r="D583" s="209" t="s">
        <v>1037</v>
      </c>
      <c r="E583" s="209"/>
      <c r="F583" s="215">
        <v>788.4</v>
      </c>
      <c r="G583" s="203">
        <v>0</v>
      </c>
      <c r="H583" s="215">
        <f>H584</f>
        <v>788.4</v>
      </c>
      <c r="I583" s="203">
        <f>I584</f>
        <v>0</v>
      </c>
      <c r="J583" s="216">
        <f t="shared" si="127"/>
        <v>0</v>
      </c>
      <c r="K583" s="204">
        <f t="shared" si="128"/>
        <v>0</v>
      </c>
    </row>
    <row r="584" spans="1:11" ht="22.5" x14ac:dyDescent="0.2">
      <c r="A584" s="202" t="s">
        <v>547</v>
      </c>
      <c r="B584" s="209" t="s">
        <v>512</v>
      </c>
      <c r="C584" s="209" t="s">
        <v>498</v>
      </c>
      <c r="D584" s="209" t="s">
        <v>1037</v>
      </c>
      <c r="E584" s="209" t="s">
        <v>519</v>
      </c>
      <c r="F584" s="215">
        <v>788.4</v>
      </c>
      <c r="G584" s="203">
        <v>0</v>
      </c>
      <c r="H584" s="215">
        <f>H585</f>
        <v>788.4</v>
      </c>
      <c r="I584" s="203">
        <f>I585</f>
        <v>0</v>
      </c>
      <c r="J584" s="216">
        <f t="shared" si="127"/>
        <v>0</v>
      </c>
      <c r="K584" s="204">
        <f t="shared" si="128"/>
        <v>0</v>
      </c>
    </row>
    <row r="585" spans="1:11" x14ac:dyDescent="0.2">
      <c r="A585" s="202" t="s">
        <v>571</v>
      </c>
      <c r="B585" s="209" t="s">
        <v>512</v>
      </c>
      <c r="C585" s="209" t="s">
        <v>498</v>
      </c>
      <c r="D585" s="209" t="s">
        <v>1037</v>
      </c>
      <c r="E585" s="209" t="s">
        <v>522</v>
      </c>
      <c r="F585" s="215">
        <v>788.4</v>
      </c>
      <c r="G585" s="203">
        <v>0</v>
      </c>
      <c r="H585" s="215">
        <f>'Ведомственная 2020'!H529</f>
        <v>788.4</v>
      </c>
      <c r="I585" s="203">
        <v>0</v>
      </c>
      <c r="J585" s="216">
        <f t="shared" si="127"/>
        <v>0</v>
      </c>
      <c r="K585" s="204">
        <f t="shared" si="128"/>
        <v>0</v>
      </c>
    </row>
    <row r="586" spans="1:11" x14ac:dyDescent="0.2">
      <c r="A586" s="202" t="s">
        <v>1036</v>
      </c>
      <c r="B586" s="209" t="s">
        <v>512</v>
      </c>
      <c r="C586" s="209" t="s">
        <v>498</v>
      </c>
      <c r="D586" s="209" t="s">
        <v>1035</v>
      </c>
      <c r="E586" s="209"/>
      <c r="F586" s="215">
        <v>46000</v>
      </c>
      <c r="G586" s="203">
        <v>0</v>
      </c>
      <c r="H586" s="215">
        <f>H587</f>
        <v>34900</v>
      </c>
      <c r="I586" s="203">
        <f>I587</f>
        <v>0</v>
      </c>
      <c r="J586" s="216">
        <f t="shared" si="127"/>
        <v>-11100</v>
      </c>
      <c r="K586" s="204">
        <f t="shared" si="128"/>
        <v>0</v>
      </c>
    </row>
    <row r="587" spans="1:11" x14ac:dyDescent="0.2">
      <c r="A587" s="202" t="s">
        <v>1347</v>
      </c>
      <c r="B587" s="209" t="s">
        <v>512</v>
      </c>
      <c r="C587" s="209" t="s">
        <v>498</v>
      </c>
      <c r="D587" s="209" t="s">
        <v>1035</v>
      </c>
      <c r="E587" s="209" t="s">
        <v>535</v>
      </c>
      <c r="F587" s="215">
        <v>46000</v>
      </c>
      <c r="G587" s="203">
        <v>0</v>
      </c>
      <c r="H587" s="215">
        <f>H588</f>
        <v>34900</v>
      </c>
      <c r="I587" s="203">
        <f>I588</f>
        <v>0</v>
      </c>
      <c r="J587" s="216">
        <f t="shared" si="127"/>
        <v>-11100</v>
      </c>
      <c r="K587" s="204">
        <f t="shared" si="128"/>
        <v>0</v>
      </c>
    </row>
    <row r="588" spans="1:11" ht="22.5" x14ac:dyDescent="0.2">
      <c r="A588" s="202" t="s">
        <v>534</v>
      </c>
      <c r="B588" s="209" t="s">
        <v>512</v>
      </c>
      <c r="C588" s="209" t="s">
        <v>498</v>
      </c>
      <c r="D588" s="209" t="s">
        <v>1035</v>
      </c>
      <c r="E588" s="209" t="s">
        <v>529</v>
      </c>
      <c r="F588" s="215">
        <v>46000</v>
      </c>
      <c r="G588" s="203">
        <v>0</v>
      </c>
      <c r="H588" s="215">
        <f>'Ведомственная 2020'!H532</f>
        <v>34900</v>
      </c>
      <c r="I588" s="203">
        <v>0</v>
      </c>
      <c r="J588" s="216">
        <f t="shared" si="127"/>
        <v>-11100</v>
      </c>
      <c r="K588" s="204">
        <f t="shared" si="128"/>
        <v>0</v>
      </c>
    </row>
    <row r="589" spans="1:11" x14ac:dyDescent="0.2">
      <c r="A589" s="202" t="s">
        <v>986</v>
      </c>
      <c r="B589" s="209" t="s">
        <v>512</v>
      </c>
      <c r="C589" s="209" t="s">
        <v>498</v>
      </c>
      <c r="D589" s="209" t="s">
        <v>985</v>
      </c>
      <c r="E589" s="209"/>
      <c r="F589" s="215">
        <v>37190.399999999994</v>
      </c>
      <c r="G589" s="203">
        <v>0</v>
      </c>
      <c r="H589" s="215">
        <f>H590</f>
        <v>27523.999999999996</v>
      </c>
      <c r="I589" s="203">
        <f>I590</f>
        <v>0</v>
      </c>
      <c r="J589" s="216">
        <f t="shared" si="127"/>
        <v>-9666.3999999999978</v>
      </c>
      <c r="K589" s="204">
        <f t="shared" si="128"/>
        <v>0</v>
      </c>
    </row>
    <row r="590" spans="1:11" ht="22.5" x14ac:dyDescent="0.2">
      <c r="A590" s="202" t="s">
        <v>1022</v>
      </c>
      <c r="B590" s="209" t="s">
        <v>512</v>
      </c>
      <c r="C590" s="209" t="s">
        <v>498</v>
      </c>
      <c r="D590" s="209" t="s">
        <v>1021</v>
      </c>
      <c r="E590" s="209"/>
      <c r="F590" s="215">
        <v>37190.399999999994</v>
      </c>
      <c r="G590" s="203">
        <v>0</v>
      </c>
      <c r="H590" s="215">
        <f>H591+H595</f>
        <v>27523.999999999996</v>
      </c>
      <c r="I590" s="203">
        <f>I591+I595</f>
        <v>0</v>
      </c>
      <c r="J590" s="216">
        <f t="shared" si="127"/>
        <v>-9666.3999999999978</v>
      </c>
      <c r="K590" s="204">
        <f t="shared" si="128"/>
        <v>0</v>
      </c>
    </row>
    <row r="591" spans="1:11" ht="22.5" x14ac:dyDescent="0.2">
      <c r="A591" s="202" t="s">
        <v>1034</v>
      </c>
      <c r="B591" s="209" t="s">
        <v>512</v>
      </c>
      <c r="C591" s="209" t="s">
        <v>498</v>
      </c>
      <c r="D591" s="209" t="s">
        <v>1033</v>
      </c>
      <c r="E591" s="209"/>
      <c r="F591" s="215">
        <v>28145.3</v>
      </c>
      <c r="G591" s="203">
        <v>0</v>
      </c>
      <c r="H591" s="215">
        <f t="shared" ref="H591:I593" si="143">H592</f>
        <v>14468.499999999998</v>
      </c>
      <c r="I591" s="203">
        <f t="shared" si="143"/>
        <v>0</v>
      </c>
      <c r="J591" s="216">
        <f t="shared" si="127"/>
        <v>-13676.800000000001</v>
      </c>
      <c r="K591" s="204">
        <f t="shared" si="128"/>
        <v>0</v>
      </c>
    </row>
    <row r="592" spans="1:11" x14ac:dyDescent="0.2">
      <c r="A592" s="202" t="s">
        <v>1032</v>
      </c>
      <c r="B592" s="209" t="s">
        <v>512</v>
      </c>
      <c r="C592" s="209" t="s">
        <v>498</v>
      </c>
      <c r="D592" s="209" t="s">
        <v>1031</v>
      </c>
      <c r="E592" s="209"/>
      <c r="F592" s="215">
        <v>28145.3</v>
      </c>
      <c r="G592" s="203">
        <v>0</v>
      </c>
      <c r="H592" s="215">
        <f t="shared" si="143"/>
        <v>14468.499999999998</v>
      </c>
      <c r="I592" s="203">
        <f t="shared" si="143"/>
        <v>0</v>
      </c>
      <c r="J592" s="216">
        <f t="shared" si="127"/>
        <v>-13676.800000000001</v>
      </c>
      <c r="K592" s="204">
        <f t="shared" si="128"/>
        <v>0</v>
      </c>
    </row>
    <row r="593" spans="1:11" x14ac:dyDescent="0.2">
      <c r="A593" s="202" t="s">
        <v>615</v>
      </c>
      <c r="B593" s="209" t="s">
        <v>512</v>
      </c>
      <c r="C593" s="209" t="s">
        <v>498</v>
      </c>
      <c r="D593" s="209" t="s">
        <v>1031</v>
      </c>
      <c r="E593" s="209" t="s">
        <v>509</v>
      </c>
      <c r="F593" s="215">
        <v>28145.3</v>
      </c>
      <c r="G593" s="203">
        <v>0</v>
      </c>
      <c r="H593" s="215">
        <f t="shared" si="143"/>
        <v>14468.499999999998</v>
      </c>
      <c r="I593" s="203">
        <f t="shared" si="143"/>
        <v>0</v>
      </c>
      <c r="J593" s="216">
        <f t="shared" si="127"/>
        <v>-13676.800000000001</v>
      </c>
      <c r="K593" s="204">
        <f t="shared" si="128"/>
        <v>0</v>
      </c>
    </row>
    <row r="594" spans="1:11" ht="22.5" x14ac:dyDescent="0.2">
      <c r="A594" s="202" t="s">
        <v>1346</v>
      </c>
      <c r="B594" s="209" t="s">
        <v>512</v>
      </c>
      <c r="C594" s="209" t="s">
        <v>498</v>
      </c>
      <c r="D594" s="209" t="s">
        <v>1031</v>
      </c>
      <c r="E594" s="209" t="s">
        <v>511</v>
      </c>
      <c r="F594" s="215">
        <v>28145.3</v>
      </c>
      <c r="G594" s="203">
        <v>0</v>
      </c>
      <c r="H594" s="215">
        <f>'Ведомственная 2020'!H538</f>
        <v>14468.499999999998</v>
      </c>
      <c r="I594" s="203">
        <v>0</v>
      </c>
      <c r="J594" s="216">
        <f t="shared" si="127"/>
        <v>-13676.800000000001</v>
      </c>
      <c r="K594" s="204">
        <f t="shared" si="128"/>
        <v>0</v>
      </c>
    </row>
    <row r="595" spans="1:11" ht="22.5" x14ac:dyDescent="0.2">
      <c r="A595" s="202" t="s">
        <v>1020</v>
      </c>
      <c r="B595" s="209" t="s">
        <v>512</v>
      </c>
      <c r="C595" s="209" t="s">
        <v>498</v>
      </c>
      <c r="D595" s="209" t="s">
        <v>1019</v>
      </c>
      <c r="E595" s="209"/>
      <c r="F595" s="215">
        <v>9045.0999999999985</v>
      </c>
      <c r="G595" s="203">
        <v>0</v>
      </c>
      <c r="H595" s="215">
        <f>H596+H599+H602</f>
        <v>13055.499999999998</v>
      </c>
      <c r="I595" s="203">
        <f>I596</f>
        <v>0</v>
      </c>
      <c r="J595" s="216">
        <f t="shared" si="127"/>
        <v>4010.3999999999996</v>
      </c>
      <c r="K595" s="204">
        <f t="shared" si="128"/>
        <v>0</v>
      </c>
    </row>
    <row r="596" spans="1:11" x14ac:dyDescent="0.2">
      <c r="A596" s="202" t="s">
        <v>1018</v>
      </c>
      <c r="B596" s="209" t="s">
        <v>512</v>
      </c>
      <c r="C596" s="209" t="s">
        <v>498</v>
      </c>
      <c r="D596" s="209" t="s">
        <v>1017</v>
      </c>
      <c r="E596" s="209"/>
      <c r="F596" s="215">
        <v>4664.3999999999996</v>
      </c>
      <c r="G596" s="203">
        <v>0</v>
      </c>
      <c r="H596" s="215">
        <f>H597</f>
        <v>4995.3999999999996</v>
      </c>
      <c r="I596" s="203">
        <f>I597</f>
        <v>0</v>
      </c>
      <c r="J596" s="216">
        <f t="shared" si="127"/>
        <v>331</v>
      </c>
      <c r="K596" s="204">
        <f t="shared" si="128"/>
        <v>0</v>
      </c>
    </row>
    <row r="597" spans="1:11" x14ac:dyDescent="0.2">
      <c r="A597" s="202" t="s">
        <v>615</v>
      </c>
      <c r="B597" s="209" t="s">
        <v>512</v>
      </c>
      <c r="C597" s="209" t="s">
        <v>498</v>
      </c>
      <c r="D597" s="209" t="s">
        <v>1017</v>
      </c>
      <c r="E597" s="209" t="s">
        <v>509</v>
      </c>
      <c r="F597" s="215">
        <v>4664.3999999999996</v>
      </c>
      <c r="G597" s="203">
        <v>0</v>
      </c>
      <c r="H597" s="215">
        <f>H598</f>
        <v>4995.3999999999996</v>
      </c>
      <c r="I597" s="203">
        <f>I598</f>
        <v>0</v>
      </c>
      <c r="J597" s="216">
        <f t="shared" si="127"/>
        <v>331</v>
      </c>
      <c r="K597" s="204">
        <f t="shared" si="128"/>
        <v>0</v>
      </c>
    </row>
    <row r="598" spans="1:11" ht="22.5" x14ac:dyDescent="0.2">
      <c r="A598" s="202" t="s">
        <v>1346</v>
      </c>
      <c r="B598" s="209" t="s">
        <v>512</v>
      </c>
      <c r="C598" s="209" t="s">
        <v>498</v>
      </c>
      <c r="D598" s="209" t="s">
        <v>1017</v>
      </c>
      <c r="E598" s="209" t="s">
        <v>511</v>
      </c>
      <c r="F598" s="215">
        <v>4664.3999999999996</v>
      </c>
      <c r="G598" s="203">
        <v>0</v>
      </c>
      <c r="H598" s="215">
        <f>'Ведомственная 2020'!H542</f>
        <v>4995.3999999999996</v>
      </c>
      <c r="I598" s="203">
        <v>0</v>
      </c>
      <c r="J598" s="216">
        <f t="shared" si="127"/>
        <v>331</v>
      </c>
      <c r="K598" s="204">
        <f t="shared" si="128"/>
        <v>0</v>
      </c>
    </row>
    <row r="599" spans="1:11" x14ac:dyDescent="0.2">
      <c r="A599" s="202" t="s">
        <v>1030</v>
      </c>
      <c r="B599" s="209" t="s">
        <v>512</v>
      </c>
      <c r="C599" s="209" t="s">
        <v>498</v>
      </c>
      <c r="D599" s="209" t="s">
        <v>1029</v>
      </c>
      <c r="E599" s="209"/>
      <c r="F599" s="215">
        <v>4380.7</v>
      </c>
      <c r="G599" s="203">
        <v>0</v>
      </c>
      <c r="H599" s="215">
        <f>H600</f>
        <v>6360.7</v>
      </c>
      <c r="I599" s="203">
        <f>I600</f>
        <v>0</v>
      </c>
      <c r="J599" s="216">
        <f t="shared" si="127"/>
        <v>1980</v>
      </c>
      <c r="K599" s="204">
        <f t="shared" si="128"/>
        <v>0</v>
      </c>
    </row>
    <row r="600" spans="1:11" ht="22.5" x14ac:dyDescent="0.2">
      <c r="A600" s="202" t="s">
        <v>547</v>
      </c>
      <c r="B600" s="209" t="s">
        <v>512</v>
      </c>
      <c r="C600" s="209" t="s">
        <v>498</v>
      </c>
      <c r="D600" s="209" t="s">
        <v>1029</v>
      </c>
      <c r="E600" s="209" t="s">
        <v>519</v>
      </c>
      <c r="F600" s="215">
        <v>4380.7</v>
      </c>
      <c r="G600" s="203">
        <v>0</v>
      </c>
      <c r="H600" s="215">
        <f>H601</f>
        <v>6360.7</v>
      </c>
      <c r="I600" s="203">
        <f>I601</f>
        <v>0</v>
      </c>
      <c r="J600" s="216">
        <f t="shared" si="127"/>
        <v>1980</v>
      </c>
      <c r="K600" s="204">
        <f t="shared" si="128"/>
        <v>0</v>
      </c>
    </row>
    <row r="601" spans="1:11" x14ac:dyDescent="0.2">
      <c r="A601" s="202" t="s">
        <v>571</v>
      </c>
      <c r="B601" s="209" t="s">
        <v>512</v>
      </c>
      <c r="C601" s="209" t="s">
        <v>498</v>
      </c>
      <c r="D601" s="209" t="s">
        <v>1029</v>
      </c>
      <c r="E601" s="209" t="s">
        <v>522</v>
      </c>
      <c r="F601" s="215">
        <v>4380.7</v>
      </c>
      <c r="G601" s="203">
        <v>0</v>
      </c>
      <c r="H601" s="215">
        <f>'Ведомственная 2020'!H545</f>
        <v>6360.7</v>
      </c>
      <c r="I601" s="203">
        <v>0</v>
      </c>
      <c r="J601" s="216">
        <f t="shared" si="127"/>
        <v>1980</v>
      </c>
      <c r="K601" s="204">
        <f t="shared" si="128"/>
        <v>0</v>
      </c>
    </row>
    <row r="602" spans="1:11" s="434" customFormat="1" ht="33.75" x14ac:dyDescent="0.2">
      <c r="A602" s="202" t="s">
        <v>1627</v>
      </c>
      <c r="B602" s="209" t="s">
        <v>512</v>
      </c>
      <c r="C602" s="209" t="s">
        <v>498</v>
      </c>
      <c r="D602" s="209" t="s">
        <v>1628</v>
      </c>
      <c r="E602" s="209"/>
      <c r="F602" s="215">
        <f>F603</f>
        <v>0</v>
      </c>
      <c r="G602" s="203">
        <f t="shared" ref="G602:I603" si="144">G603</f>
        <v>0</v>
      </c>
      <c r="H602" s="215">
        <f t="shared" si="144"/>
        <v>1699.3999999999999</v>
      </c>
      <c r="I602" s="203">
        <f t="shared" si="144"/>
        <v>0</v>
      </c>
      <c r="J602" s="216">
        <f t="shared" ref="J602:J604" si="145">H602-F602</f>
        <v>1699.3999999999999</v>
      </c>
      <c r="K602" s="204">
        <f t="shared" ref="K602:K604" si="146">I602-G602</f>
        <v>0</v>
      </c>
    </row>
    <row r="603" spans="1:11" s="434" customFormat="1" x14ac:dyDescent="0.2">
      <c r="A603" s="202" t="s">
        <v>615</v>
      </c>
      <c r="B603" s="209" t="s">
        <v>512</v>
      </c>
      <c r="C603" s="209" t="s">
        <v>498</v>
      </c>
      <c r="D603" s="209" t="s">
        <v>1628</v>
      </c>
      <c r="E603" s="209" t="s">
        <v>509</v>
      </c>
      <c r="F603" s="215">
        <f>F604</f>
        <v>0</v>
      </c>
      <c r="G603" s="203">
        <f t="shared" si="144"/>
        <v>0</v>
      </c>
      <c r="H603" s="215">
        <f t="shared" si="144"/>
        <v>1699.3999999999999</v>
      </c>
      <c r="I603" s="203">
        <f t="shared" si="144"/>
        <v>0</v>
      </c>
      <c r="J603" s="216">
        <f t="shared" si="145"/>
        <v>1699.3999999999999</v>
      </c>
      <c r="K603" s="204">
        <f t="shared" si="146"/>
        <v>0</v>
      </c>
    </row>
    <row r="604" spans="1:11" s="434" customFormat="1" ht="22.5" x14ac:dyDescent="0.2">
      <c r="A604" s="202" t="s">
        <v>1346</v>
      </c>
      <c r="B604" s="209" t="s">
        <v>512</v>
      </c>
      <c r="C604" s="209" t="s">
        <v>498</v>
      </c>
      <c r="D604" s="209" t="s">
        <v>1628</v>
      </c>
      <c r="E604" s="209" t="s">
        <v>511</v>
      </c>
      <c r="F604" s="215">
        <v>0</v>
      </c>
      <c r="G604" s="203">
        <v>0</v>
      </c>
      <c r="H604" s="215">
        <f>'Ведомственная 2020'!H548</f>
        <v>1699.3999999999999</v>
      </c>
      <c r="I604" s="203">
        <v>0</v>
      </c>
      <c r="J604" s="216">
        <f t="shared" si="145"/>
        <v>1699.3999999999999</v>
      </c>
      <c r="K604" s="204">
        <f t="shared" si="146"/>
        <v>0</v>
      </c>
    </row>
    <row r="605" spans="1:11" s="300" customFormat="1" x14ac:dyDescent="0.2">
      <c r="A605" s="202" t="s">
        <v>595</v>
      </c>
      <c r="B605" s="209" t="s">
        <v>512</v>
      </c>
      <c r="C605" s="209" t="s">
        <v>498</v>
      </c>
      <c r="D605" s="209" t="s">
        <v>594</v>
      </c>
      <c r="E605" s="209"/>
      <c r="F605" s="215">
        <v>7059.4</v>
      </c>
      <c r="G605" s="203">
        <v>0</v>
      </c>
      <c r="H605" s="215">
        <f t="shared" ref="H605:I611" si="147">H606</f>
        <v>9943.1</v>
      </c>
      <c r="I605" s="203">
        <f t="shared" si="147"/>
        <v>0</v>
      </c>
      <c r="J605" s="216">
        <f t="shared" ref="J605:J612" si="148">H605-F605</f>
        <v>2883.7000000000007</v>
      </c>
      <c r="K605" s="204">
        <f t="shared" ref="K605:K612" si="149">I605-G605</f>
        <v>0</v>
      </c>
    </row>
    <row r="606" spans="1:11" s="300" customFormat="1" x14ac:dyDescent="0.2">
      <c r="A606" s="202" t="s">
        <v>1240</v>
      </c>
      <c r="B606" s="209" t="s">
        <v>512</v>
      </c>
      <c r="C606" s="209" t="s">
        <v>498</v>
      </c>
      <c r="D606" s="209" t="s">
        <v>1239</v>
      </c>
      <c r="E606" s="209"/>
      <c r="F606" s="215">
        <v>7059.4</v>
      </c>
      <c r="G606" s="203">
        <v>0</v>
      </c>
      <c r="H606" s="215">
        <f>H611+H609+H607</f>
        <v>9943.1</v>
      </c>
      <c r="I606" s="203">
        <f>I611</f>
        <v>0</v>
      </c>
      <c r="J606" s="216">
        <f t="shared" si="148"/>
        <v>2883.7000000000007</v>
      </c>
      <c r="K606" s="204">
        <f t="shared" si="149"/>
        <v>0</v>
      </c>
    </row>
    <row r="607" spans="1:11" s="400" customFormat="1" x14ac:dyDescent="0.2">
      <c r="A607" s="202" t="s">
        <v>1347</v>
      </c>
      <c r="B607" s="209" t="s">
        <v>512</v>
      </c>
      <c r="C607" s="209" t="s">
        <v>498</v>
      </c>
      <c r="D607" s="209" t="s">
        <v>1239</v>
      </c>
      <c r="E607" s="209">
        <v>200</v>
      </c>
      <c r="F607" s="215">
        <v>68.599999999999994</v>
      </c>
      <c r="G607" s="203">
        <v>0</v>
      </c>
      <c r="H607" s="215">
        <f>H608</f>
        <v>68.599999999999994</v>
      </c>
      <c r="I607" s="203">
        <f>I608</f>
        <v>0</v>
      </c>
      <c r="J607" s="216">
        <f t="shared" ref="J607:J608" si="150">H607-F607</f>
        <v>0</v>
      </c>
      <c r="K607" s="204">
        <f t="shared" ref="K607:K608" si="151">I607-G607</f>
        <v>0</v>
      </c>
    </row>
    <row r="608" spans="1:11" s="400" customFormat="1" ht="22.5" x14ac:dyDescent="0.2">
      <c r="A608" s="202" t="s">
        <v>534</v>
      </c>
      <c r="B608" s="209" t="s">
        <v>512</v>
      </c>
      <c r="C608" s="209" t="s">
        <v>498</v>
      </c>
      <c r="D608" s="209" t="s">
        <v>1239</v>
      </c>
      <c r="E608" s="209">
        <v>240</v>
      </c>
      <c r="F608" s="215">
        <v>68.599999999999994</v>
      </c>
      <c r="G608" s="203">
        <v>0</v>
      </c>
      <c r="H608" s="215">
        <f>'Ведомственная 2020'!H552</f>
        <v>68.599999999999994</v>
      </c>
      <c r="I608" s="203">
        <v>0</v>
      </c>
      <c r="J608" s="216">
        <f t="shared" si="150"/>
        <v>0</v>
      </c>
      <c r="K608" s="204">
        <f t="shared" si="151"/>
        <v>0</v>
      </c>
    </row>
    <row r="609" spans="1:11" s="375" customFormat="1" ht="22.5" x14ac:dyDescent="0.2">
      <c r="A609" s="202" t="s">
        <v>547</v>
      </c>
      <c r="B609" s="209" t="s">
        <v>512</v>
      </c>
      <c r="C609" s="209" t="s">
        <v>498</v>
      </c>
      <c r="D609" s="209" t="s">
        <v>1239</v>
      </c>
      <c r="E609" s="209" t="s">
        <v>519</v>
      </c>
      <c r="F609" s="215">
        <v>841.5</v>
      </c>
      <c r="G609" s="203">
        <v>0</v>
      </c>
      <c r="H609" s="215">
        <f>H610</f>
        <v>3513.1</v>
      </c>
      <c r="I609" s="203">
        <f>I610</f>
        <v>0</v>
      </c>
      <c r="J609" s="216">
        <f t="shared" ref="J609:J610" si="152">H609-F609</f>
        <v>2671.6</v>
      </c>
      <c r="K609" s="204">
        <f t="shared" ref="K609:K610" si="153">I609-G609</f>
        <v>0</v>
      </c>
    </row>
    <row r="610" spans="1:11" s="375" customFormat="1" x14ac:dyDescent="0.2">
      <c r="A610" s="202" t="s">
        <v>571</v>
      </c>
      <c r="B610" s="209" t="s">
        <v>512</v>
      </c>
      <c r="C610" s="209" t="s">
        <v>498</v>
      </c>
      <c r="D610" s="209" t="s">
        <v>1239</v>
      </c>
      <c r="E610" s="209" t="s">
        <v>522</v>
      </c>
      <c r="F610" s="215">
        <v>841.5</v>
      </c>
      <c r="G610" s="203">
        <v>0</v>
      </c>
      <c r="H610" s="215">
        <f>'Ведомственная 2020'!H554</f>
        <v>3513.1</v>
      </c>
      <c r="I610" s="203">
        <v>0</v>
      </c>
      <c r="J610" s="216">
        <f t="shared" si="152"/>
        <v>2671.6</v>
      </c>
      <c r="K610" s="204">
        <f t="shared" si="153"/>
        <v>0</v>
      </c>
    </row>
    <row r="611" spans="1:11" s="300" customFormat="1" x14ac:dyDescent="0.2">
      <c r="A611" s="202" t="s">
        <v>615</v>
      </c>
      <c r="B611" s="209" t="s">
        <v>512</v>
      </c>
      <c r="C611" s="209" t="s">
        <v>498</v>
      </c>
      <c r="D611" s="209" t="s">
        <v>1239</v>
      </c>
      <c r="E611" s="209" t="s">
        <v>509</v>
      </c>
      <c r="F611" s="215">
        <v>6149.2999999999993</v>
      </c>
      <c r="G611" s="203">
        <v>0</v>
      </c>
      <c r="H611" s="215">
        <f t="shared" si="147"/>
        <v>6361.4</v>
      </c>
      <c r="I611" s="203">
        <f t="shared" si="147"/>
        <v>0</v>
      </c>
      <c r="J611" s="216">
        <f t="shared" si="148"/>
        <v>212.10000000000036</v>
      </c>
      <c r="K611" s="204">
        <f t="shared" si="149"/>
        <v>0</v>
      </c>
    </row>
    <row r="612" spans="1:11" s="300" customFormat="1" ht="22.5" x14ac:dyDescent="0.2">
      <c r="A612" s="202" t="s">
        <v>1346</v>
      </c>
      <c r="B612" s="209" t="s">
        <v>512</v>
      </c>
      <c r="C612" s="209" t="s">
        <v>498</v>
      </c>
      <c r="D612" s="209" t="s">
        <v>1239</v>
      </c>
      <c r="E612" s="209">
        <v>810</v>
      </c>
      <c r="F612" s="215">
        <v>6149.2999999999993</v>
      </c>
      <c r="G612" s="203">
        <v>0</v>
      </c>
      <c r="H612" s="215">
        <f>'Ведомственная 2020'!H556</f>
        <v>6361.4</v>
      </c>
      <c r="I612" s="203">
        <v>0</v>
      </c>
      <c r="J612" s="216">
        <f t="shared" si="148"/>
        <v>212.10000000000036</v>
      </c>
      <c r="K612" s="204">
        <f t="shared" si="149"/>
        <v>0</v>
      </c>
    </row>
    <row r="613" spans="1:11" x14ac:dyDescent="0.2">
      <c r="A613" s="202" t="s">
        <v>1028</v>
      </c>
      <c r="B613" s="209" t="s">
        <v>512</v>
      </c>
      <c r="C613" s="209" t="s">
        <v>502</v>
      </c>
      <c r="D613" s="209"/>
      <c r="E613" s="209"/>
      <c r="F613" s="215">
        <v>6428.7</v>
      </c>
      <c r="G613" s="203">
        <v>0</v>
      </c>
      <c r="H613" s="215">
        <f>H614+H647</f>
        <v>10095.5</v>
      </c>
      <c r="I613" s="203">
        <f>I614+I647</f>
        <v>0</v>
      </c>
      <c r="J613" s="216">
        <f t="shared" si="127"/>
        <v>3666.8</v>
      </c>
      <c r="K613" s="204">
        <f t="shared" si="128"/>
        <v>0</v>
      </c>
    </row>
    <row r="614" spans="1:11" x14ac:dyDescent="0.2">
      <c r="A614" s="202" t="s">
        <v>943</v>
      </c>
      <c r="B614" s="209" t="s">
        <v>512</v>
      </c>
      <c r="C614" s="209" t="s">
        <v>502</v>
      </c>
      <c r="D614" s="209" t="s">
        <v>942</v>
      </c>
      <c r="E614" s="209"/>
      <c r="F614" s="215">
        <v>4748</v>
      </c>
      <c r="G614" s="203">
        <v>0</v>
      </c>
      <c r="H614" s="215">
        <f>H633+H620+H615+H628</f>
        <v>8414.7999999999993</v>
      </c>
      <c r="I614" s="203">
        <f>I633+I620</f>
        <v>0</v>
      </c>
      <c r="J614" s="216">
        <f t="shared" ref="J614:J697" si="154">H614-F614</f>
        <v>3666.7999999999993</v>
      </c>
      <c r="K614" s="204">
        <f t="shared" ref="K614:K697" si="155">I614-G614</f>
        <v>0</v>
      </c>
    </row>
    <row r="615" spans="1:11" s="438" customFormat="1" x14ac:dyDescent="0.2">
      <c r="A615" s="202" t="s">
        <v>1596</v>
      </c>
      <c r="B615" s="209" t="s">
        <v>512</v>
      </c>
      <c r="C615" s="209" t="s">
        <v>502</v>
      </c>
      <c r="D615" s="209" t="s">
        <v>1599</v>
      </c>
      <c r="E615" s="209"/>
      <c r="F615" s="215">
        <f>F616</f>
        <v>0</v>
      </c>
      <c r="G615" s="203">
        <f t="shared" ref="G615:I618" si="156">G616</f>
        <v>0</v>
      </c>
      <c r="H615" s="215">
        <f t="shared" si="156"/>
        <v>760.1</v>
      </c>
      <c r="I615" s="203">
        <f t="shared" si="156"/>
        <v>0</v>
      </c>
      <c r="J615" s="216">
        <f t="shared" ref="J615:J619" si="157">H615-F615</f>
        <v>760.1</v>
      </c>
      <c r="K615" s="204">
        <f t="shared" ref="K615:K619" si="158">I615-G615</f>
        <v>0</v>
      </c>
    </row>
    <row r="616" spans="1:11" s="438" customFormat="1" ht="33.75" x14ac:dyDescent="0.2">
      <c r="A616" s="202" t="s">
        <v>1597</v>
      </c>
      <c r="B616" s="209" t="s">
        <v>512</v>
      </c>
      <c r="C616" s="209" t="s">
        <v>502</v>
      </c>
      <c r="D616" s="209" t="s">
        <v>1600</v>
      </c>
      <c r="E616" s="209"/>
      <c r="F616" s="215">
        <f>F617</f>
        <v>0</v>
      </c>
      <c r="G616" s="203">
        <f t="shared" si="156"/>
        <v>0</v>
      </c>
      <c r="H616" s="215">
        <f t="shared" si="156"/>
        <v>760.1</v>
      </c>
      <c r="I616" s="203">
        <f t="shared" si="156"/>
        <v>0</v>
      </c>
      <c r="J616" s="216">
        <f t="shared" si="157"/>
        <v>760.1</v>
      </c>
      <c r="K616" s="204">
        <f t="shared" si="158"/>
        <v>0</v>
      </c>
    </row>
    <row r="617" spans="1:11" s="438" customFormat="1" ht="22.5" x14ac:dyDescent="0.2">
      <c r="A617" s="202" t="s">
        <v>1643</v>
      </c>
      <c r="B617" s="209" t="s">
        <v>512</v>
      </c>
      <c r="C617" s="209" t="s">
        <v>502</v>
      </c>
      <c r="D617" s="209" t="s">
        <v>1644</v>
      </c>
      <c r="E617" s="209"/>
      <c r="F617" s="215">
        <f>F618</f>
        <v>0</v>
      </c>
      <c r="G617" s="203">
        <f t="shared" si="156"/>
        <v>0</v>
      </c>
      <c r="H617" s="215">
        <f t="shared" si="156"/>
        <v>760.1</v>
      </c>
      <c r="I617" s="203">
        <f t="shared" si="156"/>
        <v>0</v>
      </c>
      <c r="J617" s="216">
        <f t="shared" si="157"/>
        <v>760.1</v>
      </c>
      <c r="K617" s="204">
        <f t="shared" si="158"/>
        <v>0</v>
      </c>
    </row>
    <row r="618" spans="1:11" s="438" customFormat="1" x14ac:dyDescent="0.2">
      <c r="A618" s="202" t="s">
        <v>1347</v>
      </c>
      <c r="B618" s="209" t="s">
        <v>512</v>
      </c>
      <c r="C618" s="209" t="s">
        <v>502</v>
      </c>
      <c r="D618" s="209" t="s">
        <v>1644</v>
      </c>
      <c r="E618" s="209" t="s">
        <v>535</v>
      </c>
      <c r="F618" s="215">
        <f>F619</f>
        <v>0</v>
      </c>
      <c r="G618" s="203">
        <f t="shared" si="156"/>
        <v>0</v>
      </c>
      <c r="H618" s="215">
        <f t="shared" si="156"/>
        <v>760.1</v>
      </c>
      <c r="I618" s="203">
        <f t="shared" si="156"/>
        <v>0</v>
      </c>
      <c r="J618" s="216">
        <f t="shared" si="157"/>
        <v>760.1</v>
      </c>
      <c r="K618" s="204">
        <f t="shared" si="158"/>
        <v>0</v>
      </c>
    </row>
    <row r="619" spans="1:11" s="438" customFormat="1" ht="22.5" x14ac:dyDescent="0.2">
      <c r="A619" s="202" t="s">
        <v>534</v>
      </c>
      <c r="B619" s="209" t="s">
        <v>512</v>
      </c>
      <c r="C619" s="209" t="s">
        <v>502</v>
      </c>
      <c r="D619" s="209" t="s">
        <v>1644</v>
      </c>
      <c r="E619" s="209" t="s">
        <v>529</v>
      </c>
      <c r="F619" s="215">
        <v>0</v>
      </c>
      <c r="G619" s="203">
        <v>0</v>
      </c>
      <c r="H619" s="215">
        <f>'Ведомственная 2020'!H563</f>
        <v>760.1</v>
      </c>
      <c r="I619" s="203">
        <v>0</v>
      </c>
      <c r="J619" s="216">
        <f t="shared" si="157"/>
        <v>760.1</v>
      </c>
      <c r="K619" s="204">
        <f t="shared" si="158"/>
        <v>0</v>
      </c>
    </row>
    <row r="620" spans="1:11" s="377" customFormat="1" ht="22.5" x14ac:dyDescent="0.2">
      <c r="A620" s="202" t="s">
        <v>1494</v>
      </c>
      <c r="B620" s="209" t="s">
        <v>512</v>
      </c>
      <c r="C620" s="209" t="s">
        <v>502</v>
      </c>
      <c r="D620" s="209" t="s">
        <v>1495</v>
      </c>
      <c r="E620" s="209"/>
      <c r="F620" s="215">
        <v>200</v>
      </c>
      <c r="G620" s="203">
        <v>0</v>
      </c>
      <c r="H620" s="215">
        <f t="shared" ref="H620:I620" si="159">H621</f>
        <v>200</v>
      </c>
      <c r="I620" s="203">
        <f t="shared" si="159"/>
        <v>0</v>
      </c>
      <c r="J620" s="216">
        <f t="shared" ref="J620:J627" si="160">H620-F620</f>
        <v>0</v>
      </c>
      <c r="K620" s="204">
        <f t="shared" ref="K620:K627" si="161">I620-G620</f>
        <v>0</v>
      </c>
    </row>
    <row r="621" spans="1:11" s="377" customFormat="1" ht="33.75" x14ac:dyDescent="0.2">
      <c r="A621" s="202" t="s">
        <v>1496</v>
      </c>
      <c r="B621" s="209" t="s">
        <v>512</v>
      </c>
      <c r="C621" s="209" t="s">
        <v>502</v>
      </c>
      <c r="D621" s="209" t="s">
        <v>1497</v>
      </c>
      <c r="E621" s="209"/>
      <c r="F621" s="215">
        <v>200</v>
      </c>
      <c r="G621" s="203">
        <v>0</v>
      </c>
      <c r="H621" s="215">
        <f t="shared" ref="H621:I621" si="162">H622+H625</f>
        <v>200</v>
      </c>
      <c r="I621" s="203">
        <f t="shared" si="162"/>
        <v>0</v>
      </c>
      <c r="J621" s="216">
        <f t="shared" si="160"/>
        <v>0</v>
      </c>
      <c r="K621" s="204">
        <f t="shared" si="161"/>
        <v>0</v>
      </c>
    </row>
    <row r="622" spans="1:11" s="377" customFormat="1" ht="22.5" x14ac:dyDescent="0.2">
      <c r="A622" s="202" t="s">
        <v>1498</v>
      </c>
      <c r="B622" s="209" t="s">
        <v>512</v>
      </c>
      <c r="C622" s="209" t="s">
        <v>502</v>
      </c>
      <c r="D622" s="209" t="s">
        <v>1499</v>
      </c>
      <c r="E622" s="209"/>
      <c r="F622" s="215">
        <v>100</v>
      </c>
      <c r="G622" s="203">
        <v>0</v>
      </c>
      <c r="H622" s="215">
        <f t="shared" ref="H622:I622" si="163">H623</f>
        <v>100</v>
      </c>
      <c r="I622" s="203">
        <f t="shared" si="163"/>
        <v>0</v>
      </c>
      <c r="J622" s="216">
        <f t="shared" si="160"/>
        <v>0</v>
      </c>
      <c r="K622" s="204">
        <f t="shared" si="161"/>
        <v>0</v>
      </c>
    </row>
    <row r="623" spans="1:11" s="377" customFormat="1" x14ac:dyDescent="0.2">
      <c r="A623" s="202" t="s">
        <v>1347</v>
      </c>
      <c r="B623" s="209" t="s">
        <v>512</v>
      </c>
      <c r="C623" s="209" t="s">
        <v>502</v>
      </c>
      <c r="D623" s="209" t="s">
        <v>1499</v>
      </c>
      <c r="E623" s="209" t="s">
        <v>535</v>
      </c>
      <c r="F623" s="215">
        <v>100</v>
      </c>
      <c r="G623" s="203">
        <v>0</v>
      </c>
      <c r="H623" s="215">
        <f>H624</f>
        <v>100</v>
      </c>
      <c r="I623" s="203">
        <f>I624</f>
        <v>0</v>
      </c>
      <c r="J623" s="216">
        <f t="shared" si="160"/>
        <v>0</v>
      </c>
      <c r="K623" s="204">
        <f t="shared" si="161"/>
        <v>0</v>
      </c>
    </row>
    <row r="624" spans="1:11" s="377" customFormat="1" ht="22.5" x14ac:dyDescent="0.2">
      <c r="A624" s="202" t="s">
        <v>534</v>
      </c>
      <c r="B624" s="209" t="s">
        <v>512</v>
      </c>
      <c r="C624" s="209" t="s">
        <v>502</v>
      </c>
      <c r="D624" s="209" t="s">
        <v>1499</v>
      </c>
      <c r="E624" s="209" t="s">
        <v>529</v>
      </c>
      <c r="F624" s="215">
        <v>100</v>
      </c>
      <c r="G624" s="203">
        <v>0</v>
      </c>
      <c r="H624" s="215">
        <f>'Ведомственная 2020'!H568</f>
        <v>100</v>
      </c>
      <c r="I624" s="203">
        <v>0</v>
      </c>
      <c r="J624" s="216">
        <f t="shared" si="160"/>
        <v>0</v>
      </c>
      <c r="K624" s="204">
        <f t="shared" si="161"/>
        <v>0</v>
      </c>
    </row>
    <row r="625" spans="1:11" s="377" customFormat="1" ht="22.5" x14ac:dyDescent="0.2">
      <c r="A625" s="202" t="s">
        <v>1500</v>
      </c>
      <c r="B625" s="209" t="s">
        <v>512</v>
      </c>
      <c r="C625" s="209" t="s">
        <v>502</v>
      </c>
      <c r="D625" s="209" t="s">
        <v>1501</v>
      </c>
      <c r="E625" s="209"/>
      <c r="F625" s="215">
        <v>100</v>
      </c>
      <c r="G625" s="203">
        <v>0</v>
      </c>
      <c r="H625" s="215">
        <f t="shared" ref="H625:I626" si="164">H626</f>
        <v>100</v>
      </c>
      <c r="I625" s="203">
        <f t="shared" si="164"/>
        <v>0</v>
      </c>
      <c r="J625" s="216">
        <f t="shared" si="160"/>
        <v>0</v>
      </c>
      <c r="K625" s="204">
        <f t="shared" si="161"/>
        <v>0</v>
      </c>
    </row>
    <row r="626" spans="1:11" s="377" customFormat="1" ht="22.5" x14ac:dyDescent="0.2">
      <c r="A626" s="202" t="s">
        <v>547</v>
      </c>
      <c r="B626" s="209" t="s">
        <v>512</v>
      </c>
      <c r="C626" s="209" t="s">
        <v>502</v>
      </c>
      <c r="D626" s="209" t="s">
        <v>1501</v>
      </c>
      <c r="E626" s="209" t="s">
        <v>519</v>
      </c>
      <c r="F626" s="215">
        <v>100</v>
      </c>
      <c r="G626" s="203">
        <v>0</v>
      </c>
      <c r="H626" s="215">
        <f t="shared" si="164"/>
        <v>100</v>
      </c>
      <c r="I626" s="203">
        <f t="shared" si="164"/>
        <v>0</v>
      </c>
      <c r="J626" s="216">
        <f t="shared" si="160"/>
        <v>0</v>
      </c>
      <c r="K626" s="204">
        <f t="shared" si="161"/>
        <v>0</v>
      </c>
    </row>
    <row r="627" spans="1:11" s="377" customFormat="1" x14ac:dyDescent="0.2">
      <c r="A627" s="202" t="s">
        <v>571</v>
      </c>
      <c r="B627" s="209" t="s">
        <v>512</v>
      </c>
      <c r="C627" s="209" t="s">
        <v>502</v>
      </c>
      <c r="D627" s="209" t="s">
        <v>1501</v>
      </c>
      <c r="E627" s="209" t="s">
        <v>522</v>
      </c>
      <c r="F627" s="215">
        <v>100</v>
      </c>
      <c r="G627" s="203">
        <v>0</v>
      </c>
      <c r="H627" s="215">
        <f>'Ведомственная 2020'!H571</f>
        <v>100</v>
      </c>
      <c r="I627" s="203">
        <v>0</v>
      </c>
      <c r="J627" s="216">
        <f t="shared" si="160"/>
        <v>0</v>
      </c>
      <c r="K627" s="204">
        <f t="shared" si="161"/>
        <v>0</v>
      </c>
    </row>
    <row r="628" spans="1:11" s="447" customFormat="1" x14ac:dyDescent="0.2">
      <c r="A628" s="202" t="s">
        <v>1727</v>
      </c>
      <c r="B628" s="209" t="s">
        <v>512</v>
      </c>
      <c r="C628" s="209" t="s">
        <v>502</v>
      </c>
      <c r="D628" s="209" t="s">
        <v>1728</v>
      </c>
      <c r="E628" s="209"/>
      <c r="F628" s="215">
        <f>F629</f>
        <v>0</v>
      </c>
      <c r="G628" s="203">
        <f t="shared" ref="G628:I631" si="165">G629</f>
        <v>0</v>
      </c>
      <c r="H628" s="215">
        <f t="shared" si="165"/>
        <v>2906.7</v>
      </c>
      <c r="I628" s="203">
        <f t="shared" si="165"/>
        <v>0</v>
      </c>
      <c r="J628" s="216">
        <f t="shared" ref="J628:J632" si="166">H628-F628</f>
        <v>2906.7</v>
      </c>
      <c r="K628" s="204">
        <f t="shared" ref="K628:K632" si="167">I628-G628</f>
        <v>0</v>
      </c>
    </row>
    <row r="629" spans="1:11" s="447" customFormat="1" ht="22.5" x14ac:dyDescent="0.2">
      <c r="A629" s="202" t="s">
        <v>1729</v>
      </c>
      <c r="B629" s="209" t="s">
        <v>512</v>
      </c>
      <c r="C629" s="209" t="s">
        <v>502</v>
      </c>
      <c r="D629" s="209" t="s">
        <v>1730</v>
      </c>
      <c r="E629" s="209"/>
      <c r="F629" s="215">
        <f>F630</f>
        <v>0</v>
      </c>
      <c r="G629" s="203">
        <f t="shared" si="165"/>
        <v>0</v>
      </c>
      <c r="H629" s="215">
        <f t="shared" si="165"/>
        <v>2906.7</v>
      </c>
      <c r="I629" s="203">
        <f t="shared" si="165"/>
        <v>0</v>
      </c>
      <c r="J629" s="216">
        <f t="shared" si="166"/>
        <v>2906.7</v>
      </c>
      <c r="K629" s="204">
        <f t="shared" si="167"/>
        <v>0</v>
      </c>
    </row>
    <row r="630" spans="1:11" s="447" customFormat="1" ht="22.5" x14ac:dyDescent="0.2">
      <c r="A630" s="202" t="s">
        <v>1731</v>
      </c>
      <c r="B630" s="209" t="s">
        <v>512</v>
      </c>
      <c r="C630" s="209" t="s">
        <v>502</v>
      </c>
      <c r="D630" s="209" t="s">
        <v>1732</v>
      </c>
      <c r="E630" s="209"/>
      <c r="F630" s="215">
        <f>F631</f>
        <v>0</v>
      </c>
      <c r="G630" s="203">
        <f t="shared" si="165"/>
        <v>0</v>
      </c>
      <c r="H630" s="215">
        <f t="shared" si="165"/>
        <v>2906.7</v>
      </c>
      <c r="I630" s="203">
        <f t="shared" si="165"/>
        <v>0</v>
      </c>
      <c r="J630" s="216">
        <f t="shared" si="166"/>
        <v>2906.7</v>
      </c>
      <c r="K630" s="204">
        <f t="shared" si="167"/>
        <v>0</v>
      </c>
    </row>
    <row r="631" spans="1:11" s="447" customFormat="1" x14ac:dyDescent="0.2">
      <c r="A631" s="202" t="s">
        <v>1355</v>
      </c>
      <c r="B631" s="209" t="s">
        <v>512</v>
      </c>
      <c r="C631" s="209" t="s">
        <v>502</v>
      </c>
      <c r="D631" s="209" t="s">
        <v>1732</v>
      </c>
      <c r="E631" s="209" t="s">
        <v>824</v>
      </c>
      <c r="F631" s="215">
        <f>F632</f>
        <v>0</v>
      </c>
      <c r="G631" s="203">
        <f t="shared" si="165"/>
        <v>0</v>
      </c>
      <c r="H631" s="215">
        <f t="shared" si="165"/>
        <v>2906.7</v>
      </c>
      <c r="I631" s="203">
        <f t="shared" si="165"/>
        <v>0</v>
      </c>
      <c r="J631" s="216">
        <f t="shared" si="166"/>
        <v>2906.7</v>
      </c>
      <c r="K631" s="204">
        <f t="shared" si="167"/>
        <v>0</v>
      </c>
    </row>
    <row r="632" spans="1:11" s="447" customFormat="1" x14ac:dyDescent="0.2">
      <c r="A632" s="202" t="s">
        <v>823</v>
      </c>
      <c r="B632" s="209" t="s">
        <v>512</v>
      </c>
      <c r="C632" s="209" t="s">
        <v>502</v>
      </c>
      <c r="D632" s="209" t="s">
        <v>1732</v>
      </c>
      <c r="E632" s="209" t="s">
        <v>821</v>
      </c>
      <c r="F632" s="215">
        <v>0</v>
      </c>
      <c r="G632" s="203">
        <v>0</v>
      </c>
      <c r="H632" s="215">
        <f>'Ведомственная 2020'!H576</f>
        <v>2906.7</v>
      </c>
      <c r="I632" s="203">
        <v>0</v>
      </c>
      <c r="J632" s="216">
        <f t="shared" si="166"/>
        <v>2906.7</v>
      </c>
      <c r="K632" s="204">
        <f t="shared" si="167"/>
        <v>0</v>
      </c>
    </row>
    <row r="633" spans="1:11" s="304" customFormat="1" x14ac:dyDescent="0.2">
      <c r="A633" s="202" t="s">
        <v>602</v>
      </c>
      <c r="B633" s="209" t="s">
        <v>512</v>
      </c>
      <c r="C633" s="209" t="s">
        <v>502</v>
      </c>
      <c r="D633" s="209" t="s">
        <v>941</v>
      </c>
      <c r="E633" s="209"/>
      <c r="F633" s="215">
        <v>4548</v>
      </c>
      <c r="G633" s="203">
        <v>0</v>
      </c>
      <c r="H633" s="215">
        <f t="shared" ref="H633:I633" si="168">H634</f>
        <v>4548</v>
      </c>
      <c r="I633" s="203">
        <f t="shared" si="168"/>
        <v>0</v>
      </c>
      <c r="J633" s="216">
        <f t="shared" ref="J633:J646" si="169">H633-F633</f>
        <v>0</v>
      </c>
      <c r="K633" s="204">
        <f t="shared" ref="K633:K646" si="170">I633-G633</f>
        <v>0</v>
      </c>
    </row>
    <row r="634" spans="1:11" s="304" customFormat="1" ht="22.5" x14ac:dyDescent="0.2">
      <c r="A634" s="202" t="s">
        <v>600</v>
      </c>
      <c r="B634" s="209" t="s">
        <v>512</v>
      </c>
      <c r="C634" s="209" t="s">
        <v>502</v>
      </c>
      <c r="D634" s="209" t="s">
        <v>940</v>
      </c>
      <c r="E634" s="209"/>
      <c r="F634" s="215">
        <v>4548</v>
      </c>
      <c r="G634" s="203">
        <v>0</v>
      </c>
      <c r="H634" s="215">
        <f t="shared" ref="H634:I634" si="171">H635+H638+H641+H644</f>
        <v>4548</v>
      </c>
      <c r="I634" s="203">
        <f t="shared" si="171"/>
        <v>0</v>
      </c>
      <c r="J634" s="216">
        <f t="shared" si="169"/>
        <v>0</v>
      </c>
      <c r="K634" s="204">
        <f t="shared" si="170"/>
        <v>0</v>
      </c>
    </row>
    <row r="635" spans="1:11" s="304" customFormat="1" ht="33.75" x14ac:dyDescent="0.2">
      <c r="A635" s="202" t="s">
        <v>1025</v>
      </c>
      <c r="B635" s="209" t="s">
        <v>512</v>
      </c>
      <c r="C635" s="209" t="s">
        <v>502</v>
      </c>
      <c r="D635" s="209" t="s">
        <v>1425</v>
      </c>
      <c r="E635" s="209"/>
      <c r="F635" s="215">
        <v>594</v>
      </c>
      <c r="G635" s="203">
        <v>0</v>
      </c>
      <c r="H635" s="215">
        <f t="shared" ref="H635:I636" si="172">H636</f>
        <v>594</v>
      </c>
      <c r="I635" s="203">
        <f t="shared" si="172"/>
        <v>0</v>
      </c>
      <c r="J635" s="216">
        <f t="shared" si="169"/>
        <v>0</v>
      </c>
      <c r="K635" s="204">
        <f t="shared" si="170"/>
        <v>0</v>
      </c>
    </row>
    <row r="636" spans="1:11" s="304" customFormat="1" x14ac:dyDescent="0.2">
      <c r="A636" s="202" t="s">
        <v>1347</v>
      </c>
      <c r="B636" s="209" t="s">
        <v>512</v>
      </c>
      <c r="C636" s="209" t="s">
        <v>502</v>
      </c>
      <c r="D636" s="209" t="s">
        <v>1425</v>
      </c>
      <c r="E636" s="209" t="s">
        <v>535</v>
      </c>
      <c r="F636" s="215">
        <v>594</v>
      </c>
      <c r="G636" s="203">
        <v>0</v>
      </c>
      <c r="H636" s="215">
        <f t="shared" si="172"/>
        <v>594</v>
      </c>
      <c r="I636" s="203">
        <f t="shared" si="172"/>
        <v>0</v>
      </c>
      <c r="J636" s="216">
        <f t="shared" si="169"/>
        <v>0</v>
      </c>
      <c r="K636" s="204">
        <f t="shared" si="170"/>
        <v>0</v>
      </c>
    </row>
    <row r="637" spans="1:11" s="304" customFormat="1" ht="22.5" x14ac:dyDescent="0.2">
      <c r="A637" s="202" t="s">
        <v>534</v>
      </c>
      <c r="B637" s="209" t="s">
        <v>512</v>
      </c>
      <c r="C637" s="209" t="s">
        <v>502</v>
      </c>
      <c r="D637" s="209" t="s">
        <v>1425</v>
      </c>
      <c r="E637" s="209" t="s">
        <v>529</v>
      </c>
      <c r="F637" s="215">
        <v>594</v>
      </c>
      <c r="G637" s="203">
        <v>0</v>
      </c>
      <c r="H637" s="215">
        <f>'Ведомственная 2020'!H581</f>
        <v>594</v>
      </c>
      <c r="I637" s="203">
        <v>0</v>
      </c>
      <c r="J637" s="216">
        <f t="shared" si="169"/>
        <v>0</v>
      </c>
      <c r="K637" s="204">
        <f t="shared" si="170"/>
        <v>0</v>
      </c>
    </row>
    <row r="638" spans="1:11" s="304" customFormat="1" ht="33.75" x14ac:dyDescent="0.2">
      <c r="A638" s="202" t="s">
        <v>1023</v>
      </c>
      <c r="B638" s="209" t="s">
        <v>512</v>
      </c>
      <c r="C638" s="209" t="s">
        <v>502</v>
      </c>
      <c r="D638" s="209" t="s">
        <v>1426</v>
      </c>
      <c r="E638" s="209"/>
      <c r="F638" s="215">
        <v>1644</v>
      </c>
      <c r="G638" s="203">
        <v>0</v>
      </c>
      <c r="H638" s="215">
        <f t="shared" ref="H638:I639" si="173">H639</f>
        <v>1644</v>
      </c>
      <c r="I638" s="203">
        <f t="shared" si="173"/>
        <v>0</v>
      </c>
      <c r="J638" s="216">
        <f t="shared" si="169"/>
        <v>0</v>
      </c>
      <c r="K638" s="204">
        <f t="shared" si="170"/>
        <v>0</v>
      </c>
    </row>
    <row r="639" spans="1:11" s="304" customFormat="1" x14ac:dyDescent="0.2">
      <c r="A639" s="202" t="s">
        <v>1347</v>
      </c>
      <c r="B639" s="209" t="s">
        <v>512</v>
      </c>
      <c r="C639" s="209" t="s">
        <v>502</v>
      </c>
      <c r="D639" s="209" t="s">
        <v>1426</v>
      </c>
      <c r="E639" s="209" t="s">
        <v>535</v>
      </c>
      <c r="F639" s="215">
        <v>1644</v>
      </c>
      <c r="G639" s="203">
        <v>0</v>
      </c>
      <c r="H639" s="215">
        <f t="shared" si="173"/>
        <v>1644</v>
      </c>
      <c r="I639" s="203">
        <f t="shared" si="173"/>
        <v>0</v>
      </c>
      <c r="J639" s="216">
        <f t="shared" si="169"/>
        <v>0</v>
      </c>
      <c r="K639" s="204">
        <f t="shared" si="170"/>
        <v>0</v>
      </c>
    </row>
    <row r="640" spans="1:11" s="304" customFormat="1" ht="22.5" x14ac:dyDescent="0.2">
      <c r="A640" s="202" t="s">
        <v>534</v>
      </c>
      <c r="B640" s="209" t="s">
        <v>512</v>
      </c>
      <c r="C640" s="209" t="s">
        <v>502</v>
      </c>
      <c r="D640" s="209" t="s">
        <v>1426</v>
      </c>
      <c r="E640" s="209" t="s">
        <v>529</v>
      </c>
      <c r="F640" s="215">
        <v>1644</v>
      </c>
      <c r="G640" s="203">
        <v>0</v>
      </c>
      <c r="H640" s="215">
        <f>'Ведомственная 2020'!H584</f>
        <v>1644</v>
      </c>
      <c r="I640" s="203">
        <v>0</v>
      </c>
      <c r="J640" s="216">
        <f t="shared" si="169"/>
        <v>0</v>
      </c>
      <c r="K640" s="204">
        <f t="shared" si="170"/>
        <v>0</v>
      </c>
    </row>
    <row r="641" spans="1:11" s="304" customFormat="1" ht="33.75" x14ac:dyDescent="0.2">
      <c r="A641" s="202" t="s">
        <v>1024</v>
      </c>
      <c r="B641" s="209" t="s">
        <v>512</v>
      </c>
      <c r="C641" s="209" t="s">
        <v>502</v>
      </c>
      <c r="D641" s="209" t="s">
        <v>1427</v>
      </c>
      <c r="E641" s="209"/>
      <c r="F641" s="215">
        <v>1214</v>
      </c>
      <c r="G641" s="203">
        <v>0</v>
      </c>
      <c r="H641" s="215">
        <f t="shared" ref="H641:I642" si="174">H642</f>
        <v>1214</v>
      </c>
      <c r="I641" s="203">
        <f t="shared" si="174"/>
        <v>0</v>
      </c>
      <c r="J641" s="216">
        <f t="shared" si="169"/>
        <v>0</v>
      </c>
      <c r="K641" s="204">
        <f t="shared" si="170"/>
        <v>0</v>
      </c>
    </row>
    <row r="642" spans="1:11" s="304" customFormat="1" x14ac:dyDescent="0.2">
      <c r="A642" s="202" t="s">
        <v>1347</v>
      </c>
      <c r="B642" s="209" t="s">
        <v>512</v>
      </c>
      <c r="C642" s="209" t="s">
        <v>502</v>
      </c>
      <c r="D642" s="209" t="s">
        <v>1427</v>
      </c>
      <c r="E642" s="209" t="s">
        <v>535</v>
      </c>
      <c r="F642" s="215">
        <v>1214</v>
      </c>
      <c r="G642" s="203">
        <v>0</v>
      </c>
      <c r="H642" s="215">
        <f t="shared" si="174"/>
        <v>1214</v>
      </c>
      <c r="I642" s="203">
        <f t="shared" si="174"/>
        <v>0</v>
      </c>
      <c r="J642" s="216">
        <f t="shared" si="169"/>
        <v>0</v>
      </c>
      <c r="K642" s="204">
        <f t="shared" si="170"/>
        <v>0</v>
      </c>
    </row>
    <row r="643" spans="1:11" s="304" customFormat="1" ht="22.5" x14ac:dyDescent="0.2">
      <c r="A643" s="202" t="s">
        <v>534</v>
      </c>
      <c r="B643" s="209" t="s">
        <v>512</v>
      </c>
      <c r="C643" s="209" t="s">
        <v>502</v>
      </c>
      <c r="D643" s="209" t="s">
        <v>1427</v>
      </c>
      <c r="E643" s="209" t="s">
        <v>529</v>
      </c>
      <c r="F643" s="215">
        <v>1214</v>
      </c>
      <c r="G643" s="203">
        <v>0</v>
      </c>
      <c r="H643" s="215">
        <f>'Ведомственная 2020'!H587</f>
        <v>1214</v>
      </c>
      <c r="I643" s="203">
        <v>0</v>
      </c>
      <c r="J643" s="216">
        <f t="shared" si="169"/>
        <v>0</v>
      </c>
      <c r="K643" s="204">
        <f t="shared" si="170"/>
        <v>0</v>
      </c>
    </row>
    <row r="644" spans="1:11" s="304" customFormat="1" ht="33.75" x14ac:dyDescent="0.2">
      <c r="A644" s="202" t="s">
        <v>1023</v>
      </c>
      <c r="B644" s="209" t="s">
        <v>512</v>
      </c>
      <c r="C644" s="209" t="s">
        <v>502</v>
      </c>
      <c r="D644" s="209" t="s">
        <v>1428</v>
      </c>
      <c r="E644" s="209"/>
      <c r="F644" s="215">
        <v>1096</v>
      </c>
      <c r="G644" s="203">
        <v>0</v>
      </c>
      <c r="H644" s="215">
        <f t="shared" ref="H644:I645" si="175">H645</f>
        <v>1096</v>
      </c>
      <c r="I644" s="203">
        <f t="shared" si="175"/>
        <v>0</v>
      </c>
      <c r="J644" s="216">
        <f t="shared" si="169"/>
        <v>0</v>
      </c>
      <c r="K644" s="204">
        <f t="shared" si="170"/>
        <v>0</v>
      </c>
    </row>
    <row r="645" spans="1:11" s="304" customFormat="1" ht="33.75" x14ac:dyDescent="0.2">
      <c r="A645" s="202" t="s">
        <v>1348</v>
      </c>
      <c r="B645" s="209" t="s">
        <v>512</v>
      </c>
      <c r="C645" s="209" t="s">
        <v>502</v>
      </c>
      <c r="D645" s="209" t="s">
        <v>1428</v>
      </c>
      <c r="E645" s="209" t="s">
        <v>556</v>
      </c>
      <c r="F645" s="215">
        <v>1096</v>
      </c>
      <c r="G645" s="203">
        <v>0</v>
      </c>
      <c r="H645" s="215">
        <f t="shared" si="175"/>
        <v>1096</v>
      </c>
      <c r="I645" s="203">
        <f t="shared" si="175"/>
        <v>0</v>
      </c>
      <c r="J645" s="216">
        <f t="shared" si="169"/>
        <v>0</v>
      </c>
      <c r="K645" s="204">
        <f t="shared" si="170"/>
        <v>0</v>
      </c>
    </row>
    <row r="646" spans="1:11" s="304" customFormat="1" x14ac:dyDescent="0.2">
      <c r="A646" s="202" t="s">
        <v>555</v>
      </c>
      <c r="B646" s="209" t="s">
        <v>512</v>
      </c>
      <c r="C646" s="209" t="s">
        <v>502</v>
      </c>
      <c r="D646" s="209" t="s">
        <v>1428</v>
      </c>
      <c r="E646" s="209" t="s">
        <v>554</v>
      </c>
      <c r="F646" s="215">
        <v>1096</v>
      </c>
      <c r="G646" s="203">
        <v>0</v>
      </c>
      <c r="H646" s="215">
        <f>'Ведомственная 2020'!H590</f>
        <v>1096</v>
      </c>
      <c r="I646" s="203">
        <v>0</v>
      </c>
      <c r="J646" s="216">
        <f t="shared" si="169"/>
        <v>0</v>
      </c>
      <c r="K646" s="204">
        <f t="shared" si="170"/>
        <v>0</v>
      </c>
    </row>
    <row r="647" spans="1:11" x14ac:dyDescent="0.2">
      <c r="A647" s="202" t="s">
        <v>986</v>
      </c>
      <c r="B647" s="209" t="s">
        <v>512</v>
      </c>
      <c r="C647" s="209" t="s">
        <v>502</v>
      </c>
      <c r="D647" s="209" t="s">
        <v>985</v>
      </c>
      <c r="E647" s="209"/>
      <c r="F647" s="215">
        <v>1680.7</v>
      </c>
      <c r="G647" s="203">
        <v>0</v>
      </c>
      <c r="H647" s="215">
        <f t="shared" ref="H647:I649" si="176">H648</f>
        <v>1680.7</v>
      </c>
      <c r="I647" s="203">
        <f t="shared" si="176"/>
        <v>0</v>
      </c>
      <c r="J647" s="216">
        <f t="shared" si="154"/>
        <v>0</v>
      </c>
      <c r="K647" s="204">
        <f t="shared" si="155"/>
        <v>0</v>
      </c>
    </row>
    <row r="648" spans="1:11" ht="22.5" x14ac:dyDescent="0.2">
      <c r="A648" s="202" t="s">
        <v>1022</v>
      </c>
      <c r="B648" s="209" t="s">
        <v>512</v>
      </c>
      <c r="C648" s="209" t="s">
        <v>502</v>
      </c>
      <c r="D648" s="209" t="s">
        <v>1021</v>
      </c>
      <c r="E648" s="209"/>
      <c r="F648" s="215">
        <v>1680.7</v>
      </c>
      <c r="G648" s="203">
        <v>0</v>
      </c>
      <c r="H648" s="215">
        <f t="shared" si="176"/>
        <v>1680.7</v>
      </c>
      <c r="I648" s="203">
        <f t="shared" si="176"/>
        <v>0</v>
      </c>
      <c r="J648" s="216">
        <f t="shared" si="154"/>
        <v>0</v>
      </c>
      <c r="K648" s="204">
        <f t="shared" si="155"/>
        <v>0</v>
      </c>
    </row>
    <row r="649" spans="1:11" ht="22.5" x14ac:dyDescent="0.2">
      <c r="A649" s="202" t="s">
        <v>1020</v>
      </c>
      <c r="B649" s="209" t="s">
        <v>512</v>
      </c>
      <c r="C649" s="209" t="s">
        <v>502</v>
      </c>
      <c r="D649" s="209" t="s">
        <v>1019</v>
      </c>
      <c r="E649" s="209"/>
      <c r="F649" s="215">
        <v>1680.7</v>
      </c>
      <c r="G649" s="203">
        <v>0</v>
      </c>
      <c r="H649" s="215">
        <f t="shared" si="176"/>
        <v>1680.7</v>
      </c>
      <c r="I649" s="203">
        <f t="shared" si="176"/>
        <v>0</v>
      </c>
      <c r="J649" s="216">
        <f t="shared" si="154"/>
        <v>0</v>
      </c>
      <c r="K649" s="204">
        <f t="shared" si="155"/>
        <v>0</v>
      </c>
    </row>
    <row r="650" spans="1:11" x14ac:dyDescent="0.2">
      <c r="A650" s="202" t="s">
        <v>1018</v>
      </c>
      <c r="B650" s="209" t="s">
        <v>512</v>
      </c>
      <c r="C650" s="209" t="s">
        <v>502</v>
      </c>
      <c r="D650" s="209" t="s">
        <v>1017</v>
      </c>
      <c r="E650" s="209"/>
      <c r="F650" s="215">
        <v>1680.7</v>
      </c>
      <c r="G650" s="203">
        <v>0</v>
      </c>
      <c r="H650" s="215">
        <f>H651+H653</f>
        <v>1680.7</v>
      </c>
      <c r="I650" s="203">
        <f>I651+I653</f>
        <v>0</v>
      </c>
      <c r="J650" s="216">
        <f t="shared" si="154"/>
        <v>0</v>
      </c>
      <c r="K650" s="204">
        <f t="shared" si="155"/>
        <v>0</v>
      </c>
    </row>
    <row r="651" spans="1:11" x14ac:dyDescent="0.2">
      <c r="A651" s="202" t="s">
        <v>1347</v>
      </c>
      <c r="B651" s="209" t="s">
        <v>512</v>
      </c>
      <c r="C651" s="209" t="s">
        <v>502</v>
      </c>
      <c r="D651" s="209" t="s">
        <v>1017</v>
      </c>
      <c r="E651" s="209" t="s">
        <v>535</v>
      </c>
      <c r="F651" s="215">
        <v>500</v>
      </c>
      <c r="G651" s="203">
        <v>0</v>
      </c>
      <c r="H651" s="215">
        <f>H652</f>
        <v>500</v>
      </c>
      <c r="I651" s="203">
        <f>I652</f>
        <v>0</v>
      </c>
      <c r="J651" s="216">
        <f t="shared" si="154"/>
        <v>0</v>
      </c>
      <c r="K651" s="204">
        <f t="shared" si="155"/>
        <v>0</v>
      </c>
    </row>
    <row r="652" spans="1:11" ht="22.5" x14ac:dyDescent="0.2">
      <c r="A652" s="202" t="s">
        <v>534</v>
      </c>
      <c r="B652" s="209" t="s">
        <v>512</v>
      </c>
      <c r="C652" s="209" t="s">
        <v>502</v>
      </c>
      <c r="D652" s="209" t="s">
        <v>1017</v>
      </c>
      <c r="E652" s="209" t="s">
        <v>529</v>
      </c>
      <c r="F652" s="215">
        <v>500</v>
      </c>
      <c r="G652" s="203">
        <v>0</v>
      </c>
      <c r="H652" s="215">
        <f>'Ведомственная 2020'!H596</f>
        <v>500</v>
      </c>
      <c r="I652" s="203">
        <v>0</v>
      </c>
      <c r="J652" s="216">
        <f t="shared" si="154"/>
        <v>0</v>
      </c>
      <c r="K652" s="204">
        <f t="shared" si="155"/>
        <v>0</v>
      </c>
    </row>
    <row r="653" spans="1:11" x14ac:dyDescent="0.2">
      <c r="A653" s="202" t="s">
        <v>615</v>
      </c>
      <c r="B653" s="209" t="s">
        <v>512</v>
      </c>
      <c r="C653" s="209" t="s">
        <v>502</v>
      </c>
      <c r="D653" s="209" t="s">
        <v>1017</v>
      </c>
      <c r="E653" s="209" t="s">
        <v>509</v>
      </c>
      <c r="F653" s="215">
        <v>1180.7</v>
      </c>
      <c r="G653" s="203">
        <v>0</v>
      </c>
      <c r="H653" s="215">
        <f>H654</f>
        <v>1180.7</v>
      </c>
      <c r="I653" s="203">
        <f>I654</f>
        <v>0</v>
      </c>
      <c r="J653" s="216">
        <f t="shared" si="154"/>
        <v>0</v>
      </c>
      <c r="K653" s="204">
        <f t="shared" si="155"/>
        <v>0</v>
      </c>
    </row>
    <row r="654" spans="1:11" ht="22.5" x14ac:dyDescent="0.2">
      <c r="A654" s="202" t="s">
        <v>1346</v>
      </c>
      <c r="B654" s="209" t="s">
        <v>512</v>
      </c>
      <c r="C654" s="209" t="s">
        <v>502</v>
      </c>
      <c r="D654" s="209" t="s">
        <v>1017</v>
      </c>
      <c r="E654" s="209" t="s">
        <v>511</v>
      </c>
      <c r="F654" s="215">
        <v>1180.7</v>
      </c>
      <c r="G654" s="203">
        <v>0</v>
      </c>
      <c r="H654" s="215">
        <f>'Ведомственная 2020'!H598</f>
        <v>1180.7</v>
      </c>
      <c r="I654" s="203">
        <v>0</v>
      </c>
      <c r="J654" s="216">
        <f t="shared" si="154"/>
        <v>0</v>
      </c>
      <c r="K654" s="204">
        <f t="shared" si="155"/>
        <v>0</v>
      </c>
    </row>
    <row r="655" spans="1:11" x14ac:dyDescent="0.2">
      <c r="A655" s="202" t="s">
        <v>1016</v>
      </c>
      <c r="B655" s="209" t="s">
        <v>512</v>
      </c>
      <c r="C655" s="209" t="s">
        <v>531</v>
      </c>
      <c r="D655" s="209"/>
      <c r="E655" s="209"/>
      <c r="F655" s="215">
        <v>851977.6</v>
      </c>
      <c r="G655" s="203">
        <v>0</v>
      </c>
      <c r="H655" s="215">
        <f>H656+H682+H715+H721+H700+H706</f>
        <v>864853.39999999991</v>
      </c>
      <c r="I655" s="203">
        <f>I656+I682+I715+I721</f>
        <v>0</v>
      </c>
      <c r="J655" s="216">
        <f t="shared" si="154"/>
        <v>12875.79999999993</v>
      </c>
      <c r="K655" s="204">
        <f t="shared" si="155"/>
        <v>0</v>
      </c>
    </row>
    <row r="656" spans="1:11" x14ac:dyDescent="0.2">
      <c r="A656" s="202" t="s">
        <v>923</v>
      </c>
      <c r="B656" s="209" t="s">
        <v>512</v>
      </c>
      <c r="C656" s="209" t="s">
        <v>531</v>
      </c>
      <c r="D656" s="209" t="s">
        <v>922</v>
      </c>
      <c r="E656" s="209"/>
      <c r="F656" s="215">
        <v>57834.600000000006</v>
      </c>
      <c r="G656" s="203">
        <v>0</v>
      </c>
      <c r="H656" s="215">
        <f>H657</f>
        <v>60582.6</v>
      </c>
      <c r="I656" s="203">
        <f>I657</f>
        <v>0</v>
      </c>
      <c r="J656" s="216">
        <f t="shared" si="154"/>
        <v>2747.9999999999927</v>
      </c>
      <c r="K656" s="204">
        <f t="shared" si="155"/>
        <v>0</v>
      </c>
    </row>
    <row r="657" spans="1:11" x14ac:dyDescent="0.2">
      <c r="A657" s="202" t="s">
        <v>921</v>
      </c>
      <c r="B657" s="209" t="s">
        <v>512</v>
      </c>
      <c r="C657" s="209" t="s">
        <v>531</v>
      </c>
      <c r="D657" s="209" t="s">
        <v>920</v>
      </c>
      <c r="E657" s="209"/>
      <c r="F657" s="215">
        <v>57834.600000000006</v>
      </c>
      <c r="G657" s="203">
        <v>0</v>
      </c>
      <c r="H657" s="215">
        <f>H658</f>
        <v>60582.6</v>
      </c>
      <c r="I657" s="203">
        <f>I658</f>
        <v>0</v>
      </c>
      <c r="J657" s="216">
        <f t="shared" si="154"/>
        <v>2747.9999999999927</v>
      </c>
      <c r="K657" s="204">
        <f t="shared" si="155"/>
        <v>0</v>
      </c>
    </row>
    <row r="658" spans="1:11" ht="22.5" x14ac:dyDescent="0.2">
      <c r="A658" s="202" t="s">
        <v>1015</v>
      </c>
      <c r="B658" s="209" t="s">
        <v>512</v>
      </c>
      <c r="C658" s="209" t="s">
        <v>531</v>
      </c>
      <c r="D658" s="209" t="s">
        <v>1014</v>
      </c>
      <c r="E658" s="209"/>
      <c r="F658" s="215">
        <v>57834.600000000006</v>
      </c>
      <c r="G658" s="203">
        <v>0</v>
      </c>
      <c r="H658" s="215">
        <f>H665+H668+H671+H676+H679+H659+H662</f>
        <v>60582.6</v>
      </c>
      <c r="I658" s="203">
        <f>I665+I668+I671+I676+I679</f>
        <v>0</v>
      </c>
      <c r="J658" s="216">
        <f t="shared" si="154"/>
        <v>2747.9999999999927</v>
      </c>
      <c r="K658" s="204">
        <f t="shared" si="155"/>
        <v>0</v>
      </c>
    </row>
    <row r="659" spans="1:11" s="239" customFormat="1" x14ac:dyDescent="0.2">
      <c r="A659" s="202" t="s">
        <v>917</v>
      </c>
      <c r="B659" s="209" t="s">
        <v>512</v>
      </c>
      <c r="C659" s="209" t="s">
        <v>531</v>
      </c>
      <c r="D659" s="209" t="s">
        <v>1377</v>
      </c>
      <c r="E659" s="209"/>
      <c r="F659" s="215">
        <v>100</v>
      </c>
      <c r="G659" s="203">
        <v>0</v>
      </c>
      <c r="H659" s="215">
        <f t="shared" ref="H659:I660" si="177">H660</f>
        <v>100</v>
      </c>
      <c r="I659" s="203">
        <f t="shared" si="177"/>
        <v>0</v>
      </c>
      <c r="J659" s="216">
        <f t="shared" ref="J659:J661" si="178">H659-F659</f>
        <v>0</v>
      </c>
      <c r="K659" s="204">
        <f t="shared" ref="K659:K661" si="179">I659-G659</f>
        <v>0</v>
      </c>
    </row>
    <row r="660" spans="1:11" s="239" customFormat="1" x14ac:dyDescent="0.2">
      <c r="A660" s="202" t="s">
        <v>1347</v>
      </c>
      <c r="B660" s="209" t="s">
        <v>512</v>
      </c>
      <c r="C660" s="209" t="s">
        <v>531</v>
      </c>
      <c r="D660" s="209" t="s">
        <v>1377</v>
      </c>
      <c r="E660" s="209">
        <v>200</v>
      </c>
      <c r="F660" s="215">
        <v>100</v>
      </c>
      <c r="G660" s="203">
        <v>0</v>
      </c>
      <c r="H660" s="215">
        <f t="shared" si="177"/>
        <v>100</v>
      </c>
      <c r="I660" s="203">
        <f t="shared" si="177"/>
        <v>0</v>
      </c>
      <c r="J660" s="216">
        <f t="shared" si="178"/>
        <v>0</v>
      </c>
      <c r="K660" s="204">
        <f t="shared" si="179"/>
        <v>0</v>
      </c>
    </row>
    <row r="661" spans="1:11" s="239" customFormat="1" ht="22.5" x14ac:dyDescent="0.2">
      <c r="A661" s="202" t="s">
        <v>534</v>
      </c>
      <c r="B661" s="209" t="s">
        <v>512</v>
      </c>
      <c r="C661" s="209" t="s">
        <v>531</v>
      </c>
      <c r="D661" s="209" t="s">
        <v>1377</v>
      </c>
      <c r="E661" s="209">
        <v>240</v>
      </c>
      <c r="F661" s="215">
        <v>100</v>
      </c>
      <c r="G661" s="203">
        <v>0</v>
      </c>
      <c r="H661" s="215">
        <f>'Ведомственная 2020'!H605</f>
        <v>100</v>
      </c>
      <c r="I661" s="203">
        <v>0</v>
      </c>
      <c r="J661" s="216">
        <f t="shared" si="178"/>
        <v>0</v>
      </c>
      <c r="K661" s="204">
        <f t="shared" si="179"/>
        <v>0</v>
      </c>
    </row>
    <row r="662" spans="1:11" s="371" customFormat="1" ht="22.5" x14ac:dyDescent="0.2">
      <c r="A662" s="202" t="s">
        <v>1529</v>
      </c>
      <c r="B662" s="209" t="s">
        <v>512</v>
      </c>
      <c r="C662" s="209" t="s">
        <v>531</v>
      </c>
      <c r="D662" s="209" t="s">
        <v>1486</v>
      </c>
      <c r="E662" s="209"/>
      <c r="F662" s="215">
        <v>5150</v>
      </c>
      <c r="G662" s="203">
        <v>0</v>
      </c>
      <c r="H662" s="215">
        <f>H663</f>
        <v>5150</v>
      </c>
      <c r="I662" s="203">
        <f>I663</f>
        <v>0</v>
      </c>
      <c r="J662" s="216">
        <f t="shared" ref="J662" si="180">H662-F662</f>
        <v>0</v>
      </c>
      <c r="K662" s="204">
        <f t="shared" ref="K662" si="181">I662-G662</f>
        <v>0</v>
      </c>
    </row>
    <row r="663" spans="1:11" s="389" customFormat="1" ht="22.5" x14ac:dyDescent="0.2">
      <c r="A663" s="202" t="s">
        <v>547</v>
      </c>
      <c r="B663" s="209" t="s">
        <v>512</v>
      </c>
      <c r="C663" s="209" t="s">
        <v>531</v>
      </c>
      <c r="D663" s="209" t="s">
        <v>1486</v>
      </c>
      <c r="E663" s="209">
        <v>600</v>
      </c>
      <c r="F663" s="215">
        <v>5150</v>
      </c>
      <c r="G663" s="203">
        <v>0</v>
      </c>
      <c r="H663" s="215">
        <f>H664</f>
        <v>5150</v>
      </c>
      <c r="I663" s="203">
        <f>I664</f>
        <v>0</v>
      </c>
      <c r="J663" s="216">
        <f>H663-F663</f>
        <v>0</v>
      </c>
      <c r="K663" s="204">
        <f>I663-G663</f>
        <v>0</v>
      </c>
    </row>
    <row r="664" spans="1:11" s="389" customFormat="1" x14ac:dyDescent="0.2">
      <c r="A664" s="202" t="s">
        <v>571</v>
      </c>
      <c r="B664" s="209" t="s">
        <v>512</v>
      </c>
      <c r="C664" s="209" t="s">
        <v>531</v>
      </c>
      <c r="D664" s="209" t="s">
        <v>1486</v>
      </c>
      <c r="E664" s="209">
        <v>610</v>
      </c>
      <c r="F664" s="215">
        <v>5150</v>
      </c>
      <c r="G664" s="203">
        <v>0</v>
      </c>
      <c r="H664" s="215">
        <f>'Ведомственная 2020'!H608</f>
        <v>5150</v>
      </c>
      <c r="I664" s="203">
        <v>0</v>
      </c>
      <c r="J664" s="216">
        <f>H664-F664</f>
        <v>0</v>
      </c>
      <c r="K664" s="204">
        <f>I664-G664</f>
        <v>0</v>
      </c>
    </row>
    <row r="665" spans="1:11" ht="22.5" x14ac:dyDescent="0.2">
      <c r="A665" s="202" t="s">
        <v>1013</v>
      </c>
      <c r="B665" s="209" t="s">
        <v>512</v>
      </c>
      <c r="C665" s="209" t="s">
        <v>531</v>
      </c>
      <c r="D665" s="209" t="s">
        <v>1012</v>
      </c>
      <c r="E665" s="209"/>
      <c r="F665" s="215">
        <v>16776.2</v>
      </c>
      <c r="G665" s="203">
        <v>0</v>
      </c>
      <c r="H665" s="215">
        <f>H666</f>
        <v>21776</v>
      </c>
      <c r="I665" s="203">
        <f>I666</f>
        <v>0</v>
      </c>
      <c r="J665" s="216">
        <f t="shared" si="154"/>
        <v>4999.7999999999993</v>
      </c>
      <c r="K665" s="204">
        <f t="shared" si="155"/>
        <v>0</v>
      </c>
    </row>
    <row r="666" spans="1:11" x14ac:dyDescent="0.2">
      <c r="A666" s="202" t="s">
        <v>1347</v>
      </c>
      <c r="B666" s="209" t="s">
        <v>512</v>
      </c>
      <c r="C666" s="209" t="s">
        <v>531</v>
      </c>
      <c r="D666" s="209" t="s">
        <v>1012</v>
      </c>
      <c r="E666" s="209" t="s">
        <v>535</v>
      </c>
      <c r="F666" s="215">
        <v>16776.2</v>
      </c>
      <c r="G666" s="203">
        <v>0</v>
      </c>
      <c r="H666" s="215">
        <f>H667</f>
        <v>21776</v>
      </c>
      <c r="I666" s="203">
        <f>I667</f>
        <v>0</v>
      </c>
      <c r="J666" s="216">
        <f t="shared" si="154"/>
        <v>4999.7999999999993</v>
      </c>
      <c r="K666" s="204">
        <f t="shared" si="155"/>
        <v>0</v>
      </c>
    </row>
    <row r="667" spans="1:11" ht="22.5" x14ac:dyDescent="0.2">
      <c r="A667" s="202" t="s">
        <v>534</v>
      </c>
      <c r="B667" s="209" t="s">
        <v>512</v>
      </c>
      <c r="C667" s="209" t="s">
        <v>531</v>
      </c>
      <c r="D667" s="209" t="s">
        <v>1012</v>
      </c>
      <c r="E667" s="209" t="s">
        <v>529</v>
      </c>
      <c r="F667" s="215">
        <v>16776.2</v>
      </c>
      <c r="G667" s="203">
        <v>0</v>
      </c>
      <c r="H667" s="215">
        <f>'Ведомственная 2020'!H611</f>
        <v>21776</v>
      </c>
      <c r="I667" s="203">
        <v>0</v>
      </c>
      <c r="J667" s="216">
        <f t="shared" si="154"/>
        <v>4999.7999999999993</v>
      </c>
      <c r="K667" s="204">
        <f t="shared" si="155"/>
        <v>0</v>
      </c>
    </row>
    <row r="668" spans="1:11" ht="22.5" x14ac:dyDescent="0.2">
      <c r="A668" s="202" t="s">
        <v>1007</v>
      </c>
      <c r="B668" s="209" t="s">
        <v>512</v>
      </c>
      <c r="C668" s="209" t="s">
        <v>531</v>
      </c>
      <c r="D668" s="209" t="s">
        <v>1011</v>
      </c>
      <c r="E668" s="209"/>
      <c r="F668" s="215">
        <v>9763.1</v>
      </c>
      <c r="G668" s="203">
        <v>0</v>
      </c>
      <c r="H668" s="215">
        <f>H669</f>
        <v>9599.5</v>
      </c>
      <c r="I668" s="203">
        <f>I669</f>
        <v>0</v>
      </c>
      <c r="J668" s="216">
        <f t="shared" si="154"/>
        <v>-163.60000000000036</v>
      </c>
      <c r="K668" s="204">
        <f t="shared" si="155"/>
        <v>0</v>
      </c>
    </row>
    <row r="669" spans="1:11" x14ac:dyDescent="0.2">
      <c r="A669" s="202" t="s">
        <v>1347</v>
      </c>
      <c r="B669" s="209" t="s">
        <v>512</v>
      </c>
      <c r="C669" s="209" t="s">
        <v>531</v>
      </c>
      <c r="D669" s="209" t="s">
        <v>1011</v>
      </c>
      <c r="E669" s="209" t="s">
        <v>535</v>
      </c>
      <c r="F669" s="215">
        <v>9763.1</v>
      </c>
      <c r="G669" s="203">
        <v>0</v>
      </c>
      <c r="H669" s="215">
        <f>H670</f>
        <v>9599.5</v>
      </c>
      <c r="I669" s="203">
        <f>I670</f>
        <v>0</v>
      </c>
      <c r="J669" s="216">
        <f t="shared" si="154"/>
        <v>-163.60000000000036</v>
      </c>
      <c r="K669" s="204">
        <f t="shared" si="155"/>
        <v>0</v>
      </c>
    </row>
    <row r="670" spans="1:11" ht="22.5" x14ac:dyDescent="0.2">
      <c r="A670" s="202" t="s">
        <v>534</v>
      </c>
      <c r="B670" s="209" t="s">
        <v>512</v>
      </c>
      <c r="C670" s="209" t="s">
        <v>531</v>
      </c>
      <c r="D670" s="209" t="s">
        <v>1011</v>
      </c>
      <c r="E670" s="209" t="s">
        <v>529</v>
      </c>
      <c r="F670" s="215">
        <v>9763.1</v>
      </c>
      <c r="G670" s="203">
        <v>0</v>
      </c>
      <c r="H670" s="215">
        <f>'Ведомственная 2020'!H614</f>
        <v>9599.5</v>
      </c>
      <c r="I670" s="203">
        <v>0</v>
      </c>
      <c r="J670" s="216">
        <f t="shared" si="154"/>
        <v>-163.60000000000036</v>
      </c>
      <c r="K670" s="204">
        <f t="shared" si="155"/>
        <v>0</v>
      </c>
    </row>
    <row r="671" spans="1:11" ht="22.5" x14ac:dyDescent="0.2">
      <c r="A671" s="202" t="s">
        <v>1529</v>
      </c>
      <c r="B671" s="209" t="s">
        <v>512</v>
      </c>
      <c r="C671" s="209" t="s">
        <v>531</v>
      </c>
      <c r="D671" s="209" t="s">
        <v>1010</v>
      </c>
      <c r="E671" s="209"/>
      <c r="F671" s="215">
        <v>2037.7</v>
      </c>
      <c r="G671" s="203">
        <v>0</v>
      </c>
      <c r="H671" s="215">
        <f>H672+H674</f>
        <v>2037.7</v>
      </c>
      <c r="I671" s="203">
        <f>I672</f>
        <v>0</v>
      </c>
      <c r="J671" s="216">
        <f t="shared" si="154"/>
        <v>0</v>
      </c>
      <c r="K671" s="204">
        <f t="shared" si="155"/>
        <v>0</v>
      </c>
    </row>
    <row r="672" spans="1:11" x14ac:dyDescent="0.2">
      <c r="A672" s="202" t="s">
        <v>1347</v>
      </c>
      <c r="B672" s="209" t="s">
        <v>512</v>
      </c>
      <c r="C672" s="209" t="s">
        <v>531</v>
      </c>
      <c r="D672" s="209" t="s">
        <v>1010</v>
      </c>
      <c r="E672" s="209" t="s">
        <v>535</v>
      </c>
      <c r="F672" s="215">
        <v>346.40000000000009</v>
      </c>
      <c r="G672" s="203">
        <v>0</v>
      </c>
      <c r="H672" s="215">
        <f>H673</f>
        <v>346.40000000000009</v>
      </c>
      <c r="I672" s="203">
        <f>I673</f>
        <v>0</v>
      </c>
      <c r="J672" s="216">
        <f t="shared" si="154"/>
        <v>0</v>
      </c>
      <c r="K672" s="204">
        <f t="shared" si="155"/>
        <v>0</v>
      </c>
    </row>
    <row r="673" spans="1:11" ht="22.5" x14ac:dyDescent="0.2">
      <c r="A673" s="202" t="s">
        <v>534</v>
      </c>
      <c r="B673" s="209" t="s">
        <v>512</v>
      </c>
      <c r="C673" s="209" t="s">
        <v>531</v>
      </c>
      <c r="D673" s="209" t="s">
        <v>1010</v>
      </c>
      <c r="E673" s="209" t="s">
        <v>529</v>
      </c>
      <c r="F673" s="215">
        <v>346.40000000000009</v>
      </c>
      <c r="G673" s="203">
        <v>0</v>
      </c>
      <c r="H673" s="215">
        <f>'Ведомственная 2020'!H617</f>
        <v>346.40000000000009</v>
      </c>
      <c r="I673" s="203">
        <v>0</v>
      </c>
      <c r="J673" s="216">
        <f t="shared" si="154"/>
        <v>0</v>
      </c>
      <c r="K673" s="204">
        <f t="shared" si="155"/>
        <v>0</v>
      </c>
    </row>
    <row r="674" spans="1:11" s="389" customFormat="1" ht="22.5" x14ac:dyDescent="0.2">
      <c r="A674" s="202" t="s">
        <v>547</v>
      </c>
      <c r="B674" s="209" t="s">
        <v>512</v>
      </c>
      <c r="C674" s="209" t="s">
        <v>531</v>
      </c>
      <c r="D674" s="209" t="s">
        <v>1010</v>
      </c>
      <c r="E674" s="209">
        <v>600</v>
      </c>
      <c r="F674" s="215">
        <v>1691.3</v>
      </c>
      <c r="G674" s="203">
        <v>0</v>
      </c>
      <c r="H674" s="215">
        <f>H675</f>
        <v>1691.3</v>
      </c>
      <c r="I674" s="203">
        <f>I675</f>
        <v>0</v>
      </c>
      <c r="J674" s="216">
        <f>H674-F674</f>
        <v>0</v>
      </c>
      <c r="K674" s="204">
        <f>I674-G674</f>
        <v>0</v>
      </c>
    </row>
    <row r="675" spans="1:11" s="389" customFormat="1" x14ac:dyDescent="0.2">
      <c r="A675" s="202" t="s">
        <v>571</v>
      </c>
      <c r="B675" s="209" t="s">
        <v>512</v>
      </c>
      <c r="C675" s="209" t="s">
        <v>531</v>
      </c>
      <c r="D675" s="209" t="s">
        <v>1010</v>
      </c>
      <c r="E675" s="209">
        <v>610</v>
      </c>
      <c r="F675" s="215">
        <v>1691.3</v>
      </c>
      <c r="G675" s="203">
        <v>0</v>
      </c>
      <c r="H675" s="215">
        <f>'Ведомственная 2020'!H619</f>
        <v>1691.3</v>
      </c>
      <c r="I675" s="203">
        <v>0</v>
      </c>
      <c r="J675" s="216">
        <f>H675-F675</f>
        <v>0</v>
      </c>
      <c r="K675" s="204">
        <f>I675-G675</f>
        <v>0</v>
      </c>
    </row>
    <row r="676" spans="1:11" ht="22.5" x14ac:dyDescent="0.2">
      <c r="A676" s="202" t="s">
        <v>1009</v>
      </c>
      <c r="B676" s="209" t="s">
        <v>512</v>
      </c>
      <c r="C676" s="209" t="s">
        <v>531</v>
      </c>
      <c r="D676" s="209" t="s">
        <v>1008</v>
      </c>
      <c r="E676" s="209"/>
      <c r="F676" s="215">
        <v>21351.200000000001</v>
      </c>
      <c r="G676" s="203">
        <v>0</v>
      </c>
      <c r="H676" s="215">
        <f>H677</f>
        <v>19263</v>
      </c>
      <c r="I676" s="203">
        <f>I677</f>
        <v>0</v>
      </c>
      <c r="J676" s="216">
        <f t="shared" si="154"/>
        <v>-2088.2000000000007</v>
      </c>
      <c r="K676" s="204">
        <f t="shared" si="155"/>
        <v>0</v>
      </c>
    </row>
    <row r="677" spans="1:11" x14ac:dyDescent="0.2">
      <c r="A677" s="202" t="s">
        <v>1347</v>
      </c>
      <c r="B677" s="209" t="s">
        <v>512</v>
      </c>
      <c r="C677" s="209" t="s">
        <v>531</v>
      </c>
      <c r="D677" s="209" t="s">
        <v>1008</v>
      </c>
      <c r="E677" s="209" t="s">
        <v>535</v>
      </c>
      <c r="F677" s="215">
        <v>21351.200000000001</v>
      </c>
      <c r="G677" s="203">
        <v>0</v>
      </c>
      <c r="H677" s="215">
        <f>H678</f>
        <v>19263</v>
      </c>
      <c r="I677" s="203">
        <f>I678</f>
        <v>0</v>
      </c>
      <c r="J677" s="216">
        <f t="shared" si="154"/>
        <v>-2088.2000000000007</v>
      </c>
      <c r="K677" s="204">
        <f t="shared" si="155"/>
        <v>0</v>
      </c>
    </row>
    <row r="678" spans="1:11" ht="22.5" x14ac:dyDescent="0.2">
      <c r="A678" s="202" t="s">
        <v>534</v>
      </c>
      <c r="B678" s="209" t="s">
        <v>512</v>
      </c>
      <c r="C678" s="209" t="s">
        <v>531</v>
      </c>
      <c r="D678" s="209" t="s">
        <v>1008</v>
      </c>
      <c r="E678" s="209" t="s">
        <v>529</v>
      </c>
      <c r="F678" s="215">
        <v>21351.200000000001</v>
      </c>
      <c r="G678" s="203">
        <v>0</v>
      </c>
      <c r="H678" s="215">
        <f>'Ведомственная 2020'!H622</f>
        <v>19263</v>
      </c>
      <c r="I678" s="203">
        <v>0</v>
      </c>
      <c r="J678" s="216">
        <f t="shared" si="154"/>
        <v>-2088.2000000000007</v>
      </c>
      <c r="K678" s="204">
        <f t="shared" si="155"/>
        <v>0</v>
      </c>
    </row>
    <row r="679" spans="1:11" ht="22.5" x14ac:dyDescent="0.2">
      <c r="A679" s="202" t="s">
        <v>1007</v>
      </c>
      <c r="B679" s="209" t="s">
        <v>512</v>
      </c>
      <c r="C679" s="209" t="s">
        <v>531</v>
      </c>
      <c r="D679" s="209" t="s">
        <v>1006</v>
      </c>
      <c r="E679" s="209"/>
      <c r="F679" s="215">
        <v>2656.4</v>
      </c>
      <c r="G679" s="203">
        <v>0</v>
      </c>
      <c r="H679" s="215">
        <f>H680</f>
        <v>2656.4</v>
      </c>
      <c r="I679" s="203">
        <f>I680</f>
        <v>0</v>
      </c>
      <c r="J679" s="216">
        <f t="shared" si="154"/>
        <v>0</v>
      </c>
      <c r="K679" s="204">
        <f t="shared" si="155"/>
        <v>0</v>
      </c>
    </row>
    <row r="680" spans="1:11" ht="33.75" x14ac:dyDescent="0.2">
      <c r="A680" s="202" t="s">
        <v>1348</v>
      </c>
      <c r="B680" s="209" t="s">
        <v>512</v>
      </c>
      <c r="C680" s="209" t="s">
        <v>531</v>
      </c>
      <c r="D680" s="209" t="s">
        <v>1006</v>
      </c>
      <c r="E680" s="209" t="s">
        <v>556</v>
      </c>
      <c r="F680" s="215">
        <v>2656.4</v>
      </c>
      <c r="G680" s="203">
        <v>0</v>
      </c>
      <c r="H680" s="215">
        <f>H681</f>
        <v>2656.4</v>
      </c>
      <c r="I680" s="203">
        <f>I681</f>
        <v>0</v>
      </c>
      <c r="J680" s="216">
        <f t="shared" si="154"/>
        <v>0</v>
      </c>
      <c r="K680" s="204">
        <f t="shared" si="155"/>
        <v>0</v>
      </c>
    </row>
    <row r="681" spans="1:11" x14ac:dyDescent="0.2">
      <c r="A681" s="202" t="s">
        <v>555</v>
      </c>
      <c r="B681" s="209" t="s">
        <v>512</v>
      </c>
      <c r="C681" s="209" t="s">
        <v>531</v>
      </c>
      <c r="D681" s="209" t="s">
        <v>1006</v>
      </c>
      <c r="E681" s="209" t="s">
        <v>554</v>
      </c>
      <c r="F681" s="215">
        <v>2656.4</v>
      </c>
      <c r="G681" s="203">
        <v>0</v>
      </c>
      <c r="H681" s="215">
        <f>'Ведомственная 2020'!H625</f>
        <v>2656.4</v>
      </c>
      <c r="I681" s="203">
        <v>0</v>
      </c>
      <c r="J681" s="216">
        <f t="shared" si="154"/>
        <v>0</v>
      </c>
      <c r="K681" s="204">
        <f t="shared" si="155"/>
        <v>0</v>
      </c>
    </row>
    <row r="682" spans="1:11" ht="22.5" x14ac:dyDescent="0.2">
      <c r="A682" s="202" t="s">
        <v>1005</v>
      </c>
      <c r="B682" s="209" t="s">
        <v>512</v>
      </c>
      <c r="C682" s="209" t="s">
        <v>531</v>
      </c>
      <c r="D682" s="209" t="s">
        <v>1004</v>
      </c>
      <c r="E682" s="209"/>
      <c r="F682" s="215">
        <v>48161.5</v>
      </c>
      <c r="G682" s="203">
        <v>0</v>
      </c>
      <c r="H682" s="215">
        <f>H683</f>
        <v>51161.5</v>
      </c>
      <c r="I682" s="203">
        <f>I683</f>
        <v>0</v>
      </c>
      <c r="J682" s="216">
        <f t="shared" si="154"/>
        <v>3000</v>
      </c>
      <c r="K682" s="204">
        <f t="shared" si="155"/>
        <v>0</v>
      </c>
    </row>
    <row r="683" spans="1:11" x14ac:dyDescent="0.2">
      <c r="A683" s="202" t="s">
        <v>1003</v>
      </c>
      <c r="B683" s="209" t="s">
        <v>512</v>
      </c>
      <c r="C683" s="209" t="s">
        <v>531</v>
      </c>
      <c r="D683" s="209" t="s">
        <v>1002</v>
      </c>
      <c r="E683" s="209"/>
      <c r="F683" s="215">
        <v>48161.5</v>
      </c>
      <c r="G683" s="203">
        <v>0</v>
      </c>
      <c r="H683" s="215">
        <f>H684</f>
        <v>51161.5</v>
      </c>
      <c r="I683" s="203">
        <f>I684</f>
        <v>0</v>
      </c>
      <c r="J683" s="216">
        <f t="shared" si="154"/>
        <v>3000</v>
      </c>
      <c r="K683" s="204">
        <f t="shared" si="155"/>
        <v>0</v>
      </c>
    </row>
    <row r="684" spans="1:11" x14ac:dyDescent="0.2">
      <c r="A684" s="202" t="s">
        <v>1640</v>
      </c>
      <c r="B684" s="209" t="s">
        <v>512</v>
      </c>
      <c r="C684" s="209" t="s">
        <v>531</v>
      </c>
      <c r="D684" s="209" t="s">
        <v>998</v>
      </c>
      <c r="E684" s="209"/>
      <c r="F684" s="215">
        <v>48161.5</v>
      </c>
      <c r="G684" s="203">
        <v>0</v>
      </c>
      <c r="H684" s="215">
        <f>H685+H690+H693</f>
        <v>51161.5</v>
      </c>
      <c r="I684" s="203">
        <f>I685+I690+I693</f>
        <v>0</v>
      </c>
      <c r="J684" s="216">
        <f t="shared" si="154"/>
        <v>3000</v>
      </c>
      <c r="K684" s="204">
        <f t="shared" si="155"/>
        <v>0</v>
      </c>
    </row>
    <row r="685" spans="1:11" x14ac:dyDescent="0.2">
      <c r="A685" s="202" t="s">
        <v>1353</v>
      </c>
      <c r="B685" s="209" t="s">
        <v>512</v>
      </c>
      <c r="C685" s="209" t="s">
        <v>531</v>
      </c>
      <c r="D685" s="209" t="s">
        <v>997</v>
      </c>
      <c r="E685" s="209"/>
      <c r="F685" s="215">
        <v>16504.900000000001</v>
      </c>
      <c r="G685" s="203">
        <v>0</v>
      </c>
      <c r="H685" s="215">
        <f>H686+H688</f>
        <v>16504.900000000001</v>
      </c>
      <c r="I685" s="203">
        <f>I686+I688</f>
        <v>0</v>
      </c>
      <c r="J685" s="216">
        <f t="shared" si="154"/>
        <v>0</v>
      </c>
      <c r="K685" s="204">
        <f t="shared" si="155"/>
        <v>0</v>
      </c>
    </row>
    <row r="686" spans="1:11" ht="33.75" x14ac:dyDescent="0.2">
      <c r="A686" s="202" t="s">
        <v>1348</v>
      </c>
      <c r="B686" s="209" t="s">
        <v>512</v>
      </c>
      <c r="C686" s="209" t="s">
        <v>531</v>
      </c>
      <c r="D686" s="209" t="s">
        <v>997</v>
      </c>
      <c r="E686" s="209" t="s">
        <v>556</v>
      </c>
      <c r="F686" s="215">
        <v>15908.9</v>
      </c>
      <c r="G686" s="203">
        <v>0</v>
      </c>
      <c r="H686" s="215">
        <f>H687</f>
        <v>15908.9</v>
      </c>
      <c r="I686" s="203">
        <f>I687</f>
        <v>0</v>
      </c>
      <c r="J686" s="216">
        <f t="shared" si="154"/>
        <v>0</v>
      </c>
      <c r="K686" s="204">
        <f t="shared" si="155"/>
        <v>0</v>
      </c>
    </row>
    <row r="687" spans="1:11" x14ac:dyDescent="0.2">
      <c r="A687" s="202" t="s">
        <v>555</v>
      </c>
      <c r="B687" s="209" t="s">
        <v>512</v>
      </c>
      <c r="C687" s="209" t="s">
        <v>531</v>
      </c>
      <c r="D687" s="209" t="s">
        <v>997</v>
      </c>
      <c r="E687" s="209" t="s">
        <v>554</v>
      </c>
      <c r="F687" s="215">
        <v>15908.9</v>
      </c>
      <c r="G687" s="203">
        <v>0</v>
      </c>
      <c r="H687" s="215">
        <f>'Ведомственная 2020'!H631</f>
        <v>15908.9</v>
      </c>
      <c r="I687" s="203">
        <v>0</v>
      </c>
      <c r="J687" s="216">
        <f t="shared" si="154"/>
        <v>0</v>
      </c>
      <c r="K687" s="204">
        <f t="shared" si="155"/>
        <v>0</v>
      </c>
    </row>
    <row r="688" spans="1:11" x14ac:dyDescent="0.2">
      <c r="A688" s="202" t="s">
        <v>1347</v>
      </c>
      <c r="B688" s="209" t="s">
        <v>512</v>
      </c>
      <c r="C688" s="209" t="s">
        <v>531</v>
      </c>
      <c r="D688" s="209" t="s">
        <v>997</v>
      </c>
      <c r="E688" s="209" t="s">
        <v>535</v>
      </c>
      <c r="F688" s="215">
        <v>596</v>
      </c>
      <c r="G688" s="203">
        <v>0</v>
      </c>
      <c r="H688" s="215">
        <f>H689</f>
        <v>596</v>
      </c>
      <c r="I688" s="203">
        <f>I689</f>
        <v>0</v>
      </c>
      <c r="J688" s="216">
        <f t="shared" si="154"/>
        <v>0</v>
      </c>
      <c r="K688" s="204">
        <f t="shared" si="155"/>
        <v>0</v>
      </c>
    </row>
    <row r="689" spans="1:11" ht="22.5" x14ac:dyDescent="0.2">
      <c r="A689" s="202" t="s">
        <v>534</v>
      </c>
      <c r="B689" s="209" t="s">
        <v>512</v>
      </c>
      <c r="C689" s="209" t="s">
        <v>531</v>
      </c>
      <c r="D689" s="209" t="s">
        <v>997</v>
      </c>
      <c r="E689" s="209" t="s">
        <v>529</v>
      </c>
      <c r="F689" s="215">
        <v>596</v>
      </c>
      <c r="G689" s="203">
        <v>0</v>
      </c>
      <c r="H689" s="215">
        <f>'Ведомственная 2020'!H633</f>
        <v>596</v>
      </c>
      <c r="I689" s="203">
        <v>0</v>
      </c>
      <c r="J689" s="216">
        <f t="shared" si="154"/>
        <v>0</v>
      </c>
      <c r="K689" s="204">
        <f t="shared" si="155"/>
        <v>0</v>
      </c>
    </row>
    <row r="690" spans="1:11" x14ac:dyDescent="0.2">
      <c r="A690" s="202" t="s">
        <v>1354</v>
      </c>
      <c r="B690" s="209" t="s">
        <v>512</v>
      </c>
      <c r="C690" s="209" t="s">
        <v>531</v>
      </c>
      <c r="D690" s="209" t="s">
        <v>996</v>
      </c>
      <c r="E690" s="209"/>
      <c r="F690" s="215">
        <v>4000</v>
      </c>
      <c r="G690" s="203">
        <v>0</v>
      </c>
      <c r="H690" s="215">
        <f>H691</f>
        <v>7000</v>
      </c>
      <c r="I690" s="203">
        <f>I691</f>
        <v>0</v>
      </c>
      <c r="J690" s="216">
        <f t="shared" si="154"/>
        <v>3000</v>
      </c>
      <c r="K690" s="204">
        <f t="shared" si="155"/>
        <v>0</v>
      </c>
    </row>
    <row r="691" spans="1:11" x14ac:dyDescent="0.2">
      <c r="A691" s="202" t="s">
        <v>1347</v>
      </c>
      <c r="B691" s="209" t="s">
        <v>512</v>
      </c>
      <c r="C691" s="209" t="s">
        <v>531</v>
      </c>
      <c r="D691" s="209" t="s">
        <v>996</v>
      </c>
      <c r="E691" s="209" t="s">
        <v>535</v>
      </c>
      <c r="F691" s="215">
        <v>4000</v>
      </c>
      <c r="G691" s="203">
        <v>0</v>
      </c>
      <c r="H691" s="215">
        <f>H692</f>
        <v>7000</v>
      </c>
      <c r="I691" s="203">
        <f>I692</f>
        <v>0</v>
      </c>
      <c r="J691" s="216">
        <f t="shared" si="154"/>
        <v>3000</v>
      </c>
      <c r="K691" s="204">
        <f t="shared" si="155"/>
        <v>0</v>
      </c>
    </row>
    <row r="692" spans="1:11" ht="22.5" x14ac:dyDescent="0.2">
      <c r="A692" s="202" t="s">
        <v>534</v>
      </c>
      <c r="B692" s="209" t="s">
        <v>512</v>
      </c>
      <c r="C692" s="209" t="s">
        <v>531</v>
      </c>
      <c r="D692" s="209" t="s">
        <v>996</v>
      </c>
      <c r="E692" s="209" t="s">
        <v>529</v>
      </c>
      <c r="F692" s="215">
        <v>4000</v>
      </c>
      <c r="G692" s="203">
        <v>0</v>
      </c>
      <c r="H692" s="215">
        <f>'Ведомственная 2020'!H636</f>
        <v>7000</v>
      </c>
      <c r="I692" s="203">
        <v>0</v>
      </c>
      <c r="J692" s="216">
        <f t="shared" si="154"/>
        <v>3000</v>
      </c>
      <c r="K692" s="204">
        <f t="shared" si="155"/>
        <v>0</v>
      </c>
    </row>
    <row r="693" spans="1:11" x14ac:dyDescent="0.2">
      <c r="A693" s="202" t="s">
        <v>1354</v>
      </c>
      <c r="B693" s="209" t="s">
        <v>512</v>
      </c>
      <c r="C693" s="209" t="s">
        <v>531</v>
      </c>
      <c r="D693" s="209" t="s">
        <v>995</v>
      </c>
      <c r="E693" s="209"/>
      <c r="F693" s="215">
        <v>27656.600000000002</v>
      </c>
      <c r="G693" s="203">
        <v>0</v>
      </c>
      <c r="H693" s="215">
        <f>H694+H696+H698</f>
        <v>27656.600000000002</v>
      </c>
      <c r="I693" s="203">
        <f>I694+I696+I698</f>
        <v>0</v>
      </c>
      <c r="J693" s="216">
        <f t="shared" si="154"/>
        <v>0</v>
      </c>
      <c r="K693" s="204">
        <f t="shared" si="155"/>
        <v>0</v>
      </c>
    </row>
    <row r="694" spans="1:11" ht="33.75" x14ac:dyDescent="0.2">
      <c r="A694" s="202" t="s">
        <v>1348</v>
      </c>
      <c r="B694" s="209" t="s">
        <v>512</v>
      </c>
      <c r="C694" s="209" t="s">
        <v>531</v>
      </c>
      <c r="D694" s="209" t="s">
        <v>995</v>
      </c>
      <c r="E694" s="209" t="s">
        <v>556</v>
      </c>
      <c r="F694" s="215">
        <v>22537.7</v>
      </c>
      <c r="G694" s="203">
        <v>0</v>
      </c>
      <c r="H694" s="215">
        <f>H695</f>
        <v>22537.7</v>
      </c>
      <c r="I694" s="203">
        <f>I695</f>
        <v>0</v>
      </c>
      <c r="J694" s="216">
        <f t="shared" si="154"/>
        <v>0</v>
      </c>
      <c r="K694" s="204">
        <f t="shared" si="155"/>
        <v>0</v>
      </c>
    </row>
    <row r="695" spans="1:11" x14ac:dyDescent="0.2">
      <c r="A695" s="202" t="s">
        <v>555</v>
      </c>
      <c r="B695" s="209" t="s">
        <v>512</v>
      </c>
      <c r="C695" s="209" t="s">
        <v>531</v>
      </c>
      <c r="D695" s="209" t="s">
        <v>995</v>
      </c>
      <c r="E695" s="209" t="s">
        <v>554</v>
      </c>
      <c r="F695" s="215">
        <v>22537.7</v>
      </c>
      <c r="G695" s="203">
        <v>0</v>
      </c>
      <c r="H695" s="215">
        <f>'Ведомственная 2020'!H639</f>
        <v>22537.7</v>
      </c>
      <c r="I695" s="203">
        <v>0</v>
      </c>
      <c r="J695" s="216">
        <f t="shared" si="154"/>
        <v>0</v>
      </c>
      <c r="K695" s="204">
        <f t="shared" si="155"/>
        <v>0</v>
      </c>
    </row>
    <row r="696" spans="1:11" x14ac:dyDescent="0.2">
      <c r="A696" s="202" t="s">
        <v>1347</v>
      </c>
      <c r="B696" s="209" t="s">
        <v>512</v>
      </c>
      <c r="C696" s="209" t="s">
        <v>531</v>
      </c>
      <c r="D696" s="209" t="s">
        <v>995</v>
      </c>
      <c r="E696" s="209" t="s">
        <v>535</v>
      </c>
      <c r="F696" s="215">
        <v>5007.7</v>
      </c>
      <c r="G696" s="203">
        <v>0</v>
      </c>
      <c r="H696" s="215">
        <f>H697</f>
        <v>5007.7</v>
      </c>
      <c r="I696" s="203">
        <f>I697</f>
        <v>0</v>
      </c>
      <c r="J696" s="216">
        <f t="shared" si="154"/>
        <v>0</v>
      </c>
      <c r="K696" s="204">
        <f t="shared" si="155"/>
        <v>0</v>
      </c>
    </row>
    <row r="697" spans="1:11" ht="22.5" x14ac:dyDescent="0.2">
      <c r="A697" s="202" t="s">
        <v>534</v>
      </c>
      <c r="B697" s="209" t="s">
        <v>512</v>
      </c>
      <c r="C697" s="209" t="s">
        <v>531</v>
      </c>
      <c r="D697" s="209" t="s">
        <v>995</v>
      </c>
      <c r="E697" s="209" t="s">
        <v>529</v>
      </c>
      <c r="F697" s="215">
        <v>5007.7</v>
      </c>
      <c r="G697" s="203">
        <v>0</v>
      </c>
      <c r="H697" s="215">
        <f>'Ведомственная 2020'!H641</f>
        <v>5007.7</v>
      </c>
      <c r="I697" s="203">
        <v>0</v>
      </c>
      <c r="J697" s="216">
        <f t="shared" si="154"/>
        <v>0</v>
      </c>
      <c r="K697" s="204">
        <f t="shared" si="155"/>
        <v>0</v>
      </c>
    </row>
    <row r="698" spans="1:11" x14ac:dyDescent="0.2">
      <c r="A698" s="202" t="s">
        <v>615</v>
      </c>
      <c r="B698" s="209" t="s">
        <v>512</v>
      </c>
      <c r="C698" s="209" t="s">
        <v>531</v>
      </c>
      <c r="D698" s="209" t="s">
        <v>995</v>
      </c>
      <c r="E698" s="209" t="s">
        <v>509</v>
      </c>
      <c r="F698" s="215">
        <v>111.19999999999999</v>
      </c>
      <c r="G698" s="203">
        <v>0</v>
      </c>
      <c r="H698" s="215">
        <f>H699</f>
        <v>111.19999999999999</v>
      </c>
      <c r="I698" s="203">
        <f>I699</f>
        <v>0</v>
      </c>
      <c r="J698" s="216">
        <f t="shared" ref="J698:J779" si="182">H698-F698</f>
        <v>0</v>
      </c>
      <c r="K698" s="204">
        <f t="shared" ref="K698:K779" si="183">I698-G698</f>
        <v>0</v>
      </c>
    </row>
    <row r="699" spans="1:11" x14ac:dyDescent="0.2">
      <c r="A699" s="202" t="s">
        <v>614</v>
      </c>
      <c r="B699" s="209" t="s">
        <v>512</v>
      </c>
      <c r="C699" s="209" t="s">
        <v>531</v>
      </c>
      <c r="D699" s="209" t="s">
        <v>995</v>
      </c>
      <c r="E699" s="209" t="s">
        <v>613</v>
      </c>
      <c r="F699" s="215">
        <v>111.19999999999999</v>
      </c>
      <c r="G699" s="203">
        <v>0</v>
      </c>
      <c r="H699" s="215">
        <f>'Ведомственная 2020'!H643</f>
        <v>111.19999999999999</v>
      </c>
      <c r="I699" s="203">
        <v>0</v>
      </c>
      <c r="J699" s="216">
        <f t="shared" si="182"/>
        <v>0</v>
      </c>
      <c r="K699" s="204">
        <f t="shared" si="183"/>
        <v>0</v>
      </c>
    </row>
    <row r="700" spans="1:11" s="302" customFormat="1" x14ac:dyDescent="0.2">
      <c r="A700" s="202" t="s">
        <v>943</v>
      </c>
      <c r="B700" s="209" t="s">
        <v>512</v>
      </c>
      <c r="C700" s="209" t="s">
        <v>531</v>
      </c>
      <c r="D700" s="209" t="s">
        <v>942</v>
      </c>
      <c r="E700" s="209"/>
      <c r="F700" s="215">
        <v>220</v>
      </c>
      <c r="G700" s="203">
        <v>0</v>
      </c>
      <c r="H700" s="215">
        <f t="shared" ref="H700:I704" si="184">H701</f>
        <v>220</v>
      </c>
      <c r="I700" s="203">
        <f t="shared" si="184"/>
        <v>0</v>
      </c>
      <c r="J700" s="216">
        <f t="shared" ref="J700:J705" si="185">H700-F700</f>
        <v>0</v>
      </c>
      <c r="K700" s="204">
        <f t="shared" ref="K700:K705" si="186">I700-G700</f>
        <v>0</v>
      </c>
    </row>
    <row r="701" spans="1:11" s="302" customFormat="1" x14ac:dyDescent="0.2">
      <c r="A701" s="202" t="s">
        <v>1027</v>
      </c>
      <c r="B701" s="209" t="s">
        <v>512</v>
      </c>
      <c r="C701" s="209" t="s">
        <v>531</v>
      </c>
      <c r="D701" s="209" t="s">
        <v>1026</v>
      </c>
      <c r="E701" s="209"/>
      <c r="F701" s="215">
        <v>220</v>
      </c>
      <c r="G701" s="203">
        <v>0</v>
      </c>
      <c r="H701" s="215">
        <f t="shared" si="184"/>
        <v>220</v>
      </c>
      <c r="I701" s="203">
        <f t="shared" si="184"/>
        <v>0</v>
      </c>
      <c r="J701" s="216">
        <f t="shared" si="185"/>
        <v>0</v>
      </c>
      <c r="K701" s="204">
        <f t="shared" si="186"/>
        <v>0</v>
      </c>
    </row>
    <row r="702" spans="1:11" s="302" customFormat="1" ht="33.75" x14ac:dyDescent="0.2">
      <c r="A702" s="202" t="s">
        <v>1281</v>
      </c>
      <c r="B702" s="209" t="s">
        <v>512</v>
      </c>
      <c r="C702" s="209" t="s">
        <v>531</v>
      </c>
      <c r="D702" s="209" t="s">
        <v>1282</v>
      </c>
      <c r="E702" s="209"/>
      <c r="F702" s="215">
        <v>220</v>
      </c>
      <c r="G702" s="203">
        <v>0</v>
      </c>
      <c r="H702" s="215">
        <f t="shared" si="184"/>
        <v>220</v>
      </c>
      <c r="I702" s="203">
        <f t="shared" si="184"/>
        <v>0</v>
      </c>
      <c r="J702" s="216">
        <f t="shared" si="185"/>
        <v>0</v>
      </c>
      <c r="K702" s="204">
        <f t="shared" si="186"/>
        <v>0</v>
      </c>
    </row>
    <row r="703" spans="1:11" s="302" customFormat="1" ht="22.5" x14ac:dyDescent="0.2">
      <c r="A703" s="202" t="s">
        <v>1415</v>
      </c>
      <c r="B703" s="209" t="s">
        <v>512</v>
      </c>
      <c r="C703" s="209" t="s">
        <v>531</v>
      </c>
      <c r="D703" s="209" t="s">
        <v>1416</v>
      </c>
      <c r="E703" s="209"/>
      <c r="F703" s="215">
        <v>220</v>
      </c>
      <c r="G703" s="203">
        <v>0</v>
      </c>
      <c r="H703" s="215">
        <f t="shared" si="184"/>
        <v>220</v>
      </c>
      <c r="I703" s="203">
        <f t="shared" si="184"/>
        <v>0</v>
      </c>
      <c r="J703" s="216">
        <f t="shared" si="185"/>
        <v>0</v>
      </c>
      <c r="K703" s="204">
        <f t="shared" si="186"/>
        <v>0</v>
      </c>
    </row>
    <row r="704" spans="1:11" s="302" customFormat="1" x14ac:dyDescent="0.2">
      <c r="A704" s="202" t="s">
        <v>1347</v>
      </c>
      <c r="B704" s="209" t="s">
        <v>512</v>
      </c>
      <c r="C704" s="209" t="s">
        <v>531</v>
      </c>
      <c r="D704" s="209" t="s">
        <v>1416</v>
      </c>
      <c r="E704" s="209" t="s">
        <v>535</v>
      </c>
      <c r="F704" s="215">
        <v>220</v>
      </c>
      <c r="G704" s="203">
        <v>0</v>
      </c>
      <c r="H704" s="215">
        <f t="shared" si="184"/>
        <v>220</v>
      </c>
      <c r="I704" s="203">
        <f t="shared" si="184"/>
        <v>0</v>
      </c>
      <c r="J704" s="216">
        <f t="shared" si="185"/>
        <v>0</v>
      </c>
      <c r="K704" s="204">
        <f t="shared" si="186"/>
        <v>0</v>
      </c>
    </row>
    <row r="705" spans="1:11" s="302" customFormat="1" ht="22.5" x14ac:dyDescent="0.2">
      <c r="A705" s="202" t="s">
        <v>534</v>
      </c>
      <c r="B705" s="209" t="s">
        <v>512</v>
      </c>
      <c r="C705" s="209" t="s">
        <v>531</v>
      </c>
      <c r="D705" s="209" t="s">
        <v>1416</v>
      </c>
      <c r="E705" s="209" t="s">
        <v>529</v>
      </c>
      <c r="F705" s="215">
        <v>220</v>
      </c>
      <c r="G705" s="203">
        <v>0</v>
      </c>
      <c r="H705" s="215">
        <f>'Ведомственная 2020'!H649</f>
        <v>220</v>
      </c>
      <c r="I705" s="203">
        <v>0</v>
      </c>
      <c r="J705" s="216">
        <f t="shared" si="185"/>
        <v>0</v>
      </c>
      <c r="K705" s="204">
        <f t="shared" si="186"/>
        <v>0</v>
      </c>
    </row>
    <row r="706" spans="1:11" s="434" customFormat="1" ht="22.5" x14ac:dyDescent="0.2">
      <c r="A706" s="202" t="s">
        <v>588</v>
      </c>
      <c r="B706" s="209" t="s">
        <v>512</v>
      </c>
      <c r="C706" s="209" t="s">
        <v>531</v>
      </c>
      <c r="D706" s="209" t="s">
        <v>587</v>
      </c>
      <c r="E706" s="209"/>
      <c r="F706" s="215">
        <f>F707</f>
        <v>0</v>
      </c>
      <c r="G706" s="203">
        <f t="shared" ref="G706:I707" si="187">G707</f>
        <v>0</v>
      </c>
      <c r="H706" s="215">
        <f t="shared" si="187"/>
        <v>3975</v>
      </c>
      <c r="I706" s="203">
        <f t="shared" si="187"/>
        <v>0</v>
      </c>
      <c r="J706" s="216">
        <f t="shared" ref="J706:J714" si="188">H706-F706</f>
        <v>3975</v>
      </c>
      <c r="K706" s="204">
        <f t="shared" ref="K706:K714" si="189">I706-G706</f>
        <v>0</v>
      </c>
    </row>
    <row r="707" spans="1:11" s="434" customFormat="1" x14ac:dyDescent="0.2">
      <c r="A707" s="202" t="s">
        <v>1630</v>
      </c>
      <c r="B707" s="209" t="s">
        <v>512</v>
      </c>
      <c r="C707" s="209" t="s">
        <v>531</v>
      </c>
      <c r="D707" s="209" t="s">
        <v>1631</v>
      </c>
      <c r="E707" s="209"/>
      <c r="F707" s="215">
        <f>F708</f>
        <v>0</v>
      </c>
      <c r="G707" s="203">
        <f t="shared" si="187"/>
        <v>0</v>
      </c>
      <c r="H707" s="215">
        <f t="shared" si="187"/>
        <v>3975</v>
      </c>
      <c r="I707" s="203">
        <f t="shared" si="187"/>
        <v>0</v>
      </c>
      <c r="J707" s="216">
        <f t="shared" si="188"/>
        <v>3975</v>
      </c>
      <c r="K707" s="204">
        <f t="shared" si="189"/>
        <v>0</v>
      </c>
    </row>
    <row r="708" spans="1:11" s="434" customFormat="1" ht="22.5" x14ac:dyDescent="0.2">
      <c r="A708" s="202" t="s">
        <v>1632</v>
      </c>
      <c r="B708" s="209" t="s">
        <v>512</v>
      </c>
      <c r="C708" s="209" t="s">
        <v>531</v>
      </c>
      <c r="D708" s="209" t="s">
        <v>1633</v>
      </c>
      <c r="E708" s="209"/>
      <c r="F708" s="215">
        <f>F709+F712</f>
        <v>0</v>
      </c>
      <c r="G708" s="203">
        <f t="shared" ref="G708:I708" si="190">G709+G712</f>
        <v>0</v>
      </c>
      <c r="H708" s="215">
        <f t="shared" si="190"/>
        <v>3975</v>
      </c>
      <c r="I708" s="203">
        <f t="shared" si="190"/>
        <v>0</v>
      </c>
      <c r="J708" s="216">
        <f t="shared" si="188"/>
        <v>3975</v>
      </c>
      <c r="K708" s="204">
        <f t="shared" si="189"/>
        <v>0</v>
      </c>
    </row>
    <row r="709" spans="1:11" s="434" customFormat="1" ht="22.5" x14ac:dyDescent="0.2">
      <c r="A709" s="202" t="s">
        <v>1634</v>
      </c>
      <c r="B709" s="209" t="s">
        <v>512</v>
      </c>
      <c r="C709" s="209" t="s">
        <v>531</v>
      </c>
      <c r="D709" s="209" t="s">
        <v>1635</v>
      </c>
      <c r="E709" s="209"/>
      <c r="F709" s="215">
        <f>F710</f>
        <v>0</v>
      </c>
      <c r="G709" s="203">
        <f t="shared" ref="G709:I710" si="191">G710</f>
        <v>0</v>
      </c>
      <c r="H709" s="215">
        <f t="shared" si="191"/>
        <v>2475</v>
      </c>
      <c r="I709" s="203">
        <f t="shared" si="191"/>
        <v>0</v>
      </c>
      <c r="J709" s="216">
        <f t="shared" si="188"/>
        <v>2475</v>
      </c>
      <c r="K709" s="204">
        <f t="shared" si="189"/>
        <v>0</v>
      </c>
    </row>
    <row r="710" spans="1:11" s="434" customFormat="1" x14ac:dyDescent="0.2">
      <c r="A710" s="202" t="s">
        <v>1347</v>
      </c>
      <c r="B710" s="209" t="s">
        <v>512</v>
      </c>
      <c r="C710" s="209" t="s">
        <v>531</v>
      </c>
      <c r="D710" s="209" t="s">
        <v>1635</v>
      </c>
      <c r="E710" s="209" t="s">
        <v>535</v>
      </c>
      <c r="F710" s="215">
        <f>F711</f>
        <v>0</v>
      </c>
      <c r="G710" s="203">
        <f t="shared" si="191"/>
        <v>0</v>
      </c>
      <c r="H710" s="215">
        <f t="shared" si="191"/>
        <v>2475</v>
      </c>
      <c r="I710" s="203">
        <f t="shared" si="191"/>
        <v>0</v>
      </c>
      <c r="J710" s="216">
        <f t="shared" si="188"/>
        <v>2475</v>
      </c>
      <c r="K710" s="204">
        <f t="shared" si="189"/>
        <v>0</v>
      </c>
    </row>
    <row r="711" spans="1:11" s="434" customFormat="1" ht="22.5" x14ac:dyDescent="0.2">
      <c r="A711" s="202" t="s">
        <v>534</v>
      </c>
      <c r="B711" s="209" t="s">
        <v>512</v>
      </c>
      <c r="C711" s="209" t="s">
        <v>531</v>
      </c>
      <c r="D711" s="209" t="s">
        <v>1635</v>
      </c>
      <c r="E711" s="209" t="s">
        <v>529</v>
      </c>
      <c r="F711" s="215">
        <v>0</v>
      </c>
      <c r="G711" s="203">
        <v>0</v>
      </c>
      <c r="H711" s="215">
        <f>'Ведомственная 2020'!H655</f>
        <v>2475</v>
      </c>
      <c r="I711" s="203">
        <v>0</v>
      </c>
      <c r="J711" s="216">
        <f t="shared" si="188"/>
        <v>2475</v>
      </c>
      <c r="K711" s="204">
        <f t="shared" si="189"/>
        <v>0</v>
      </c>
    </row>
    <row r="712" spans="1:11" s="434" customFormat="1" ht="22.5" x14ac:dyDescent="0.2">
      <c r="A712" s="202" t="s">
        <v>1636</v>
      </c>
      <c r="B712" s="209" t="s">
        <v>512</v>
      </c>
      <c r="C712" s="209" t="s">
        <v>531</v>
      </c>
      <c r="D712" s="209" t="s">
        <v>1637</v>
      </c>
      <c r="E712" s="209"/>
      <c r="F712" s="215">
        <f>F713</f>
        <v>0</v>
      </c>
      <c r="G712" s="203">
        <f t="shared" ref="G712:I713" si="192">G713</f>
        <v>0</v>
      </c>
      <c r="H712" s="215">
        <f t="shared" si="192"/>
        <v>1500</v>
      </c>
      <c r="I712" s="203">
        <f t="shared" si="192"/>
        <v>0</v>
      </c>
      <c r="J712" s="216">
        <f t="shared" si="188"/>
        <v>1500</v>
      </c>
      <c r="K712" s="204">
        <f t="shared" si="189"/>
        <v>0</v>
      </c>
    </row>
    <row r="713" spans="1:11" s="434" customFormat="1" x14ac:dyDescent="0.2">
      <c r="A713" s="202" t="s">
        <v>1347</v>
      </c>
      <c r="B713" s="209" t="s">
        <v>512</v>
      </c>
      <c r="C713" s="209" t="s">
        <v>531</v>
      </c>
      <c r="D713" s="209" t="s">
        <v>1637</v>
      </c>
      <c r="E713" s="209" t="s">
        <v>535</v>
      </c>
      <c r="F713" s="215">
        <f>F714</f>
        <v>0</v>
      </c>
      <c r="G713" s="203">
        <f t="shared" si="192"/>
        <v>0</v>
      </c>
      <c r="H713" s="215">
        <f t="shared" si="192"/>
        <v>1500</v>
      </c>
      <c r="I713" s="203">
        <f t="shared" si="192"/>
        <v>0</v>
      </c>
      <c r="J713" s="216">
        <f t="shared" si="188"/>
        <v>1500</v>
      </c>
      <c r="K713" s="204">
        <f t="shared" si="189"/>
        <v>0</v>
      </c>
    </row>
    <row r="714" spans="1:11" s="434" customFormat="1" ht="22.5" x14ac:dyDescent="0.2">
      <c r="A714" s="202" t="s">
        <v>534</v>
      </c>
      <c r="B714" s="209" t="s">
        <v>512</v>
      </c>
      <c r="C714" s="209" t="s">
        <v>531</v>
      </c>
      <c r="D714" s="209" t="s">
        <v>1637</v>
      </c>
      <c r="E714" s="209" t="s">
        <v>529</v>
      </c>
      <c r="F714" s="215">
        <v>0</v>
      </c>
      <c r="G714" s="203">
        <v>0</v>
      </c>
      <c r="H714" s="215">
        <f>'Ведомственная 2020'!H658</f>
        <v>1500</v>
      </c>
      <c r="I714" s="203">
        <v>0</v>
      </c>
      <c r="J714" s="216">
        <f t="shared" si="188"/>
        <v>1500</v>
      </c>
      <c r="K714" s="204">
        <f t="shared" si="189"/>
        <v>0</v>
      </c>
    </row>
    <row r="715" spans="1:11" x14ac:dyDescent="0.2">
      <c r="A715" s="202" t="s">
        <v>994</v>
      </c>
      <c r="B715" s="209" t="s">
        <v>512</v>
      </c>
      <c r="C715" s="209" t="s">
        <v>531</v>
      </c>
      <c r="D715" s="209" t="s">
        <v>993</v>
      </c>
      <c r="E715" s="209"/>
      <c r="F715" s="215">
        <v>2850</v>
      </c>
      <c r="G715" s="203">
        <v>0</v>
      </c>
      <c r="H715" s="215">
        <f t="shared" ref="H715:I718" si="193">H716</f>
        <v>2850</v>
      </c>
      <c r="I715" s="203">
        <f t="shared" si="193"/>
        <v>0</v>
      </c>
      <c r="J715" s="216">
        <f t="shared" si="182"/>
        <v>0</v>
      </c>
      <c r="K715" s="204">
        <f t="shared" si="183"/>
        <v>0</v>
      </c>
    </row>
    <row r="716" spans="1:11" x14ac:dyDescent="0.2">
      <c r="A716" s="202" t="s">
        <v>992</v>
      </c>
      <c r="B716" s="209" t="s">
        <v>512</v>
      </c>
      <c r="C716" s="209" t="s">
        <v>531</v>
      </c>
      <c r="D716" s="209" t="s">
        <v>991</v>
      </c>
      <c r="E716" s="209"/>
      <c r="F716" s="215">
        <v>2850</v>
      </c>
      <c r="G716" s="203">
        <v>0</v>
      </c>
      <c r="H716" s="215">
        <f t="shared" si="193"/>
        <v>2850</v>
      </c>
      <c r="I716" s="203">
        <f t="shared" si="193"/>
        <v>0</v>
      </c>
      <c r="J716" s="216">
        <f t="shared" si="182"/>
        <v>0</v>
      </c>
      <c r="K716" s="204">
        <f t="shared" si="183"/>
        <v>0</v>
      </c>
    </row>
    <row r="717" spans="1:11" ht="22.5" x14ac:dyDescent="0.2">
      <c r="A717" s="202" t="s">
        <v>990</v>
      </c>
      <c r="B717" s="209" t="s">
        <v>512</v>
      </c>
      <c r="C717" s="209" t="s">
        <v>531</v>
      </c>
      <c r="D717" s="209" t="s">
        <v>989</v>
      </c>
      <c r="E717" s="209"/>
      <c r="F717" s="215">
        <v>2850</v>
      </c>
      <c r="G717" s="203">
        <v>0</v>
      </c>
      <c r="H717" s="215">
        <f t="shared" si="193"/>
        <v>2850</v>
      </c>
      <c r="I717" s="203">
        <f t="shared" si="193"/>
        <v>0</v>
      </c>
      <c r="J717" s="216">
        <f t="shared" si="182"/>
        <v>0</v>
      </c>
      <c r="K717" s="204">
        <f t="shared" si="183"/>
        <v>0</v>
      </c>
    </row>
    <row r="718" spans="1:11" ht="22.5" x14ac:dyDescent="0.2">
      <c r="A718" s="202" t="s">
        <v>988</v>
      </c>
      <c r="B718" s="209" t="s">
        <v>512</v>
      </c>
      <c r="C718" s="209" t="s">
        <v>531</v>
      </c>
      <c r="D718" s="209" t="s">
        <v>987</v>
      </c>
      <c r="E718" s="209"/>
      <c r="F718" s="215">
        <v>2850</v>
      </c>
      <c r="G718" s="203">
        <v>0</v>
      </c>
      <c r="H718" s="215">
        <f t="shared" si="193"/>
        <v>2850</v>
      </c>
      <c r="I718" s="203">
        <f t="shared" si="193"/>
        <v>0</v>
      </c>
      <c r="J718" s="216">
        <f t="shared" si="182"/>
        <v>0</v>
      </c>
      <c r="K718" s="204">
        <f t="shared" si="183"/>
        <v>0</v>
      </c>
    </row>
    <row r="719" spans="1:11" x14ac:dyDescent="0.2">
      <c r="A719" s="202" t="s">
        <v>1347</v>
      </c>
      <c r="B719" s="209" t="s">
        <v>512</v>
      </c>
      <c r="C719" s="209" t="s">
        <v>531</v>
      </c>
      <c r="D719" s="209" t="s">
        <v>987</v>
      </c>
      <c r="E719" s="209" t="s">
        <v>535</v>
      </c>
      <c r="F719" s="215">
        <v>2850</v>
      </c>
      <c r="G719" s="203">
        <v>0</v>
      </c>
      <c r="H719" s="215">
        <f>H720</f>
        <v>2850</v>
      </c>
      <c r="I719" s="203">
        <v>0</v>
      </c>
      <c r="J719" s="216">
        <f t="shared" si="182"/>
        <v>0</v>
      </c>
      <c r="K719" s="204">
        <f t="shared" si="183"/>
        <v>0</v>
      </c>
    </row>
    <row r="720" spans="1:11" ht="22.5" x14ac:dyDescent="0.2">
      <c r="A720" s="202" t="s">
        <v>534</v>
      </c>
      <c r="B720" s="209" t="s">
        <v>512</v>
      </c>
      <c r="C720" s="209" t="s">
        <v>531</v>
      </c>
      <c r="D720" s="209" t="s">
        <v>987</v>
      </c>
      <c r="E720" s="209" t="s">
        <v>529</v>
      </c>
      <c r="F720" s="215">
        <v>2850</v>
      </c>
      <c r="G720" s="203">
        <v>0</v>
      </c>
      <c r="H720" s="215">
        <f>'Ведомственная 2020'!H664</f>
        <v>2850</v>
      </c>
      <c r="I720" s="203">
        <v>0</v>
      </c>
      <c r="J720" s="216">
        <f t="shared" si="182"/>
        <v>0</v>
      </c>
      <c r="K720" s="204">
        <f t="shared" si="183"/>
        <v>0</v>
      </c>
    </row>
    <row r="721" spans="1:11" x14ac:dyDescent="0.2">
      <c r="A721" s="202" t="s">
        <v>986</v>
      </c>
      <c r="B721" s="209" t="s">
        <v>512</v>
      </c>
      <c r="C721" s="209" t="s">
        <v>531</v>
      </c>
      <c r="D721" s="209" t="s">
        <v>985</v>
      </c>
      <c r="E721" s="209"/>
      <c r="F721" s="215">
        <v>742911.5</v>
      </c>
      <c r="G721" s="203">
        <v>0</v>
      </c>
      <c r="H721" s="215">
        <f>H722+H752</f>
        <v>746064.29999999993</v>
      </c>
      <c r="I721" s="203">
        <f>I722+I752</f>
        <v>0</v>
      </c>
      <c r="J721" s="216">
        <f t="shared" si="182"/>
        <v>3152.7999999999302</v>
      </c>
      <c r="K721" s="204">
        <f t="shared" si="183"/>
        <v>0</v>
      </c>
    </row>
    <row r="722" spans="1:11" x14ac:dyDescent="0.2">
      <c r="A722" s="202" t="s">
        <v>984</v>
      </c>
      <c r="B722" s="209" t="s">
        <v>512</v>
      </c>
      <c r="C722" s="209" t="s">
        <v>531</v>
      </c>
      <c r="D722" s="209" t="s">
        <v>983</v>
      </c>
      <c r="E722" s="209"/>
      <c r="F722" s="215">
        <v>143718.20000000001</v>
      </c>
      <c r="G722" s="203">
        <v>0</v>
      </c>
      <c r="H722" s="215">
        <f>H723+H745</f>
        <v>120445</v>
      </c>
      <c r="I722" s="203">
        <f>I723+I745</f>
        <v>0</v>
      </c>
      <c r="J722" s="216">
        <f t="shared" si="182"/>
        <v>-23273.200000000012</v>
      </c>
      <c r="K722" s="204">
        <f t="shared" si="183"/>
        <v>0</v>
      </c>
    </row>
    <row r="723" spans="1:11" ht="22.5" x14ac:dyDescent="0.2">
      <c r="A723" s="202" t="s">
        <v>982</v>
      </c>
      <c r="B723" s="209" t="s">
        <v>512</v>
      </c>
      <c r="C723" s="209" t="s">
        <v>531</v>
      </c>
      <c r="D723" s="209" t="s">
        <v>981</v>
      </c>
      <c r="E723" s="209"/>
      <c r="F723" s="215">
        <v>127153</v>
      </c>
      <c r="G723" s="203">
        <v>0</v>
      </c>
      <c r="H723" s="215">
        <f>H730+H742+H739+H736+H724+H727+H733</f>
        <v>111145</v>
      </c>
      <c r="I723" s="203">
        <f>I730</f>
        <v>0</v>
      </c>
      <c r="J723" s="216">
        <f t="shared" si="182"/>
        <v>-16008</v>
      </c>
      <c r="K723" s="204">
        <f t="shared" si="183"/>
        <v>0</v>
      </c>
    </row>
    <row r="724" spans="1:11" s="442" customFormat="1" x14ac:dyDescent="0.2">
      <c r="A724" s="202" t="s">
        <v>1652</v>
      </c>
      <c r="B724" s="209" t="s">
        <v>512</v>
      </c>
      <c r="C724" s="209" t="s">
        <v>531</v>
      </c>
      <c r="D724" s="209" t="s">
        <v>1653</v>
      </c>
      <c r="E724" s="209"/>
      <c r="F724" s="215">
        <f>F725</f>
        <v>0</v>
      </c>
      <c r="G724" s="203">
        <f t="shared" ref="G724:I725" si="194">G725</f>
        <v>0</v>
      </c>
      <c r="H724" s="215">
        <f t="shared" si="194"/>
        <v>11312</v>
      </c>
      <c r="I724" s="203">
        <f t="shared" si="194"/>
        <v>0</v>
      </c>
      <c r="J724" s="216">
        <f t="shared" ref="J724:J729" si="195">H724-F724</f>
        <v>11312</v>
      </c>
      <c r="K724" s="204">
        <f t="shared" ref="K724:K729" si="196">I724-G724</f>
        <v>0</v>
      </c>
    </row>
    <row r="725" spans="1:11" s="442" customFormat="1" x14ac:dyDescent="0.2">
      <c r="A725" s="202" t="s">
        <v>1347</v>
      </c>
      <c r="B725" s="209" t="s">
        <v>512</v>
      </c>
      <c r="C725" s="209" t="s">
        <v>531</v>
      </c>
      <c r="D725" s="209" t="s">
        <v>1653</v>
      </c>
      <c r="E725" s="209" t="s">
        <v>535</v>
      </c>
      <c r="F725" s="215">
        <f>F726</f>
        <v>0</v>
      </c>
      <c r="G725" s="203">
        <f t="shared" si="194"/>
        <v>0</v>
      </c>
      <c r="H725" s="215">
        <f t="shared" si="194"/>
        <v>11312</v>
      </c>
      <c r="I725" s="203">
        <f t="shared" si="194"/>
        <v>0</v>
      </c>
      <c r="J725" s="216">
        <f t="shared" si="195"/>
        <v>11312</v>
      </c>
      <c r="K725" s="204">
        <f t="shared" si="196"/>
        <v>0</v>
      </c>
    </row>
    <row r="726" spans="1:11" s="442" customFormat="1" ht="22.5" x14ac:dyDescent="0.2">
      <c r="A726" s="202" t="s">
        <v>534</v>
      </c>
      <c r="B726" s="209" t="s">
        <v>512</v>
      </c>
      <c r="C726" s="209" t="s">
        <v>531</v>
      </c>
      <c r="D726" s="209" t="s">
        <v>1653</v>
      </c>
      <c r="E726" s="209" t="s">
        <v>529</v>
      </c>
      <c r="F726" s="215">
        <v>0</v>
      </c>
      <c r="G726" s="203">
        <v>0</v>
      </c>
      <c r="H726" s="215">
        <f>'Ведомственная 2020'!H670</f>
        <v>11312</v>
      </c>
      <c r="I726" s="203">
        <v>0</v>
      </c>
      <c r="J726" s="216">
        <f t="shared" si="195"/>
        <v>11312</v>
      </c>
      <c r="K726" s="204">
        <f t="shared" si="196"/>
        <v>0</v>
      </c>
    </row>
    <row r="727" spans="1:11" s="442" customFormat="1" x14ac:dyDescent="0.2">
      <c r="A727" s="202" t="s">
        <v>1654</v>
      </c>
      <c r="B727" s="209" t="s">
        <v>512</v>
      </c>
      <c r="C727" s="209" t="s">
        <v>531</v>
      </c>
      <c r="D727" s="209" t="s">
        <v>1655</v>
      </c>
      <c r="E727" s="209"/>
      <c r="F727" s="215">
        <f>F728</f>
        <v>0</v>
      </c>
      <c r="G727" s="203">
        <f t="shared" ref="G727:I728" si="197">G728</f>
        <v>0</v>
      </c>
      <c r="H727" s="215">
        <f t="shared" si="197"/>
        <v>31292</v>
      </c>
      <c r="I727" s="203">
        <f t="shared" si="197"/>
        <v>0</v>
      </c>
      <c r="J727" s="216">
        <f t="shared" si="195"/>
        <v>31292</v>
      </c>
      <c r="K727" s="204">
        <f t="shared" si="196"/>
        <v>0</v>
      </c>
    </row>
    <row r="728" spans="1:11" s="442" customFormat="1" x14ac:dyDescent="0.2">
      <c r="A728" s="202" t="s">
        <v>1347</v>
      </c>
      <c r="B728" s="209" t="s">
        <v>512</v>
      </c>
      <c r="C728" s="209" t="s">
        <v>531</v>
      </c>
      <c r="D728" s="209" t="s">
        <v>1655</v>
      </c>
      <c r="E728" s="209" t="s">
        <v>535</v>
      </c>
      <c r="F728" s="215">
        <f>F729</f>
        <v>0</v>
      </c>
      <c r="G728" s="203">
        <f t="shared" si="197"/>
        <v>0</v>
      </c>
      <c r="H728" s="215">
        <f t="shared" si="197"/>
        <v>31292</v>
      </c>
      <c r="I728" s="203">
        <f t="shared" si="197"/>
        <v>0</v>
      </c>
      <c r="J728" s="216">
        <f t="shared" si="195"/>
        <v>31292</v>
      </c>
      <c r="K728" s="204">
        <f t="shared" si="196"/>
        <v>0</v>
      </c>
    </row>
    <row r="729" spans="1:11" s="442" customFormat="1" ht="22.5" x14ac:dyDescent="0.2">
      <c r="A729" s="202" t="s">
        <v>534</v>
      </c>
      <c r="B729" s="209" t="s">
        <v>512</v>
      </c>
      <c r="C729" s="209" t="s">
        <v>531</v>
      </c>
      <c r="D729" s="209" t="s">
        <v>1655</v>
      </c>
      <c r="E729" s="209" t="s">
        <v>529</v>
      </c>
      <c r="F729" s="215">
        <v>0</v>
      </c>
      <c r="G729" s="203">
        <v>0</v>
      </c>
      <c r="H729" s="215">
        <f>'Ведомственная 2020'!H673</f>
        <v>31292</v>
      </c>
      <c r="I729" s="203">
        <v>0</v>
      </c>
      <c r="J729" s="216">
        <f t="shared" si="195"/>
        <v>31292</v>
      </c>
      <c r="K729" s="204">
        <f t="shared" si="196"/>
        <v>0</v>
      </c>
    </row>
    <row r="730" spans="1:11" ht="22.5" x14ac:dyDescent="0.2">
      <c r="A730" s="202" t="s">
        <v>980</v>
      </c>
      <c r="B730" s="209" t="s">
        <v>512</v>
      </c>
      <c r="C730" s="209" t="s">
        <v>531</v>
      </c>
      <c r="D730" s="209" t="s">
        <v>979</v>
      </c>
      <c r="E730" s="209"/>
      <c r="F730" s="215">
        <v>60841</v>
      </c>
      <c r="G730" s="203">
        <v>0</v>
      </c>
      <c r="H730" s="215">
        <f t="shared" ref="H730:I731" si="198">H731</f>
        <v>60841</v>
      </c>
      <c r="I730" s="203">
        <f t="shared" si="198"/>
        <v>0</v>
      </c>
      <c r="J730" s="216">
        <f t="shared" si="182"/>
        <v>0</v>
      </c>
      <c r="K730" s="204">
        <f t="shared" si="183"/>
        <v>0</v>
      </c>
    </row>
    <row r="731" spans="1:11" x14ac:dyDescent="0.2">
      <c r="A731" s="202" t="s">
        <v>1347</v>
      </c>
      <c r="B731" s="209" t="s">
        <v>512</v>
      </c>
      <c r="C731" s="209" t="s">
        <v>531</v>
      </c>
      <c r="D731" s="209" t="s">
        <v>979</v>
      </c>
      <c r="E731" s="209" t="s">
        <v>535</v>
      </c>
      <c r="F731" s="215">
        <v>60841</v>
      </c>
      <c r="G731" s="203">
        <v>0</v>
      </c>
      <c r="H731" s="215">
        <f t="shared" si="198"/>
        <v>60841</v>
      </c>
      <c r="I731" s="203">
        <f t="shared" si="198"/>
        <v>0</v>
      </c>
      <c r="J731" s="216">
        <f t="shared" si="182"/>
        <v>0</v>
      </c>
      <c r="K731" s="204">
        <f t="shared" si="183"/>
        <v>0</v>
      </c>
    </row>
    <row r="732" spans="1:11" ht="22.5" x14ac:dyDescent="0.2">
      <c r="A732" s="202" t="s">
        <v>534</v>
      </c>
      <c r="B732" s="209" t="s">
        <v>512</v>
      </c>
      <c r="C732" s="209" t="s">
        <v>531</v>
      </c>
      <c r="D732" s="209" t="s">
        <v>979</v>
      </c>
      <c r="E732" s="209" t="s">
        <v>529</v>
      </c>
      <c r="F732" s="215">
        <v>60841</v>
      </c>
      <c r="G732" s="203">
        <v>0</v>
      </c>
      <c r="H732" s="215">
        <f>'Ведомственная 2020'!H676</f>
        <v>60841</v>
      </c>
      <c r="I732" s="203">
        <v>0</v>
      </c>
      <c r="J732" s="216">
        <f t="shared" si="182"/>
        <v>0</v>
      </c>
      <c r="K732" s="204">
        <f t="shared" si="183"/>
        <v>0</v>
      </c>
    </row>
    <row r="733" spans="1:11" s="444" customFormat="1" ht="33.75" x14ac:dyDescent="0.2">
      <c r="A733" s="202" t="s">
        <v>1658</v>
      </c>
      <c r="B733" s="209" t="s">
        <v>512</v>
      </c>
      <c r="C733" s="209" t="s">
        <v>531</v>
      </c>
      <c r="D733" s="209" t="s">
        <v>1659</v>
      </c>
      <c r="E733" s="209"/>
      <c r="F733" s="215">
        <f>F734</f>
        <v>0</v>
      </c>
      <c r="G733" s="203">
        <f t="shared" ref="G733:I734" si="199">G734</f>
        <v>0</v>
      </c>
      <c r="H733" s="215">
        <f t="shared" si="199"/>
        <v>2000</v>
      </c>
      <c r="I733" s="203">
        <f t="shared" si="199"/>
        <v>0</v>
      </c>
      <c r="J733" s="216">
        <f t="shared" ref="J733:J735" si="200">H733-F733</f>
        <v>2000</v>
      </c>
      <c r="K733" s="204">
        <f t="shared" ref="K733:K735" si="201">I733-G733</f>
        <v>0</v>
      </c>
    </row>
    <row r="734" spans="1:11" s="444" customFormat="1" x14ac:dyDescent="0.2">
      <c r="A734" s="202" t="s">
        <v>1347</v>
      </c>
      <c r="B734" s="209" t="s">
        <v>512</v>
      </c>
      <c r="C734" s="209" t="s">
        <v>531</v>
      </c>
      <c r="D734" s="209" t="s">
        <v>1659</v>
      </c>
      <c r="E734" s="209" t="s">
        <v>535</v>
      </c>
      <c r="F734" s="215">
        <f>F735</f>
        <v>0</v>
      </c>
      <c r="G734" s="203">
        <f t="shared" si="199"/>
        <v>0</v>
      </c>
      <c r="H734" s="215">
        <f t="shared" si="199"/>
        <v>2000</v>
      </c>
      <c r="I734" s="203">
        <f t="shared" si="199"/>
        <v>0</v>
      </c>
      <c r="J734" s="216">
        <f t="shared" si="200"/>
        <v>2000</v>
      </c>
      <c r="K734" s="204">
        <f t="shared" si="201"/>
        <v>0</v>
      </c>
    </row>
    <row r="735" spans="1:11" s="444" customFormat="1" ht="22.5" x14ac:dyDescent="0.2">
      <c r="A735" s="202" t="s">
        <v>534</v>
      </c>
      <c r="B735" s="209" t="s">
        <v>512</v>
      </c>
      <c r="C735" s="209" t="s">
        <v>531</v>
      </c>
      <c r="D735" s="209" t="s">
        <v>1659</v>
      </c>
      <c r="E735" s="209" t="s">
        <v>529</v>
      </c>
      <c r="F735" s="215">
        <v>0</v>
      </c>
      <c r="G735" s="203">
        <v>0</v>
      </c>
      <c r="H735" s="215">
        <f>'Ведомственная 2020'!H679</f>
        <v>2000</v>
      </c>
      <c r="I735" s="203">
        <v>0</v>
      </c>
      <c r="J735" s="216">
        <f t="shared" si="200"/>
        <v>2000</v>
      </c>
      <c r="K735" s="204">
        <f t="shared" si="201"/>
        <v>0</v>
      </c>
    </row>
    <row r="736" spans="1:11" s="440" customFormat="1" ht="30" customHeight="1" x14ac:dyDescent="0.2">
      <c r="A736" s="202" t="s">
        <v>1645</v>
      </c>
      <c r="B736" s="209" t="s">
        <v>512</v>
      </c>
      <c r="C736" s="209" t="s">
        <v>531</v>
      </c>
      <c r="D736" s="209" t="s">
        <v>1646</v>
      </c>
      <c r="E736" s="209"/>
      <c r="F736" s="215">
        <f>F737</f>
        <v>0</v>
      </c>
      <c r="G736" s="203">
        <f t="shared" ref="G736:I737" si="202">G737</f>
        <v>0</v>
      </c>
      <c r="H736" s="215">
        <f t="shared" si="202"/>
        <v>5700</v>
      </c>
      <c r="I736" s="203">
        <f t="shared" si="202"/>
        <v>0</v>
      </c>
      <c r="J736" s="216">
        <f t="shared" ref="J736:J738" si="203">H736-F736</f>
        <v>5700</v>
      </c>
      <c r="K736" s="204">
        <f t="shared" ref="K736:K738" si="204">I736-G736</f>
        <v>0</v>
      </c>
    </row>
    <row r="737" spans="1:11" s="440" customFormat="1" x14ac:dyDescent="0.2">
      <c r="A737" s="202" t="s">
        <v>1347</v>
      </c>
      <c r="B737" s="209" t="s">
        <v>512</v>
      </c>
      <c r="C737" s="209" t="s">
        <v>531</v>
      </c>
      <c r="D737" s="209" t="s">
        <v>1646</v>
      </c>
      <c r="E737" s="209" t="s">
        <v>535</v>
      </c>
      <c r="F737" s="215">
        <f>F738</f>
        <v>0</v>
      </c>
      <c r="G737" s="203">
        <f t="shared" si="202"/>
        <v>0</v>
      </c>
      <c r="H737" s="215">
        <f t="shared" si="202"/>
        <v>5700</v>
      </c>
      <c r="I737" s="203">
        <f t="shared" si="202"/>
        <v>0</v>
      </c>
      <c r="J737" s="216">
        <f t="shared" si="203"/>
        <v>5700</v>
      </c>
      <c r="K737" s="204">
        <f t="shared" si="204"/>
        <v>0</v>
      </c>
    </row>
    <row r="738" spans="1:11" s="440" customFormat="1" ht="22.5" x14ac:dyDescent="0.2">
      <c r="A738" s="202" t="s">
        <v>534</v>
      </c>
      <c r="B738" s="209" t="s">
        <v>512</v>
      </c>
      <c r="C738" s="209" t="s">
        <v>531</v>
      </c>
      <c r="D738" s="209" t="s">
        <v>1646</v>
      </c>
      <c r="E738" s="209" t="s">
        <v>529</v>
      </c>
      <c r="F738" s="215">
        <v>0</v>
      </c>
      <c r="G738" s="203">
        <v>0</v>
      </c>
      <c r="H738" s="215">
        <f>'Ведомственная 2020'!H682</f>
        <v>5700</v>
      </c>
      <c r="I738" s="203">
        <v>0</v>
      </c>
      <c r="J738" s="216">
        <f t="shared" si="203"/>
        <v>5700</v>
      </c>
      <c r="K738" s="204">
        <f t="shared" si="204"/>
        <v>0</v>
      </c>
    </row>
    <row r="739" spans="1:11" s="373" customFormat="1" ht="22.5" x14ac:dyDescent="0.2">
      <c r="A739" s="202" t="s">
        <v>1490</v>
      </c>
      <c r="B739" s="209" t="s">
        <v>512</v>
      </c>
      <c r="C739" s="209" t="s">
        <v>531</v>
      </c>
      <c r="D739" s="209" t="s">
        <v>1491</v>
      </c>
      <c r="E739" s="209"/>
      <c r="F739" s="215">
        <v>11312</v>
      </c>
      <c r="G739" s="203">
        <v>0</v>
      </c>
      <c r="H739" s="215">
        <f t="shared" ref="H739:I740" si="205">H740</f>
        <v>0</v>
      </c>
      <c r="I739" s="203">
        <f t="shared" si="205"/>
        <v>0</v>
      </c>
      <c r="J739" s="216">
        <f t="shared" ref="J739:J741" si="206">H739-F739</f>
        <v>-11312</v>
      </c>
      <c r="K739" s="204">
        <f t="shared" ref="K739:K741" si="207">I739-G739</f>
        <v>0</v>
      </c>
    </row>
    <row r="740" spans="1:11" s="373" customFormat="1" x14ac:dyDescent="0.2">
      <c r="A740" s="202" t="s">
        <v>1347</v>
      </c>
      <c r="B740" s="209" t="s">
        <v>512</v>
      </c>
      <c r="C740" s="209" t="s">
        <v>531</v>
      </c>
      <c r="D740" s="209" t="s">
        <v>1491</v>
      </c>
      <c r="E740" s="209" t="s">
        <v>535</v>
      </c>
      <c r="F740" s="215">
        <v>11312</v>
      </c>
      <c r="G740" s="203">
        <v>0</v>
      </c>
      <c r="H740" s="215">
        <f t="shared" si="205"/>
        <v>0</v>
      </c>
      <c r="I740" s="203">
        <f t="shared" si="205"/>
        <v>0</v>
      </c>
      <c r="J740" s="216">
        <f t="shared" si="206"/>
        <v>-11312</v>
      </c>
      <c r="K740" s="204">
        <f t="shared" si="207"/>
        <v>0</v>
      </c>
    </row>
    <row r="741" spans="1:11" s="373" customFormat="1" ht="22.5" x14ac:dyDescent="0.2">
      <c r="A741" s="202" t="s">
        <v>534</v>
      </c>
      <c r="B741" s="209" t="s">
        <v>512</v>
      </c>
      <c r="C741" s="209" t="s">
        <v>531</v>
      </c>
      <c r="D741" s="209" t="s">
        <v>1491</v>
      </c>
      <c r="E741" s="209" t="s">
        <v>529</v>
      </c>
      <c r="F741" s="215">
        <v>11312</v>
      </c>
      <c r="G741" s="203">
        <v>0</v>
      </c>
      <c r="H741" s="215">
        <f>'Ведомственная 2020'!H685</f>
        <v>0</v>
      </c>
      <c r="I741" s="203">
        <v>0</v>
      </c>
      <c r="J741" s="216">
        <f t="shared" si="206"/>
        <v>-11312</v>
      </c>
      <c r="K741" s="204">
        <f t="shared" si="207"/>
        <v>0</v>
      </c>
    </row>
    <row r="742" spans="1:11" s="373" customFormat="1" ht="22.5" x14ac:dyDescent="0.2">
      <c r="A742" s="202" t="s">
        <v>1488</v>
      </c>
      <c r="B742" s="209" t="s">
        <v>512</v>
      </c>
      <c r="C742" s="209" t="s">
        <v>531</v>
      </c>
      <c r="D742" s="209" t="s">
        <v>1489</v>
      </c>
      <c r="E742" s="209"/>
      <c r="F742" s="215">
        <v>55000</v>
      </c>
      <c r="G742" s="203">
        <v>0</v>
      </c>
      <c r="H742" s="215">
        <f t="shared" ref="H742:I743" si="208">H743</f>
        <v>0</v>
      </c>
      <c r="I742" s="203">
        <f t="shared" si="208"/>
        <v>0</v>
      </c>
      <c r="J742" s="216">
        <f t="shared" ref="J742:J744" si="209">H742-F742</f>
        <v>-55000</v>
      </c>
      <c r="K742" s="204">
        <f t="shared" ref="K742:K744" si="210">I742-G742</f>
        <v>0</v>
      </c>
    </row>
    <row r="743" spans="1:11" s="373" customFormat="1" x14ac:dyDescent="0.2">
      <c r="A743" s="202" t="s">
        <v>1347</v>
      </c>
      <c r="B743" s="209" t="s">
        <v>512</v>
      </c>
      <c r="C743" s="209" t="s">
        <v>531</v>
      </c>
      <c r="D743" s="209" t="s">
        <v>1489</v>
      </c>
      <c r="E743" s="209" t="s">
        <v>535</v>
      </c>
      <c r="F743" s="215">
        <v>55000</v>
      </c>
      <c r="G743" s="203">
        <v>0</v>
      </c>
      <c r="H743" s="215">
        <f t="shared" si="208"/>
        <v>0</v>
      </c>
      <c r="I743" s="203">
        <f t="shared" si="208"/>
        <v>0</v>
      </c>
      <c r="J743" s="216">
        <f t="shared" si="209"/>
        <v>-55000</v>
      </c>
      <c r="K743" s="204">
        <f t="shared" si="210"/>
        <v>0</v>
      </c>
    </row>
    <row r="744" spans="1:11" s="373" customFormat="1" ht="22.5" x14ac:dyDescent="0.2">
      <c r="A744" s="202" t="s">
        <v>534</v>
      </c>
      <c r="B744" s="209" t="s">
        <v>512</v>
      </c>
      <c r="C744" s="209" t="s">
        <v>531</v>
      </c>
      <c r="D744" s="209" t="s">
        <v>1489</v>
      </c>
      <c r="E744" s="209" t="s">
        <v>529</v>
      </c>
      <c r="F744" s="215">
        <v>55000</v>
      </c>
      <c r="G744" s="203">
        <v>0</v>
      </c>
      <c r="H744" s="215">
        <f>'Ведомственная 2020'!H688</f>
        <v>0</v>
      </c>
      <c r="I744" s="203">
        <v>0</v>
      </c>
      <c r="J744" s="216">
        <f t="shared" si="209"/>
        <v>-55000</v>
      </c>
      <c r="K744" s="204">
        <f t="shared" si="210"/>
        <v>0</v>
      </c>
    </row>
    <row r="745" spans="1:11" x14ac:dyDescent="0.2">
      <c r="A745" s="202" t="s">
        <v>978</v>
      </c>
      <c r="B745" s="209" t="s">
        <v>512</v>
      </c>
      <c r="C745" s="209" t="s">
        <v>531</v>
      </c>
      <c r="D745" s="209" t="s">
        <v>977</v>
      </c>
      <c r="E745" s="209"/>
      <c r="F745" s="215">
        <v>16565.2</v>
      </c>
      <c r="G745" s="203">
        <v>0</v>
      </c>
      <c r="H745" s="215">
        <f>H749+H746</f>
        <v>9300</v>
      </c>
      <c r="I745" s="203">
        <f>I749+I746</f>
        <v>0</v>
      </c>
      <c r="J745" s="216">
        <f t="shared" si="182"/>
        <v>-7265.2000000000007</v>
      </c>
      <c r="K745" s="204">
        <f t="shared" si="183"/>
        <v>0</v>
      </c>
    </row>
    <row r="746" spans="1:11" s="207" customFormat="1" ht="22.5" x14ac:dyDescent="0.2">
      <c r="A746" s="202" t="s">
        <v>1370</v>
      </c>
      <c r="B746" s="209" t="s">
        <v>512</v>
      </c>
      <c r="C746" s="209" t="s">
        <v>531</v>
      </c>
      <c r="D746" s="209" t="s">
        <v>1371</v>
      </c>
      <c r="E746" s="209"/>
      <c r="F746" s="215">
        <v>12121.2</v>
      </c>
      <c r="G746" s="203">
        <v>0</v>
      </c>
      <c r="H746" s="215">
        <f t="shared" ref="H746:I747" si="211">H747</f>
        <v>9300</v>
      </c>
      <c r="I746" s="203">
        <f t="shared" si="211"/>
        <v>0</v>
      </c>
      <c r="J746" s="216">
        <f t="shared" ref="J746:J748" si="212">H746-F746</f>
        <v>-2821.2000000000007</v>
      </c>
      <c r="K746" s="204">
        <f t="shared" ref="K746:K748" si="213">I746-G746</f>
        <v>0</v>
      </c>
    </row>
    <row r="747" spans="1:11" s="207" customFormat="1" x14ac:dyDescent="0.2">
      <c r="A747" s="202" t="s">
        <v>1347</v>
      </c>
      <c r="B747" s="209" t="s">
        <v>512</v>
      </c>
      <c r="C747" s="209" t="s">
        <v>531</v>
      </c>
      <c r="D747" s="209" t="s">
        <v>1371</v>
      </c>
      <c r="E747" s="209" t="s">
        <v>535</v>
      </c>
      <c r="F747" s="215">
        <v>12121.2</v>
      </c>
      <c r="G747" s="203">
        <v>0</v>
      </c>
      <c r="H747" s="215">
        <f t="shared" si="211"/>
        <v>9300</v>
      </c>
      <c r="I747" s="203">
        <f t="shared" si="211"/>
        <v>0</v>
      </c>
      <c r="J747" s="216">
        <f t="shared" si="212"/>
        <v>-2821.2000000000007</v>
      </c>
      <c r="K747" s="204">
        <f t="shared" si="213"/>
        <v>0</v>
      </c>
    </row>
    <row r="748" spans="1:11" s="207" customFormat="1" ht="22.5" x14ac:dyDescent="0.2">
      <c r="A748" s="202" t="s">
        <v>534</v>
      </c>
      <c r="B748" s="209" t="s">
        <v>512</v>
      </c>
      <c r="C748" s="209" t="s">
        <v>531</v>
      </c>
      <c r="D748" s="209" t="s">
        <v>1371</v>
      </c>
      <c r="E748" s="209" t="s">
        <v>529</v>
      </c>
      <c r="F748" s="215">
        <v>12121.2</v>
      </c>
      <c r="G748" s="203">
        <v>0</v>
      </c>
      <c r="H748" s="215">
        <f>'Ведомственная 2020'!H692</f>
        <v>9300</v>
      </c>
      <c r="I748" s="203">
        <v>0</v>
      </c>
      <c r="J748" s="216">
        <f t="shared" si="212"/>
        <v>-2821.2000000000007</v>
      </c>
      <c r="K748" s="204">
        <f t="shared" si="213"/>
        <v>0</v>
      </c>
    </row>
    <row r="749" spans="1:11" x14ac:dyDescent="0.2">
      <c r="A749" s="202" t="s">
        <v>1530</v>
      </c>
      <c r="B749" s="209" t="s">
        <v>512</v>
      </c>
      <c r="C749" s="209" t="s">
        <v>531</v>
      </c>
      <c r="D749" s="209" t="s">
        <v>974</v>
      </c>
      <c r="E749" s="209"/>
      <c r="F749" s="215">
        <v>4444</v>
      </c>
      <c r="G749" s="203">
        <v>0</v>
      </c>
      <c r="H749" s="215">
        <f>H750</f>
        <v>0</v>
      </c>
      <c r="I749" s="203">
        <f>I750</f>
        <v>0</v>
      </c>
      <c r="J749" s="216">
        <f t="shared" si="182"/>
        <v>-4444</v>
      </c>
      <c r="K749" s="204">
        <f t="shared" si="183"/>
        <v>0</v>
      </c>
    </row>
    <row r="750" spans="1:11" s="389" customFormat="1" ht="22.5" x14ac:dyDescent="0.2">
      <c r="A750" s="202" t="s">
        <v>547</v>
      </c>
      <c r="B750" s="209" t="s">
        <v>512</v>
      </c>
      <c r="C750" s="209" t="s">
        <v>531</v>
      </c>
      <c r="D750" s="209" t="s">
        <v>974</v>
      </c>
      <c r="E750" s="209">
        <v>600</v>
      </c>
      <c r="F750" s="215">
        <v>4444</v>
      </c>
      <c r="G750" s="203">
        <v>0</v>
      </c>
      <c r="H750" s="215">
        <f>H751</f>
        <v>0</v>
      </c>
      <c r="I750" s="203">
        <f>I751</f>
        <v>0</v>
      </c>
      <c r="J750" s="216">
        <f t="shared" ref="J750:J751" si="214">H750-F750</f>
        <v>-4444</v>
      </c>
      <c r="K750" s="204">
        <f t="shared" ref="K750:K751" si="215">I750-G750</f>
        <v>0</v>
      </c>
    </row>
    <row r="751" spans="1:11" s="389" customFormat="1" x14ac:dyDescent="0.2">
      <c r="A751" s="202" t="s">
        <v>571</v>
      </c>
      <c r="B751" s="209" t="s">
        <v>512</v>
      </c>
      <c r="C751" s="209" t="s">
        <v>531</v>
      </c>
      <c r="D751" s="209" t="s">
        <v>974</v>
      </c>
      <c r="E751" s="209">
        <v>610</v>
      </c>
      <c r="F751" s="215">
        <v>4444</v>
      </c>
      <c r="G751" s="203">
        <v>0</v>
      </c>
      <c r="H751" s="215">
        <f>'Ведомственная 2020'!H695</f>
        <v>0</v>
      </c>
      <c r="I751" s="203">
        <v>0</v>
      </c>
      <c r="J751" s="216">
        <f t="shared" si="214"/>
        <v>-4444</v>
      </c>
      <c r="K751" s="204">
        <f t="shared" si="215"/>
        <v>0</v>
      </c>
    </row>
    <row r="752" spans="1:11" x14ac:dyDescent="0.2">
      <c r="A752" s="202" t="s">
        <v>973</v>
      </c>
      <c r="B752" s="209" t="s">
        <v>512</v>
      </c>
      <c r="C752" s="209" t="s">
        <v>531</v>
      </c>
      <c r="D752" s="209" t="s">
        <v>972</v>
      </c>
      <c r="E752" s="209"/>
      <c r="F752" s="215">
        <v>599193.30000000005</v>
      </c>
      <c r="G752" s="203">
        <v>0</v>
      </c>
      <c r="H752" s="215">
        <f>H753</f>
        <v>625619.29999999993</v>
      </c>
      <c r="I752" s="203">
        <f>I753</f>
        <v>0</v>
      </c>
      <c r="J752" s="216">
        <f t="shared" si="182"/>
        <v>26425.999999999884</v>
      </c>
      <c r="K752" s="204">
        <f t="shared" si="183"/>
        <v>0</v>
      </c>
    </row>
    <row r="753" spans="1:11" ht="22.5" x14ac:dyDescent="0.2">
      <c r="A753" s="202" t="s">
        <v>971</v>
      </c>
      <c r="B753" s="209" t="s">
        <v>512</v>
      </c>
      <c r="C753" s="209" t="s">
        <v>531</v>
      </c>
      <c r="D753" s="209" t="s">
        <v>970</v>
      </c>
      <c r="E753" s="209"/>
      <c r="F753" s="215">
        <v>599193.30000000005</v>
      </c>
      <c r="G753" s="203">
        <v>0</v>
      </c>
      <c r="H753" s="215">
        <f>H754+H759+H762+H765+H768+H771+H774+H777+H782+H787+H792+H795+H798+H805+H812</f>
        <v>625619.29999999993</v>
      </c>
      <c r="I753" s="203">
        <f>I754+I759+I762+I765+I768+I771+I774+I777+I782+I787+I792+I795+I798+I805+I812</f>
        <v>0</v>
      </c>
      <c r="J753" s="216">
        <f t="shared" si="182"/>
        <v>26425.999999999884</v>
      </c>
      <c r="K753" s="204">
        <f t="shared" si="183"/>
        <v>0</v>
      </c>
    </row>
    <row r="754" spans="1:11" x14ac:dyDescent="0.2">
      <c r="A754" s="202" t="s">
        <v>1531</v>
      </c>
      <c r="B754" s="209" t="s">
        <v>512</v>
      </c>
      <c r="C754" s="209" t="s">
        <v>531</v>
      </c>
      <c r="D754" s="209" t="s">
        <v>969</v>
      </c>
      <c r="E754" s="209"/>
      <c r="F754" s="215">
        <v>61321.600000000006</v>
      </c>
      <c r="G754" s="203">
        <v>0</v>
      </c>
      <c r="H754" s="215">
        <f>H755+H757</f>
        <v>63498.8</v>
      </c>
      <c r="I754" s="203">
        <f>I755</f>
        <v>0</v>
      </c>
      <c r="J754" s="216">
        <f t="shared" si="182"/>
        <v>2177.1999999999971</v>
      </c>
      <c r="K754" s="204">
        <f t="shared" si="183"/>
        <v>0</v>
      </c>
    </row>
    <row r="755" spans="1:11" x14ac:dyDescent="0.2">
      <c r="A755" s="202" t="s">
        <v>1347</v>
      </c>
      <c r="B755" s="209" t="s">
        <v>512</v>
      </c>
      <c r="C755" s="209" t="s">
        <v>531</v>
      </c>
      <c r="D755" s="209" t="s">
        <v>969</v>
      </c>
      <c r="E755" s="209" t="s">
        <v>535</v>
      </c>
      <c r="F755" s="215">
        <v>10996.700000000004</v>
      </c>
      <c r="G755" s="203">
        <v>0</v>
      </c>
      <c r="H755" s="215">
        <f>H756</f>
        <v>10996.700000000004</v>
      </c>
      <c r="I755" s="203">
        <f>I756</f>
        <v>0</v>
      </c>
      <c r="J755" s="216">
        <f t="shared" si="182"/>
        <v>0</v>
      </c>
      <c r="K755" s="204">
        <f t="shared" si="183"/>
        <v>0</v>
      </c>
    </row>
    <row r="756" spans="1:11" ht="22.5" x14ac:dyDescent="0.2">
      <c r="A756" s="202" t="s">
        <v>534</v>
      </c>
      <c r="B756" s="209" t="s">
        <v>512</v>
      </c>
      <c r="C756" s="209" t="s">
        <v>531</v>
      </c>
      <c r="D756" s="209" t="s">
        <v>969</v>
      </c>
      <c r="E756" s="209" t="s">
        <v>529</v>
      </c>
      <c r="F756" s="215">
        <v>10996.700000000004</v>
      </c>
      <c r="G756" s="203">
        <v>0</v>
      </c>
      <c r="H756" s="215">
        <f>'Ведомственная 2020'!H700</f>
        <v>10996.700000000004</v>
      </c>
      <c r="I756" s="203">
        <v>0</v>
      </c>
      <c r="J756" s="216">
        <f t="shared" si="182"/>
        <v>0</v>
      </c>
      <c r="K756" s="204">
        <f t="shared" si="183"/>
        <v>0</v>
      </c>
    </row>
    <row r="757" spans="1:11" s="389" customFormat="1" ht="22.5" x14ac:dyDescent="0.2">
      <c r="A757" s="202" t="s">
        <v>547</v>
      </c>
      <c r="B757" s="209" t="s">
        <v>512</v>
      </c>
      <c r="C757" s="209" t="s">
        <v>531</v>
      </c>
      <c r="D757" s="209" t="s">
        <v>969</v>
      </c>
      <c r="E757" s="209">
        <v>600</v>
      </c>
      <c r="F757" s="215">
        <v>50324.9</v>
      </c>
      <c r="G757" s="203">
        <v>0</v>
      </c>
      <c r="H757" s="215">
        <f>H758</f>
        <v>52502.1</v>
      </c>
      <c r="I757" s="203">
        <f>I758</f>
        <v>0</v>
      </c>
      <c r="J757" s="216">
        <f t="shared" ref="J757:J758" si="216">H757-F757</f>
        <v>2177.1999999999971</v>
      </c>
      <c r="K757" s="204">
        <f t="shared" ref="K757:K758" si="217">I757-G757</f>
        <v>0</v>
      </c>
    </row>
    <row r="758" spans="1:11" s="389" customFormat="1" x14ac:dyDescent="0.2">
      <c r="A758" s="202" t="s">
        <v>571</v>
      </c>
      <c r="B758" s="209" t="s">
        <v>512</v>
      </c>
      <c r="C758" s="209" t="s">
        <v>531</v>
      </c>
      <c r="D758" s="209" t="s">
        <v>969</v>
      </c>
      <c r="E758" s="209">
        <v>610</v>
      </c>
      <c r="F758" s="215">
        <v>50324.9</v>
      </c>
      <c r="G758" s="203">
        <v>0</v>
      </c>
      <c r="H758" s="215">
        <f>'Ведомственная 2020'!H702</f>
        <v>52502.1</v>
      </c>
      <c r="I758" s="203">
        <v>0</v>
      </c>
      <c r="J758" s="216">
        <f t="shared" si="216"/>
        <v>2177.1999999999971</v>
      </c>
      <c r="K758" s="204">
        <f t="shared" si="217"/>
        <v>0</v>
      </c>
    </row>
    <row r="759" spans="1:11" ht="22.5" x14ac:dyDescent="0.2">
      <c r="A759" s="202" t="s">
        <v>968</v>
      </c>
      <c r="B759" s="209" t="s">
        <v>512</v>
      </c>
      <c r="C759" s="209" t="s">
        <v>531</v>
      </c>
      <c r="D759" s="209" t="s">
        <v>967</v>
      </c>
      <c r="E759" s="209"/>
      <c r="F759" s="215">
        <v>17619.100000000002</v>
      </c>
      <c r="G759" s="203">
        <v>0</v>
      </c>
      <c r="H759" s="215">
        <f>H760</f>
        <v>17619.100000000002</v>
      </c>
      <c r="I759" s="203">
        <f>I760</f>
        <v>0</v>
      </c>
      <c r="J759" s="216">
        <f t="shared" si="182"/>
        <v>0</v>
      </c>
      <c r="K759" s="204">
        <f t="shared" si="183"/>
        <v>0</v>
      </c>
    </row>
    <row r="760" spans="1:11" x14ac:dyDescent="0.2">
      <c r="A760" s="202" t="s">
        <v>1347</v>
      </c>
      <c r="B760" s="209" t="s">
        <v>512</v>
      </c>
      <c r="C760" s="209" t="s">
        <v>531</v>
      </c>
      <c r="D760" s="209" t="s">
        <v>967</v>
      </c>
      <c r="E760" s="209" t="s">
        <v>535</v>
      </c>
      <c r="F760" s="215">
        <v>17619.100000000002</v>
      </c>
      <c r="G760" s="203">
        <v>0</v>
      </c>
      <c r="H760" s="215">
        <f>H761</f>
        <v>17619.100000000002</v>
      </c>
      <c r="I760" s="203">
        <f>I761</f>
        <v>0</v>
      </c>
      <c r="J760" s="216">
        <f t="shared" si="182"/>
        <v>0</v>
      </c>
      <c r="K760" s="204">
        <f t="shared" si="183"/>
        <v>0</v>
      </c>
    </row>
    <row r="761" spans="1:11" ht="22.5" x14ac:dyDescent="0.2">
      <c r="A761" s="202" t="s">
        <v>534</v>
      </c>
      <c r="B761" s="209" t="s">
        <v>512</v>
      </c>
      <c r="C761" s="209" t="s">
        <v>531</v>
      </c>
      <c r="D761" s="209" t="s">
        <v>967</v>
      </c>
      <c r="E761" s="209" t="s">
        <v>529</v>
      </c>
      <c r="F761" s="215">
        <v>17619.100000000002</v>
      </c>
      <c r="G761" s="203">
        <v>0</v>
      </c>
      <c r="H761" s="215">
        <f>'Ведомственная 2020'!H705</f>
        <v>17619.100000000002</v>
      </c>
      <c r="I761" s="203">
        <v>0</v>
      </c>
      <c r="J761" s="216">
        <f t="shared" si="182"/>
        <v>0</v>
      </c>
      <c r="K761" s="204">
        <f t="shared" si="183"/>
        <v>0</v>
      </c>
    </row>
    <row r="762" spans="1:11" ht="22.5" x14ac:dyDescent="0.2">
      <c r="A762" s="202" t="s">
        <v>966</v>
      </c>
      <c r="B762" s="209" t="s">
        <v>512</v>
      </c>
      <c r="C762" s="209" t="s">
        <v>531</v>
      </c>
      <c r="D762" s="209" t="s">
        <v>965</v>
      </c>
      <c r="E762" s="209"/>
      <c r="F762" s="215">
        <v>20346.599999999999</v>
      </c>
      <c r="G762" s="203">
        <v>0</v>
      </c>
      <c r="H762" s="215">
        <f>H763</f>
        <v>21446.6</v>
      </c>
      <c r="I762" s="203">
        <f>I763</f>
        <v>0</v>
      </c>
      <c r="J762" s="216">
        <f t="shared" si="182"/>
        <v>1100</v>
      </c>
      <c r="K762" s="204">
        <f t="shared" si="183"/>
        <v>0</v>
      </c>
    </row>
    <row r="763" spans="1:11" x14ac:dyDescent="0.2">
      <c r="A763" s="202" t="s">
        <v>1347</v>
      </c>
      <c r="B763" s="209" t="s">
        <v>512</v>
      </c>
      <c r="C763" s="209" t="s">
        <v>531</v>
      </c>
      <c r="D763" s="209" t="s">
        <v>965</v>
      </c>
      <c r="E763" s="209" t="s">
        <v>535</v>
      </c>
      <c r="F763" s="215">
        <v>20346.599999999999</v>
      </c>
      <c r="G763" s="203">
        <v>0</v>
      </c>
      <c r="H763" s="215">
        <f>H764</f>
        <v>21446.6</v>
      </c>
      <c r="I763" s="203">
        <f>I764</f>
        <v>0</v>
      </c>
      <c r="J763" s="216">
        <f t="shared" si="182"/>
        <v>1100</v>
      </c>
      <c r="K763" s="204">
        <f t="shared" si="183"/>
        <v>0</v>
      </c>
    </row>
    <row r="764" spans="1:11" ht="22.5" x14ac:dyDescent="0.2">
      <c r="A764" s="202" t="s">
        <v>534</v>
      </c>
      <c r="B764" s="209" t="s">
        <v>512</v>
      </c>
      <c r="C764" s="209" t="s">
        <v>531</v>
      </c>
      <c r="D764" s="209" t="s">
        <v>965</v>
      </c>
      <c r="E764" s="209" t="s">
        <v>529</v>
      </c>
      <c r="F764" s="215">
        <v>20346.599999999999</v>
      </c>
      <c r="G764" s="203">
        <v>0</v>
      </c>
      <c r="H764" s="215">
        <f>'Ведомственная 2020'!H708</f>
        <v>21446.6</v>
      </c>
      <c r="I764" s="203">
        <v>0</v>
      </c>
      <c r="J764" s="216">
        <f t="shared" si="182"/>
        <v>1100</v>
      </c>
      <c r="K764" s="204">
        <f t="shared" si="183"/>
        <v>0</v>
      </c>
    </row>
    <row r="765" spans="1:11" ht="22.5" x14ac:dyDescent="0.2">
      <c r="A765" s="202" t="s">
        <v>964</v>
      </c>
      <c r="B765" s="209" t="s">
        <v>512</v>
      </c>
      <c r="C765" s="209" t="s">
        <v>531</v>
      </c>
      <c r="D765" s="209" t="s">
        <v>963</v>
      </c>
      <c r="E765" s="209"/>
      <c r="F765" s="215">
        <v>6000</v>
      </c>
      <c r="G765" s="203">
        <v>0</v>
      </c>
      <c r="H765" s="215">
        <f>H766</f>
        <v>5347.5</v>
      </c>
      <c r="I765" s="203">
        <f>I766</f>
        <v>0</v>
      </c>
      <c r="J765" s="216">
        <f t="shared" si="182"/>
        <v>-652.5</v>
      </c>
      <c r="K765" s="204">
        <f t="shared" si="183"/>
        <v>0</v>
      </c>
    </row>
    <row r="766" spans="1:11" ht="22.5" x14ac:dyDescent="0.2">
      <c r="A766" s="202" t="s">
        <v>547</v>
      </c>
      <c r="B766" s="209" t="s">
        <v>512</v>
      </c>
      <c r="C766" s="209" t="s">
        <v>531</v>
      </c>
      <c r="D766" s="209" t="s">
        <v>963</v>
      </c>
      <c r="E766" s="209" t="s">
        <v>519</v>
      </c>
      <c r="F766" s="215">
        <v>6000</v>
      </c>
      <c r="G766" s="203">
        <v>0</v>
      </c>
      <c r="H766" s="215">
        <f>H767</f>
        <v>5347.5</v>
      </c>
      <c r="I766" s="203">
        <f>I767</f>
        <v>0</v>
      </c>
      <c r="J766" s="216">
        <f t="shared" si="182"/>
        <v>-652.5</v>
      </c>
      <c r="K766" s="204">
        <f t="shared" si="183"/>
        <v>0</v>
      </c>
    </row>
    <row r="767" spans="1:11" x14ac:dyDescent="0.2">
      <c r="A767" s="202" t="s">
        <v>571</v>
      </c>
      <c r="B767" s="209" t="s">
        <v>512</v>
      </c>
      <c r="C767" s="209" t="s">
        <v>531</v>
      </c>
      <c r="D767" s="209" t="s">
        <v>963</v>
      </c>
      <c r="E767" s="209" t="s">
        <v>522</v>
      </c>
      <c r="F767" s="215">
        <v>6000</v>
      </c>
      <c r="G767" s="203">
        <v>0</v>
      </c>
      <c r="H767" s="215">
        <f>'Ведомственная 2020'!H711</f>
        <v>5347.5</v>
      </c>
      <c r="I767" s="203">
        <v>0</v>
      </c>
      <c r="J767" s="216">
        <f t="shared" si="182"/>
        <v>-652.5</v>
      </c>
      <c r="K767" s="204">
        <f t="shared" si="183"/>
        <v>0</v>
      </c>
    </row>
    <row r="768" spans="1:11" x14ac:dyDescent="0.2">
      <c r="A768" s="202" t="s">
        <v>962</v>
      </c>
      <c r="B768" s="209" t="s">
        <v>512</v>
      </c>
      <c r="C768" s="209" t="s">
        <v>531</v>
      </c>
      <c r="D768" s="209" t="s">
        <v>961</v>
      </c>
      <c r="E768" s="209"/>
      <c r="F768" s="215">
        <v>206256.5</v>
      </c>
      <c r="G768" s="203">
        <v>0</v>
      </c>
      <c r="H768" s="215">
        <f>H769</f>
        <v>213722.5</v>
      </c>
      <c r="I768" s="203">
        <f>I769</f>
        <v>0</v>
      </c>
      <c r="J768" s="216">
        <f t="shared" si="182"/>
        <v>7466</v>
      </c>
      <c r="K768" s="204">
        <f t="shared" si="183"/>
        <v>0</v>
      </c>
    </row>
    <row r="769" spans="1:11" x14ac:dyDescent="0.2">
      <c r="A769" s="202" t="s">
        <v>1347</v>
      </c>
      <c r="B769" s="209" t="s">
        <v>512</v>
      </c>
      <c r="C769" s="209" t="s">
        <v>531</v>
      </c>
      <c r="D769" s="209" t="s">
        <v>961</v>
      </c>
      <c r="E769" s="209" t="s">
        <v>535</v>
      </c>
      <c r="F769" s="215">
        <v>206256.5</v>
      </c>
      <c r="G769" s="203">
        <v>0</v>
      </c>
      <c r="H769" s="215">
        <f>H770</f>
        <v>213722.5</v>
      </c>
      <c r="I769" s="203">
        <f>I770</f>
        <v>0</v>
      </c>
      <c r="J769" s="216">
        <f t="shared" si="182"/>
        <v>7466</v>
      </c>
      <c r="K769" s="204">
        <f t="shared" si="183"/>
        <v>0</v>
      </c>
    </row>
    <row r="770" spans="1:11" ht="22.5" x14ac:dyDescent="0.2">
      <c r="A770" s="202" t="s">
        <v>534</v>
      </c>
      <c r="B770" s="209" t="s">
        <v>512</v>
      </c>
      <c r="C770" s="209" t="s">
        <v>531</v>
      </c>
      <c r="D770" s="209" t="s">
        <v>961</v>
      </c>
      <c r="E770" s="209" t="s">
        <v>529</v>
      </c>
      <c r="F770" s="215">
        <v>206256.5</v>
      </c>
      <c r="G770" s="203">
        <v>0</v>
      </c>
      <c r="H770" s="215">
        <f>'Ведомственная 2020'!H714</f>
        <v>213722.5</v>
      </c>
      <c r="I770" s="203">
        <v>0</v>
      </c>
      <c r="J770" s="216">
        <f t="shared" si="182"/>
        <v>7466</v>
      </c>
      <c r="K770" s="204">
        <f t="shared" si="183"/>
        <v>0</v>
      </c>
    </row>
    <row r="771" spans="1:11" ht="22.5" x14ac:dyDescent="0.2">
      <c r="A771" s="202" t="s">
        <v>960</v>
      </c>
      <c r="B771" s="209" t="s">
        <v>512</v>
      </c>
      <c r="C771" s="209" t="s">
        <v>531</v>
      </c>
      <c r="D771" s="209" t="s">
        <v>959</v>
      </c>
      <c r="E771" s="209"/>
      <c r="F771" s="215">
        <v>16684.699999999997</v>
      </c>
      <c r="G771" s="203">
        <v>0</v>
      </c>
      <c r="H771" s="215">
        <f>H772</f>
        <v>20477.299999999996</v>
      </c>
      <c r="I771" s="203">
        <f>I772</f>
        <v>0</v>
      </c>
      <c r="J771" s="216">
        <f t="shared" si="182"/>
        <v>3792.5999999999985</v>
      </c>
      <c r="K771" s="204">
        <f t="shared" si="183"/>
        <v>0</v>
      </c>
    </row>
    <row r="772" spans="1:11" x14ac:dyDescent="0.2">
      <c r="A772" s="202" t="s">
        <v>1347</v>
      </c>
      <c r="B772" s="209" t="s">
        <v>512</v>
      </c>
      <c r="C772" s="209" t="s">
        <v>531</v>
      </c>
      <c r="D772" s="209" t="s">
        <v>959</v>
      </c>
      <c r="E772" s="209" t="s">
        <v>535</v>
      </c>
      <c r="F772" s="215">
        <v>16684.699999999997</v>
      </c>
      <c r="G772" s="203">
        <v>0</v>
      </c>
      <c r="H772" s="215">
        <f>H773</f>
        <v>20477.299999999996</v>
      </c>
      <c r="I772" s="203">
        <f>I773</f>
        <v>0</v>
      </c>
      <c r="J772" s="216">
        <f t="shared" si="182"/>
        <v>3792.5999999999985</v>
      </c>
      <c r="K772" s="204">
        <f t="shared" si="183"/>
        <v>0</v>
      </c>
    </row>
    <row r="773" spans="1:11" ht="22.5" x14ac:dyDescent="0.2">
      <c r="A773" s="202" t="s">
        <v>534</v>
      </c>
      <c r="B773" s="209" t="s">
        <v>512</v>
      </c>
      <c r="C773" s="209" t="s">
        <v>531</v>
      </c>
      <c r="D773" s="209" t="s">
        <v>959</v>
      </c>
      <c r="E773" s="209" t="s">
        <v>529</v>
      </c>
      <c r="F773" s="215">
        <v>16684.699999999997</v>
      </c>
      <c r="G773" s="203">
        <v>0</v>
      </c>
      <c r="H773" s="215">
        <f>'Ведомственная 2020'!H717</f>
        <v>20477.299999999996</v>
      </c>
      <c r="I773" s="203">
        <v>0</v>
      </c>
      <c r="J773" s="216">
        <f t="shared" si="182"/>
        <v>3792.5999999999985</v>
      </c>
      <c r="K773" s="204">
        <f t="shared" si="183"/>
        <v>0</v>
      </c>
    </row>
    <row r="774" spans="1:11" ht="22.5" x14ac:dyDescent="0.2">
      <c r="A774" s="202" t="s">
        <v>958</v>
      </c>
      <c r="B774" s="209" t="s">
        <v>512</v>
      </c>
      <c r="C774" s="209" t="s">
        <v>531</v>
      </c>
      <c r="D774" s="209" t="s">
        <v>957</v>
      </c>
      <c r="E774" s="209"/>
      <c r="F774" s="215">
        <v>4500</v>
      </c>
      <c r="G774" s="203">
        <v>0</v>
      </c>
      <c r="H774" s="215">
        <f>H775</f>
        <v>10550</v>
      </c>
      <c r="I774" s="203">
        <f>I775</f>
        <v>0</v>
      </c>
      <c r="J774" s="216">
        <f t="shared" si="182"/>
        <v>6050</v>
      </c>
      <c r="K774" s="204">
        <f t="shared" si="183"/>
        <v>0</v>
      </c>
    </row>
    <row r="775" spans="1:11" x14ac:dyDescent="0.2">
      <c r="A775" s="202" t="s">
        <v>1347</v>
      </c>
      <c r="B775" s="209" t="s">
        <v>512</v>
      </c>
      <c r="C775" s="209" t="s">
        <v>531</v>
      </c>
      <c r="D775" s="209" t="s">
        <v>957</v>
      </c>
      <c r="E775" s="209" t="s">
        <v>535</v>
      </c>
      <c r="F775" s="215">
        <v>4500</v>
      </c>
      <c r="G775" s="203">
        <v>0</v>
      </c>
      <c r="H775" s="215">
        <f>H776</f>
        <v>10550</v>
      </c>
      <c r="I775" s="203">
        <f>I776</f>
        <v>0</v>
      </c>
      <c r="J775" s="216">
        <f t="shared" si="182"/>
        <v>6050</v>
      </c>
      <c r="K775" s="204">
        <f t="shared" si="183"/>
        <v>0</v>
      </c>
    </row>
    <row r="776" spans="1:11" ht="22.5" x14ac:dyDescent="0.2">
      <c r="A776" s="202" t="s">
        <v>534</v>
      </c>
      <c r="B776" s="209" t="s">
        <v>512</v>
      </c>
      <c r="C776" s="209" t="s">
        <v>531</v>
      </c>
      <c r="D776" s="209" t="s">
        <v>957</v>
      </c>
      <c r="E776" s="209" t="s">
        <v>529</v>
      </c>
      <c r="F776" s="215">
        <v>4500</v>
      </c>
      <c r="G776" s="203">
        <v>0</v>
      </c>
      <c r="H776" s="215">
        <f>'Ведомственная 2020'!H720</f>
        <v>10550</v>
      </c>
      <c r="I776" s="203">
        <v>0</v>
      </c>
      <c r="J776" s="216">
        <f t="shared" si="182"/>
        <v>6050</v>
      </c>
      <c r="K776" s="204">
        <f t="shared" si="183"/>
        <v>0</v>
      </c>
    </row>
    <row r="777" spans="1:11" ht="22.5" x14ac:dyDescent="0.2">
      <c r="A777" s="202" t="s">
        <v>1532</v>
      </c>
      <c r="B777" s="209" t="s">
        <v>512</v>
      </c>
      <c r="C777" s="209" t="s">
        <v>531</v>
      </c>
      <c r="D777" s="209" t="s">
        <v>956</v>
      </c>
      <c r="E777" s="209"/>
      <c r="F777" s="215">
        <v>396.40000000000003</v>
      </c>
      <c r="G777" s="203">
        <v>0</v>
      </c>
      <c r="H777" s="215">
        <f>H778+H780</f>
        <v>396.40000000000003</v>
      </c>
      <c r="I777" s="203">
        <f>I778+I780</f>
        <v>0</v>
      </c>
      <c r="J777" s="216">
        <f t="shared" si="182"/>
        <v>0</v>
      </c>
      <c r="K777" s="204">
        <f t="shared" si="183"/>
        <v>0</v>
      </c>
    </row>
    <row r="778" spans="1:11" x14ac:dyDescent="0.2">
      <c r="A778" s="202" t="s">
        <v>1347</v>
      </c>
      <c r="B778" s="209" t="s">
        <v>512</v>
      </c>
      <c r="C778" s="209" t="s">
        <v>531</v>
      </c>
      <c r="D778" s="209" t="s">
        <v>956</v>
      </c>
      <c r="E778" s="209" t="s">
        <v>535</v>
      </c>
      <c r="F778" s="215">
        <v>23.8</v>
      </c>
      <c r="G778" s="203">
        <v>0</v>
      </c>
      <c r="H778" s="215">
        <f>H779</f>
        <v>23.8</v>
      </c>
      <c r="I778" s="203">
        <f>I779</f>
        <v>0</v>
      </c>
      <c r="J778" s="216">
        <f t="shared" si="182"/>
        <v>0</v>
      </c>
      <c r="K778" s="204">
        <f t="shared" si="183"/>
        <v>0</v>
      </c>
    </row>
    <row r="779" spans="1:11" ht="22.5" x14ac:dyDescent="0.2">
      <c r="A779" s="202" t="s">
        <v>534</v>
      </c>
      <c r="B779" s="209" t="s">
        <v>512</v>
      </c>
      <c r="C779" s="209" t="s">
        <v>531</v>
      </c>
      <c r="D779" s="209" t="s">
        <v>956</v>
      </c>
      <c r="E779" s="209" t="s">
        <v>529</v>
      </c>
      <c r="F779" s="215">
        <v>23.8</v>
      </c>
      <c r="G779" s="203">
        <v>0</v>
      </c>
      <c r="H779" s="215">
        <f>'Ведомственная 2020'!H723</f>
        <v>23.8</v>
      </c>
      <c r="I779" s="203">
        <v>0</v>
      </c>
      <c r="J779" s="216">
        <f t="shared" si="182"/>
        <v>0</v>
      </c>
      <c r="K779" s="204">
        <f t="shared" si="183"/>
        <v>0</v>
      </c>
    </row>
    <row r="780" spans="1:11" s="389" customFormat="1" ht="22.5" x14ac:dyDescent="0.2">
      <c r="A780" s="202" t="s">
        <v>547</v>
      </c>
      <c r="B780" s="209" t="s">
        <v>512</v>
      </c>
      <c r="C780" s="209" t="s">
        <v>531</v>
      </c>
      <c r="D780" s="209" t="s">
        <v>956</v>
      </c>
      <c r="E780" s="209">
        <v>600</v>
      </c>
      <c r="F780" s="215">
        <v>372.6</v>
      </c>
      <c r="G780" s="203">
        <v>0</v>
      </c>
      <c r="H780" s="215">
        <f>H781</f>
        <v>372.6</v>
      </c>
      <c r="I780" s="203">
        <f>I781</f>
        <v>0</v>
      </c>
      <c r="J780" s="216">
        <f t="shared" ref="J780:J781" si="218">H780-F780</f>
        <v>0</v>
      </c>
      <c r="K780" s="204">
        <f t="shared" ref="K780:K781" si="219">I780-G780</f>
        <v>0</v>
      </c>
    </row>
    <row r="781" spans="1:11" s="389" customFormat="1" x14ac:dyDescent="0.2">
      <c r="A781" s="202" t="s">
        <v>571</v>
      </c>
      <c r="B781" s="209" t="s">
        <v>512</v>
      </c>
      <c r="C781" s="209" t="s">
        <v>531</v>
      </c>
      <c r="D781" s="209" t="s">
        <v>956</v>
      </c>
      <c r="E781" s="209">
        <v>610</v>
      </c>
      <c r="F781" s="215">
        <v>372.6</v>
      </c>
      <c r="G781" s="203">
        <v>0</v>
      </c>
      <c r="H781" s="215">
        <f>'Ведомственная 2020'!H725</f>
        <v>372.6</v>
      </c>
      <c r="I781" s="203">
        <v>0</v>
      </c>
      <c r="J781" s="216">
        <f t="shared" si="218"/>
        <v>0</v>
      </c>
      <c r="K781" s="204">
        <f t="shared" si="219"/>
        <v>0</v>
      </c>
    </row>
    <row r="782" spans="1:11" ht="22.5" x14ac:dyDescent="0.2">
      <c r="A782" s="202" t="s">
        <v>948</v>
      </c>
      <c r="B782" s="209" t="s">
        <v>512</v>
      </c>
      <c r="C782" s="209" t="s">
        <v>531</v>
      </c>
      <c r="D782" s="209" t="s">
        <v>955</v>
      </c>
      <c r="E782" s="209"/>
      <c r="F782" s="215">
        <v>329.1</v>
      </c>
      <c r="G782" s="203">
        <v>0</v>
      </c>
      <c r="H782" s="215">
        <f>H783+H785</f>
        <v>329.1</v>
      </c>
      <c r="I782" s="203">
        <f>I783</f>
        <v>0</v>
      </c>
      <c r="J782" s="216">
        <f t="shared" ref="J782:J839" si="220">H782-F782</f>
        <v>0</v>
      </c>
      <c r="K782" s="204">
        <f t="shared" ref="K782:K839" si="221">I782-G782</f>
        <v>0</v>
      </c>
    </row>
    <row r="783" spans="1:11" ht="33.75" x14ac:dyDescent="0.2">
      <c r="A783" s="202" t="s">
        <v>1348</v>
      </c>
      <c r="B783" s="209" t="s">
        <v>512</v>
      </c>
      <c r="C783" s="209" t="s">
        <v>531</v>
      </c>
      <c r="D783" s="209" t="s">
        <v>955</v>
      </c>
      <c r="E783" s="209" t="s">
        <v>556</v>
      </c>
      <c r="F783" s="215">
        <v>295.8</v>
      </c>
      <c r="G783" s="203">
        <v>0</v>
      </c>
      <c r="H783" s="215">
        <f>H784</f>
        <v>295.8</v>
      </c>
      <c r="I783" s="203">
        <f>I784</f>
        <v>0</v>
      </c>
      <c r="J783" s="216">
        <f t="shared" si="220"/>
        <v>0</v>
      </c>
      <c r="K783" s="204">
        <f t="shared" si="221"/>
        <v>0</v>
      </c>
    </row>
    <row r="784" spans="1:11" x14ac:dyDescent="0.2">
      <c r="A784" s="202" t="s">
        <v>555</v>
      </c>
      <c r="B784" s="209" t="s">
        <v>512</v>
      </c>
      <c r="C784" s="209" t="s">
        <v>531</v>
      </c>
      <c r="D784" s="209" t="s">
        <v>955</v>
      </c>
      <c r="E784" s="209" t="s">
        <v>554</v>
      </c>
      <c r="F784" s="215">
        <v>295.8</v>
      </c>
      <c r="G784" s="203">
        <v>0</v>
      </c>
      <c r="H784" s="215">
        <f>'Ведомственная 2020'!H728</f>
        <v>295.8</v>
      </c>
      <c r="I784" s="203">
        <v>0</v>
      </c>
      <c r="J784" s="216">
        <f t="shared" si="220"/>
        <v>0</v>
      </c>
      <c r="K784" s="204">
        <f t="shared" si="221"/>
        <v>0</v>
      </c>
    </row>
    <row r="785" spans="1:11" x14ac:dyDescent="0.2">
      <c r="A785" s="202" t="s">
        <v>1347</v>
      </c>
      <c r="B785" s="209" t="s">
        <v>512</v>
      </c>
      <c r="C785" s="209" t="s">
        <v>531</v>
      </c>
      <c r="D785" s="209" t="s">
        <v>955</v>
      </c>
      <c r="E785" s="209" t="s">
        <v>535</v>
      </c>
      <c r="F785" s="215">
        <v>33.299999999999997</v>
      </c>
      <c r="G785" s="203">
        <v>0</v>
      </c>
      <c r="H785" s="215">
        <f>H786</f>
        <v>33.299999999999997</v>
      </c>
      <c r="I785" s="203">
        <f>I786</f>
        <v>0</v>
      </c>
      <c r="J785" s="216">
        <f t="shared" si="220"/>
        <v>0</v>
      </c>
      <c r="K785" s="204">
        <f t="shared" si="221"/>
        <v>0</v>
      </c>
    </row>
    <row r="786" spans="1:11" ht="22.5" x14ac:dyDescent="0.2">
      <c r="A786" s="202" t="s">
        <v>534</v>
      </c>
      <c r="B786" s="209" t="s">
        <v>512</v>
      </c>
      <c r="C786" s="209" t="s">
        <v>531</v>
      </c>
      <c r="D786" s="209" t="s">
        <v>955</v>
      </c>
      <c r="E786" s="209" t="s">
        <v>529</v>
      </c>
      <c r="F786" s="215">
        <v>33.299999999999997</v>
      </c>
      <c r="G786" s="203">
        <v>0</v>
      </c>
      <c r="H786" s="215">
        <f>'Ведомственная 2020'!H730</f>
        <v>33.299999999999997</v>
      </c>
      <c r="I786" s="203">
        <v>0</v>
      </c>
      <c r="J786" s="216">
        <f t="shared" si="220"/>
        <v>0</v>
      </c>
      <c r="K786" s="204">
        <f t="shared" si="221"/>
        <v>0</v>
      </c>
    </row>
    <row r="787" spans="1:11" ht="22.5" x14ac:dyDescent="0.2">
      <c r="A787" s="202" t="s">
        <v>946</v>
      </c>
      <c r="B787" s="209" t="s">
        <v>512</v>
      </c>
      <c r="C787" s="209" t="s">
        <v>531</v>
      </c>
      <c r="D787" s="209" t="s">
        <v>954</v>
      </c>
      <c r="E787" s="209"/>
      <c r="F787" s="215">
        <v>184.10000000000002</v>
      </c>
      <c r="G787" s="203">
        <v>0</v>
      </c>
      <c r="H787" s="215">
        <f>H788+H790</f>
        <v>184.10000000000002</v>
      </c>
      <c r="I787" s="203">
        <f>I788</f>
        <v>0</v>
      </c>
      <c r="J787" s="216">
        <f t="shared" si="220"/>
        <v>0</v>
      </c>
      <c r="K787" s="204">
        <f t="shared" si="221"/>
        <v>0</v>
      </c>
    </row>
    <row r="788" spans="1:11" ht="33.75" x14ac:dyDescent="0.2">
      <c r="A788" s="202" t="s">
        <v>1348</v>
      </c>
      <c r="B788" s="209" t="s">
        <v>512</v>
      </c>
      <c r="C788" s="209" t="s">
        <v>531</v>
      </c>
      <c r="D788" s="209" t="s">
        <v>954</v>
      </c>
      <c r="E788" s="209" t="s">
        <v>556</v>
      </c>
      <c r="F788" s="215">
        <v>117.4</v>
      </c>
      <c r="G788" s="203">
        <v>0</v>
      </c>
      <c r="H788" s="215">
        <f>H789</f>
        <v>117.4</v>
      </c>
      <c r="I788" s="203">
        <f>I789</f>
        <v>0</v>
      </c>
      <c r="J788" s="216">
        <f t="shared" si="220"/>
        <v>0</v>
      </c>
      <c r="K788" s="204">
        <f t="shared" si="221"/>
        <v>0</v>
      </c>
    </row>
    <row r="789" spans="1:11" x14ac:dyDescent="0.2">
      <c r="A789" s="202" t="s">
        <v>555</v>
      </c>
      <c r="B789" s="209" t="s">
        <v>512</v>
      </c>
      <c r="C789" s="209" t="s">
        <v>531</v>
      </c>
      <c r="D789" s="209" t="s">
        <v>954</v>
      </c>
      <c r="E789" s="209" t="s">
        <v>554</v>
      </c>
      <c r="F789" s="215">
        <v>117.4</v>
      </c>
      <c r="G789" s="203">
        <v>0</v>
      </c>
      <c r="H789" s="215">
        <f>'Ведомственная 2020'!H733</f>
        <v>117.4</v>
      </c>
      <c r="I789" s="203">
        <v>0</v>
      </c>
      <c r="J789" s="216">
        <f t="shared" si="220"/>
        <v>0</v>
      </c>
      <c r="K789" s="204">
        <f t="shared" si="221"/>
        <v>0</v>
      </c>
    </row>
    <row r="790" spans="1:11" x14ac:dyDescent="0.2">
      <c r="A790" s="202" t="s">
        <v>1347</v>
      </c>
      <c r="B790" s="209" t="s">
        <v>512</v>
      </c>
      <c r="C790" s="209" t="s">
        <v>531</v>
      </c>
      <c r="D790" s="209" t="s">
        <v>954</v>
      </c>
      <c r="E790" s="209" t="s">
        <v>535</v>
      </c>
      <c r="F790" s="215">
        <v>66.7</v>
      </c>
      <c r="G790" s="203">
        <v>0</v>
      </c>
      <c r="H790" s="215">
        <f>H791</f>
        <v>66.7</v>
      </c>
      <c r="I790" s="203">
        <f>I791</f>
        <v>0</v>
      </c>
      <c r="J790" s="216">
        <f t="shared" si="220"/>
        <v>0</v>
      </c>
      <c r="K790" s="204">
        <f t="shared" si="221"/>
        <v>0</v>
      </c>
    </row>
    <row r="791" spans="1:11" ht="22.5" x14ac:dyDescent="0.2">
      <c r="A791" s="202" t="s">
        <v>534</v>
      </c>
      <c r="B791" s="209" t="s">
        <v>512</v>
      </c>
      <c r="C791" s="209" t="s">
        <v>531</v>
      </c>
      <c r="D791" s="209" t="s">
        <v>954</v>
      </c>
      <c r="E791" s="209" t="s">
        <v>529</v>
      </c>
      <c r="F791" s="215">
        <v>66.7</v>
      </c>
      <c r="G791" s="203">
        <v>0</v>
      </c>
      <c r="H791" s="215">
        <f>'Ведомственная 2020'!H735</f>
        <v>66.7</v>
      </c>
      <c r="I791" s="203">
        <v>0</v>
      </c>
      <c r="J791" s="216">
        <f t="shared" si="220"/>
        <v>0</v>
      </c>
      <c r="K791" s="204">
        <f t="shared" si="221"/>
        <v>0</v>
      </c>
    </row>
    <row r="792" spans="1:11" ht="22.5" x14ac:dyDescent="0.2">
      <c r="A792" s="202" t="s">
        <v>953</v>
      </c>
      <c r="B792" s="209" t="s">
        <v>512</v>
      </c>
      <c r="C792" s="209" t="s">
        <v>531</v>
      </c>
      <c r="D792" s="209" t="s">
        <v>952</v>
      </c>
      <c r="E792" s="209"/>
      <c r="F792" s="215">
        <v>21562.100000000002</v>
      </c>
      <c r="G792" s="203">
        <v>0</v>
      </c>
      <c r="H792" s="215">
        <f>H793</f>
        <v>25214.600000000002</v>
      </c>
      <c r="I792" s="203">
        <f>I793</f>
        <v>0</v>
      </c>
      <c r="J792" s="216">
        <f t="shared" si="220"/>
        <v>3652.5</v>
      </c>
      <c r="K792" s="204">
        <f t="shared" si="221"/>
        <v>0</v>
      </c>
    </row>
    <row r="793" spans="1:11" ht="22.5" x14ac:dyDescent="0.2">
      <c r="A793" s="202" t="s">
        <v>547</v>
      </c>
      <c r="B793" s="209" t="s">
        <v>512</v>
      </c>
      <c r="C793" s="209" t="s">
        <v>531</v>
      </c>
      <c r="D793" s="209" t="s">
        <v>952</v>
      </c>
      <c r="E793" s="209" t="s">
        <v>519</v>
      </c>
      <c r="F793" s="215">
        <v>21562.100000000002</v>
      </c>
      <c r="G793" s="203">
        <v>0</v>
      </c>
      <c r="H793" s="215">
        <f>H794</f>
        <v>25214.600000000002</v>
      </c>
      <c r="I793" s="203">
        <f>I794</f>
        <v>0</v>
      </c>
      <c r="J793" s="216">
        <f t="shared" si="220"/>
        <v>3652.5</v>
      </c>
      <c r="K793" s="204">
        <f t="shared" si="221"/>
        <v>0</v>
      </c>
    </row>
    <row r="794" spans="1:11" x14ac:dyDescent="0.2">
      <c r="A794" s="202" t="s">
        <v>571</v>
      </c>
      <c r="B794" s="209" t="s">
        <v>512</v>
      </c>
      <c r="C794" s="209" t="s">
        <v>531</v>
      </c>
      <c r="D794" s="209" t="s">
        <v>952</v>
      </c>
      <c r="E794" s="209" t="s">
        <v>522</v>
      </c>
      <c r="F794" s="215">
        <v>21562.100000000002</v>
      </c>
      <c r="G794" s="203">
        <v>0</v>
      </c>
      <c r="H794" s="215">
        <f>'Ведомственная 2020'!H738</f>
        <v>25214.600000000002</v>
      </c>
      <c r="I794" s="203">
        <v>0</v>
      </c>
      <c r="J794" s="216">
        <f t="shared" si="220"/>
        <v>3652.5</v>
      </c>
      <c r="K794" s="204">
        <f t="shared" si="221"/>
        <v>0</v>
      </c>
    </row>
    <row r="795" spans="1:11" ht="22.5" x14ac:dyDescent="0.2">
      <c r="A795" s="202" t="s">
        <v>951</v>
      </c>
      <c r="B795" s="209" t="s">
        <v>512</v>
      </c>
      <c r="C795" s="209" t="s">
        <v>531</v>
      </c>
      <c r="D795" s="209" t="s">
        <v>950</v>
      </c>
      <c r="E795" s="209"/>
      <c r="F795" s="215">
        <v>39546.1</v>
      </c>
      <c r="G795" s="203">
        <v>0</v>
      </c>
      <c r="H795" s="215">
        <f>H796</f>
        <v>39546.1</v>
      </c>
      <c r="I795" s="203">
        <f>I796</f>
        <v>0</v>
      </c>
      <c r="J795" s="216">
        <f t="shared" si="220"/>
        <v>0</v>
      </c>
      <c r="K795" s="204">
        <f t="shared" si="221"/>
        <v>0</v>
      </c>
    </row>
    <row r="796" spans="1:11" ht="22.5" x14ac:dyDescent="0.2">
      <c r="A796" s="202" t="s">
        <v>547</v>
      </c>
      <c r="B796" s="209" t="s">
        <v>512</v>
      </c>
      <c r="C796" s="209" t="s">
        <v>531</v>
      </c>
      <c r="D796" s="209" t="s">
        <v>950</v>
      </c>
      <c r="E796" s="209" t="s">
        <v>519</v>
      </c>
      <c r="F796" s="215">
        <v>39546.1</v>
      </c>
      <c r="G796" s="203">
        <v>0</v>
      </c>
      <c r="H796" s="215">
        <f>H797</f>
        <v>39546.1</v>
      </c>
      <c r="I796" s="203">
        <f>I797</f>
        <v>0</v>
      </c>
      <c r="J796" s="216">
        <f t="shared" si="220"/>
        <v>0</v>
      </c>
      <c r="K796" s="204">
        <f t="shared" si="221"/>
        <v>0</v>
      </c>
    </row>
    <row r="797" spans="1:11" x14ac:dyDescent="0.2">
      <c r="A797" s="202" t="s">
        <v>571</v>
      </c>
      <c r="B797" s="209" t="s">
        <v>512</v>
      </c>
      <c r="C797" s="209" t="s">
        <v>531</v>
      </c>
      <c r="D797" s="209" t="s">
        <v>950</v>
      </c>
      <c r="E797" s="209" t="s">
        <v>522</v>
      </c>
      <c r="F797" s="215">
        <v>39546.1</v>
      </c>
      <c r="G797" s="203">
        <v>0</v>
      </c>
      <c r="H797" s="215">
        <f>'Ведомственная 2020'!H741</f>
        <v>39546.1</v>
      </c>
      <c r="I797" s="203">
        <v>0</v>
      </c>
      <c r="J797" s="216">
        <f t="shared" si="220"/>
        <v>0</v>
      </c>
      <c r="K797" s="204">
        <f t="shared" si="221"/>
        <v>0</v>
      </c>
    </row>
    <row r="798" spans="1:11" ht="22.5" x14ac:dyDescent="0.2">
      <c r="A798" s="202" t="s">
        <v>1532</v>
      </c>
      <c r="B798" s="209" t="s">
        <v>512</v>
      </c>
      <c r="C798" s="209" t="s">
        <v>531</v>
      </c>
      <c r="D798" s="209" t="s">
        <v>949</v>
      </c>
      <c r="E798" s="209"/>
      <c r="F798" s="215">
        <v>155076.20000000001</v>
      </c>
      <c r="G798" s="203">
        <v>0</v>
      </c>
      <c r="H798" s="215">
        <f>H799+H801+H803</f>
        <v>160798.20000000001</v>
      </c>
      <c r="I798" s="203">
        <f>I799+I801</f>
        <v>0</v>
      </c>
      <c r="J798" s="216">
        <f t="shared" si="220"/>
        <v>5722</v>
      </c>
      <c r="K798" s="204">
        <f t="shared" si="221"/>
        <v>0</v>
      </c>
    </row>
    <row r="799" spans="1:11" ht="33.75" x14ac:dyDescent="0.2">
      <c r="A799" s="202" t="s">
        <v>1348</v>
      </c>
      <c r="B799" s="209" t="s">
        <v>512</v>
      </c>
      <c r="C799" s="209" t="s">
        <v>531</v>
      </c>
      <c r="D799" s="209" t="s">
        <v>949</v>
      </c>
      <c r="E799" s="209" t="s">
        <v>556</v>
      </c>
      <c r="F799" s="215">
        <v>26370</v>
      </c>
      <c r="G799" s="203">
        <v>0</v>
      </c>
      <c r="H799" s="215">
        <f>H800</f>
        <v>26370</v>
      </c>
      <c r="I799" s="203">
        <f>I800</f>
        <v>0</v>
      </c>
      <c r="J799" s="216">
        <f t="shared" si="220"/>
        <v>0</v>
      </c>
      <c r="K799" s="204">
        <f t="shared" si="221"/>
        <v>0</v>
      </c>
    </row>
    <row r="800" spans="1:11" x14ac:dyDescent="0.2">
      <c r="A800" s="202" t="s">
        <v>555</v>
      </c>
      <c r="B800" s="209" t="s">
        <v>512</v>
      </c>
      <c r="C800" s="209" t="s">
        <v>531</v>
      </c>
      <c r="D800" s="209" t="s">
        <v>949</v>
      </c>
      <c r="E800" s="209" t="s">
        <v>554</v>
      </c>
      <c r="F800" s="215">
        <v>26370</v>
      </c>
      <c r="G800" s="203">
        <v>0</v>
      </c>
      <c r="H800" s="215">
        <f>'Ведомственная 2020'!H744</f>
        <v>26370</v>
      </c>
      <c r="I800" s="203">
        <v>0</v>
      </c>
      <c r="J800" s="216">
        <f t="shared" si="220"/>
        <v>0</v>
      </c>
      <c r="K800" s="204">
        <f t="shared" si="221"/>
        <v>0</v>
      </c>
    </row>
    <row r="801" spans="1:11" x14ac:dyDescent="0.2">
      <c r="A801" s="202" t="s">
        <v>1347</v>
      </c>
      <c r="B801" s="209" t="s">
        <v>512</v>
      </c>
      <c r="C801" s="209" t="s">
        <v>531</v>
      </c>
      <c r="D801" s="209" t="s">
        <v>949</v>
      </c>
      <c r="E801" s="209" t="s">
        <v>535</v>
      </c>
      <c r="F801" s="215">
        <v>2233.7000000000044</v>
      </c>
      <c r="G801" s="203">
        <v>0</v>
      </c>
      <c r="H801" s="215">
        <f>H802</f>
        <v>2233.7000000000044</v>
      </c>
      <c r="I801" s="203">
        <f>I802</f>
        <v>0</v>
      </c>
      <c r="J801" s="216">
        <f t="shared" si="220"/>
        <v>0</v>
      </c>
      <c r="K801" s="204">
        <f t="shared" si="221"/>
        <v>0</v>
      </c>
    </row>
    <row r="802" spans="1:11" ht="22.5" x14ac:dyDescent="0.2">
      <c r="A802" s="202" t="s">
        <v>534</v>
      </c>
      <c r="B802" s="209" t="s">
        <v>512</v>
      </c>
      <c r="C802" s="209" t="s">
        <v>531</v>
      </c>
      <c r="D802" s="209" t="s">
        <v>949</v>
      </c>
      <c r="E802" s="209" t="s">
        <v>529</v>
      </c>
      <c r="F802" s="215">
        <v>2233.7000000000044</v>
      </c>
      <c r="G802" s="203">
        <v>0</v>
      </c>
      <c r="H802" s="215">
        <f>'Ведомственная 2020'!H746</f>
        <v>2233.7000000000044</v>
      </c>
      <c r="I802" s="203">
        <v>0</v>
      </c>
      <c r="J802" s="216">
        <f t="shared" si="220"/>
        <v>0</v>
      </c>
      <c r="K802" s="204">
        <f t="shared" si="221"/>
        <v>0</v>
      </c>
    </row>
    <row r="803" spans="1:11" s="389" customFormat="1" ht="22.5" x14ac:dyDescent="0.2">
      <c r="A803" s="202" t="s">
        <v>547</v>
      </c>
      <c r="B803" s="209" t="s">
        <v>512</v>
      </c>
      <c r="C803" s="209" t="s">
        <v>531</v>
      </c>
      <c r="D803" s="209" t="s">
        <v>949</v>
      </c>
      <c r="E803" s="209" t="s">
        <v>519</v>
      </c>
      <c r="F803" s="215">
        <v>126472.5</v>
      </c>
      <c r="G803" s="203">
        <v>0</v>
      </c>
      <c r="H803" s="215">
        <f>H804</f>
        <v>132194.5</v>
      </c>
      <c r="I803" s="203">
        <f>I804</f>
        <v>0</v>
      </c>
      <c r="J803" s="216">
        <f t="shared" ref="J803:J804" si="222">H803-F803</f>
        <v>5722</v>
      </c>
      <c r="K803" s="204">
        <f t="shared" ref="K803:K804" si="223">I803-G803</f>
        <v>0</v>
      </c>
    </row>
    <row r="804" spans="1:11" s="389" customFormat="1" x14ac:dyDescent="0.2">
      <c r="A804" s="202" t="s">
        <v>571</v>
      </c>
      <c r="B804" s="209" t="s">
        <v>512</v>
      </c>
      <c r="C804" s="209" t="s">
        <v>531</v>
      </c>
      <c r="D804" s="209" t="s">
        <v>949</v>
      </c>
      <c r="E804" s="209" t="s">
        <v>522</v>
      </c>
      <c r="F804" s="215">
        <v>126472.5</v>
      </c>
      <c r="G804" s="203">
        <v>0</v>
      </c>
      <c r="H804" s="215">
        <f>'Ведомственная 2020'!H748</f>
        <v>132194.5</v>
      </c>
      <c r="I804" s="203">
        <v>0</v>
      </c>
      <c r="J804" s="216">
        <f t="shared" si="222"/>
        <v>5722</v>
      </c>
      <c r="K804" s="204">
        <f t="shared" si="223"/>
        <v>0</v>
      </c>
    </row>
    <row r="805" spans="1:11" ht="22.5" x14ac:dyDescent="0.2">
      <c r="A805" s="202" t="s">
        <v>948</v>
      </c>
      <c r="B805" s="209" t="s">
        <v>512</v>
      </c>
      <c r="C805" s="209" t="s">
        <v>531</v>
      </c>
      <c r="D805" s="209" t="s">
        <v>947</v>
      </c>
      <c r="E805" s="209"/>
      <c r="F805" s="215">
        <v>26460.400000000001</v>
      </c>
      <c r="G805" s="203">
        <v>0</v>
      </c>
      <c r="H805" s="215">
        <f>H806+H808+H810</f>
        <v>24303.600000000002</v>
      </c>
      <c r="I805" s="203">
        <f>I806+I808+I810</f>
        <v>0</v>
      </c>
      <c r="J805" s="216">
        <f t="shared" si="220"/>
        <v>-2156.7999999999993</v>
      </c>
      <c r="K805" s="204">
        <f t="shared" si="221"/>
        <v>0</v>
      </c>
    </row>
    <row r="806" spans="1:11" ht="33.75" x14ac:dyDescent="0.2">
      <c r="A806" s="202" t="s">
        <v>1348</v>
      </c>
      <c r="B806" s="209" t="s">
        <v>512</v>
      </c>
      <c r="C806" s="209" t="s">
        <v>531</v>
      </c>
      <c r="D806" s="209" t="s">
        <v>947</v>
      </c>
      <c r="E806" s="209" t="s">
        <v>556</v>
      </c>
      <c r="F806" s="215">
        <v>21418</v>
      </c>
      <c r="G806" s="203">
        <v>0</v>
      </c>
      <c r="H806" s="215">
        <f>H807</f>
        <v>19261.2</v>
      </c>
      <c r="I806" s="203">
        <f>I807</f>
        <v>0</v>
      </c>
      <c r="J806" s="216">
        <f t="shared" si="220"/>
        <v>-2156.7999999999993</v>
      </c>
      <c r="K806" s="204">
        <f t="shared" si="221"/>
        <v>0</v>
      </c>
    </row>
    <row r="807" spans="1:11" x14ac:dyDescent="0.2">
      <c r="A807" s="202" t="s">
        <v>555</v>
      </c>
      <c r="B807" s="209" t="s">
        <v>512</v>
      </c>
      <c r="C807" s="209" t="s">
        <v>531</v>
      </c>
      <c r="D807" s="209" t="s">
        <v>947</v>
      </c>
      <c r="E807" s="209" t="s">
        <v>554</v>
      </c>
      <c r="F807" s="215">
        <v>21418</v>
      </c>
      <c r="G807" s="203">
        <v>0</v>
      </c>
      <c r="H807" s="215">
        <f>'Ведомственная 2020'!H751</f>
        <v>19261.2</v>
      </c>
      <c r="I807" s="203">
        <v>0</v>
      </c>
      <c r="J807" s="216">
        <f t="shared" si="220"/>
        <v>-2156.7999999999993</v>
      </c>
      <c r="K807" s="204">
        <f t="shared" si="221"/>
        <v>0</v>
      </c>
    </row>
    <row r="808" spans="1:11" x14ac:dyDescent="0.2">
      <c r="A808" s="202" t="s">
        <v>1347</v>
      </c>
      <c r="B808" s="209" t="s">
        <v>512</v>
      </c>
      <c r="C808" s="209" t="s">
        <v>531</v>
      </c>
      <c r="D808" s="209" t="s">
        <v>947</v>
      </c>
      <c r="E808" s="209" t="s">
        <v>535</v>
      </c>
      <c r="F808" s="215">
        <v>4105</v>
      </c>
      <c r="G808" s="203">
        <v>0</v>
      </c>
      <c r="H808" s="215">
        <f>H809</f>
        <v>4105</v>
      </c>
      <c r="I808" s="203">
        <f>I809</f>
        <v>0</v>
      </c>
      <c r="J808" s="216">
        <f t="shared" si="220"/>
        <v>0</v>
      </c>
      <c r="K808" s="204">
        <f t="shared" si="221"/>
        <v>0</v>
      </c>
    </row>
    <row r="809" spans="1:11" ht="22.5" x14ac:dyDescent="0.2">
      <c r="A809" s="202" t="s">
        <v>534</v>
      </c>
      <c r="B809" s="209" t="s">
        <v>512</v>
      </c>
      <c r="C809" s="209" t="s">
        <v>531</v>
      </c>
      <c r="D809" s="209" t="s">
        <v>947</v>
      </c>
      <c r="E809" s="209" t="s">
        <v>529</v>
      </c>
      <c r="F809" s="215">
        <v>4105</v>
      </c>
      <c r="G809" s="203">
        <v>0</v>
      </c>
      <c r="H809" s="215">
        <f>'Ведомственная 2020'!H753</f>
        <v>4105</v>
      </c>
      <c r="I809" s="203">
        <v>0</v>
      </c>
      <c r="J809" s="216">
        <f t="shared" si="220"/>
        <v>0</v>
      </c>
      <c r="K809" s="204">
        <f t="shared" si="221"/>
        <v>0</v>
      </c>
    </row>
    <row r="810" spans="1:11" x14ac:dyDescent="0.2">
      <c r="A810" s="202" t="s">
        <v>615</v>
      </c>
      <c r="B810" s="209" t="s">
        <v>512</v>
      </c>
      <c r="C810" s="209" t="s">
        <v>531</v>
      </c>
      <c r="D810" s="209" t="s">
        <v>947</v>
      </c>
      <c r="E810" s="209" t="s">
        <v>509</v>
      </c>
      <c r="F810" s="215">
        <v>937.4</v>
      </c>
      <c r="G810" s="203">
        <v>0</v>
      </c>
      <c r="H810" s="215">
        <f>H811</f>
        <v>937.4</v>
      </c>
      <c r="I810" s="203">
        <f>I811</f>
        <v>0</v>
      </c>
      <c r="J810" s="216">
        <f t="shared" si="220"/>
        <v>0</v>
      </c>
      <c r="K810" s="204">
        <f t="shared" si="221"/>
        <v>0</v>
      </c>
    </row>
    <row r="811" spans="1:11" x14ac:dyDescent="0.2">
      <c r="A811" s="202" t="s">
        <v>614</v>
      </c>
      <c r="B811" s="209" t="s">
        <v>512</v>
      </c>
      <c r="C811" s="209" t="s">
        <v>531</v>
      </c>
      <c r="D811" s="209" t="s">
        <v>947</v>
      </c>
      <c r="E811" s="209" t="s">
        <v>613</v>
      </c>
      <c r="F811" s="215">
        <v>937.4</v>
      </c>
      <c r="G811" s="203">
        <v>0</v>
      </c>
      <c r="H811" s="215">
        <f>'Ведомственная 2020'!H755</f>
        <v>937.4</v>
      </c>
      <c r="I811" s="203">
        <v>0</v>
      </c>
      <c r="J811" s="216">
        <f t="shared" si="220"/>
        <v>0</v>
      </c>
      <c r="K811" s="204">
        <f t="shared" si="221"/>
        <v>0</v>
      </c>
    </row>
    <row r="812" spans="1:11" ht="22.5" x14ac:dyDescent="0.2">
      <c r="A812" s="202" t="s">
        <v>946</v>
      </c>
      <c r="B812" s="209" t="s">
        <v>512</v>
      </c>
      <c r="C812" s="209" t="s">
        <v>531</v>
      </c>
      <c r="D812" s="209" t="s">
        <v>945</v>
      </c>
      <c r="E812" s="209"/>
      <c r="F812" s="215">
        <v>22910.400000000001</v>
      </c>
      <c r="G812" s="203">
        <v>0</v>
      </c>
      <c r="H812" s="215">
        <f>H813+H815</f>
        <v>22185.4</v>
      </c>
      <c r="I812" s="203">
        <f>I813+I815</f>
        <v>0</v>
      </c>
      <c r="J812" s="216">
        <f t="shared" si="220"/>
        <v>-725</v>
      </c>
      <c r="K812" s="204">
        <f t="shared" si="221"/>
        <v>0</v>
      </c>
    </row>
    <row r="813" spans="1:11" ht="33.75" x14ac:dyDescent="0.2">
      <c r="A813" s="202" t="s">
        <v>1348</v>
      </c>
      <c r="B813" s="209" t="s">
        <v>512</v>
      </c>
      <c r="C813" s="209" t="s">
        <v>531</v>
      </c>
      <c r="D813" s="209" t="s">
        <v>945</v>
      </c>
      <c r="E813" s="209" t="s">
        <v>556</v>
      </c>
      <c r="F813" s="215">
        <v>17538.600000000002</v>
      </c>
      <c r="G813" s="203">
        <v>0</v>
      </c>
      <c r="H813" s="215">
        <f>H814</f>
        <v>17538.600000000002</v>
      </c>
      <c r="I813" s="203">
        <f>I814</f>
        <v>0</v>
      </c>
      <c r="J813" s="216">
        <f t="shared" si="220"/>
        <v>0</v>
      </c>
      <c r="K813" s="204">
        <f t="shared" si="221"/>
        <v>0</v>
      </c>
    </row>
    <row r="814" spans="1:11" x14ac:dyDescent="0.2">
      <c r="A814" s="202" t="s">
        <v>555</v>
      </c>
      <c r="B814" s="209" t="s">
        <v>512</v>
      </c>
      <c r="C814" s="209" t="s">
        <v>531</v>
      </c>
      <c r="D814" s="209" t="s">
        <v>945</v>
      </c>
      <c r="E814" s="209" t="s">
        <v>554</v>
      </c>
      <c r="F814" s="215">
        <v>17538.600000000002</v>
      </c>
      <c r="G814" s="203">
        <v>0</v>
      </c>
      <c r="H814" s="215">
        <f>'Ведомственная 2020'!H758</f>
        <v>17538.600000000002</v>
      </c>
      <c r="I814" s="203">
        <v>0</v>
      </c>
      <c r="J814" s="216">
        <f t="shared" si="220"/>
        <v>0</v>
      </c>
      <c r="K814" s="204">
        <f t="shared" si="221"/>
        <v>0</v>
      </c>
    </row>
    <row r="815" spans="1:11" x14ac:dyDescent="0.2">
      <c r="A815" s="202" t="s">
        <v>1347</v>
      </c>
      <c r="B815" s="209" t="s">
        <v>512</v>
      </c>
      <c r="C815" s="209" t="s">
        <v>531</v>
      </c>
      <c r="D815" s="209" t="s">
        <v>945</v>
      </c>
      <c r="E815" s="209" t="s">
        <v>535</v>
      </c>
      <c r="F815" s="215">
        <v>5371.8</v>
      </c>
      <c r="G815" s="203">
        <v>0</v>
      </c>
      <c r="H815" s="215">
        <f>H816</f>
        <v>4646.8</v>
      </c>
      <c r="I815" s="203">
        <f>I816</f>
        <v>0</v>
      </c>
      <c r="J815" s="216">
        <f t="shared" si="220"/>
        <v>-725</v>
      </c>
      <c r="K815" s="204">
        <f t="shared" si="221"/>
        <v>0</v>
      </c>
    </row>
    <row r="816" spans="1:11" ht="22.5" x14ac:dyDescent="0.2">
      <c r="A816" s="202" t="s">
        <v>534</v>
      </c>
      <c r="B816" s="209" t="s">
        <v>512</v>
      </c>
      <c r="C816" s="209" t="s">
        <v>531</v>
      </c>
      <c r="D816" s="209" t="s">
        <v>945</v>
      </c>
      <c r="E816" s="209" t="s">
        <v>529</v>
      </c>
      <c r="F816" s="215">
        <v>5371.8</v>
      </c>
      <c r="G816" s="203">
        <v>0</v>
      </c>
      <c r="H816" s="215">
        <f>'Ведомственная 2020'!H760</f>
        <v>4646.8</v>
      </c>
      <c r="I816" s="203">
        <v>0</v>
      </c>
      <c r="J816" s="216">
        <f t="shared" si="220"/>
        <v>-725</v>
      </c>
      <c r="K816" s="204">
        <f t="shared" si="221"/>
        <v>0</v>
      </c>
    </row>
    <row r="817" spans="1:11" x14ac:dyDescent="0.2">
      <c r="A817" s="202" t="s">
        <v>944</v>
      </c>
      <c r="B817" s="209" t="s">
        <v>512</v>
      </c>
      <c r="C817" s="209" t="s">
        <v>512</v>
      </c>
      <c r="D817" s="209"/>
      <c r="E817" s="209"/>
      <c r="F817" s="215">
        <v>162535.6</v>
      </c>
      <c r="G817" s="203">
        <v>0</v>
      </c>
      <c r="H817" s="215">
        <f t="shared" ref="H817:I819" si="224">H818</f>
        <v>171124.2</v>
      </c>
      <c r="I817" s="203">
        <f t="shared" si="224"/>
        <v>0</v>
      </c>
      <c r="J817" s="216">
        <f t="shared" si="220"/>
        <v>8588.6000000000058</v>
      </c>
      <c r="K817" s="204">
        <f t="shared" si="221"/>
        <v>0</v>
      </c>
    </row>
    <row r="818" spans="1:11" x14ac:dyDescent="0.2">
      <c r="A818" s="202" t="s">
        <v>604</v>
      </c>
      <c r="B818" s="209" t="s">
        <v>512</v>
      </c>
      <c r="C818" s="209" t="s">
        <v>512</v>
      </c>
      <c r="D818" s="209" t="s">
        <v>603</v>
      </c>
      <c r="E818" s="209"/>
      <c r="F818" s="215">
        <v>162535.6</v>
      </c>
      <c r="G818" s="203">
        <v>0</v>
      </c>
      <c r="H818" s="215">
        <f t="shared" si="224"/>
        <v>171124.2</v>
      </c>
      <c r="I818" s="203">
        <f t="shared" si="224"/>
        <v>0</v>
      </c>
      <c r="J818" s="216">
        <f t="shared" si="220"/>
        <v>8588.6000000000058</v>
      </c>
      <c r="K818" s="204">
        <f t="shared" si="221"/>
        <v>0</v>
      </c>
    </row>
    <row r="819" spans="1:11" x14ac:dyDescent="0.2">
      <c r="A819" s="202" t="s">
        <v>602</v>
      </c>
      <c r="B819" s="209" t="s">
        <v>512</v>
      </c>
      <c r="C819" s="209" t="s">
        <v>512</v>
      </c>
      <c r="D819" s="209" t="s">
        <v>601</v>
      </c>
      <c r="E819" s="209"/>
      <c r="F819" s="215">
        <v>162535.6</v>
      </c>
      <c r="G819" s="203">
        <v>0</v>
      </c>
      <c r="H819" s="215">
        <f t="shared" si="224"/>
        <v>171124.2</v>
      </c>
      <c r="I819" s="203">
        <f t="shared" si="224"/>
        <v>0</v>
      </c>
      <c r="J819" s="216">
        <f t="shared" si="220"/>
        <v>8588.6000000000058</v>
      </c>
      <c r="K819" s="204">
        <f t="shared" si="221"/>
        <v>0</v>
      </c>
    </row>
    <row r="820" spans="1:11" ht="22.5" x14ac:dyDescent="0.2">
      <c r="A820" s="202" t="s">
        <v>600</v>
      </c>
      <c r="B820" s="209" t="s">
        <v>512</v>
      </c>
      <c r="C820" s="209" t="s">
        <v>512</v>
      </c>
      <c r="D820" s="209" t="s">
        <v>599</v>
      </c>
      <c r="E820" s="209"/>
      <c r="F820" s="215">
        <v>162535.6</v>
      </c>
      <c r="G820" s="203">
        <v>0</v>
      </c>
      <c r="H820" s="215">
        <f>H821+H824+H831+H838+H845</f>
        <v>171124.2</v>
      </c>
      <c r="I820" s="203">
        <f>I821+I824+I831+I838+I845</f>
        <v>0</v>
      </c>
      <c r="J820" s="216">
        <f t="shared" si="220"/>
        <v>8588.6000000000058</v>
      </c>
      <c r="K820" s="204">
        <f t="shared" si="221"/>
        <v>0</v>
      </c>
    </row>
    <row r="821" spans="1:11" ht="22.5" x14ac:dyDescent="0.2">
      <c r="A821" s="202" t="s">
        <v>937</v>
      </c>
      <c r="B821" s="209" t="s">
        <v>512</v>
      </c>
      <c r="C821" s="209" t="s">
        <v>512</v>
      </c>
      <c r="D821" s="209" t="s">
        <v>935</v>
      </c>
      <c r="E821" s="209"/>
      <c r="F821" s="215">
        <v>4785.2</v>
      </c>
      <c r="G821" s="203">
        <v>0</v>
      </c>
      <c r="H821" s="215">
        <f>H822</f>
        <v>4785.2</v>
      </c>
      <c r="I821" s="203">
        <f>I822</f>
        <v>0</v>
      </c>
      <c r="J821" s="216">
        <f t="shared" si="220"/>
        <v>0</v>
      </c>
      <c r="K821" s="204">
        <f t="shared" si="221"/>
        <v>0</v>
      </c>
    </row>
    <row r="822" spans="1:11" x14ac:dyDescent="0.2">
      <c r="A822" s="202" t="s">
        <v>553</v>
      </c>
      <c r="B822" s="209" t="s">
        <v>512</v>
      </c>
      <c r="C822" s="209" t="s">
        <v>512</v>
      </c>
      <c r="D822" s="209" t="s">
        <v>935</v>
      </c>
      <c r="E822" s="209" t="s">
        <v>552</v>
      </c>
      <c r="F822" s="215">
        <v>4785.2</v>
      </c>
      <c r="G822" s="203">
        <v>0</v>
      </c>
      <c r="H822" s="215">
        <f>H823</f>
        <v>4785.2</v>
      </c>
      <c r="I822" s="203">
        <f>I823</f>
        <v>0</v>
      </c>
      <c r="J822" s="216">
        <f t="shared" si="220"/>
        <v>0</v>
      </c>
      <c r="K822" s="204">
        <f t="shared" si="221"/>
        <v>0</v>
      </c>
    </row>
    <row r="823" spans="1:11" x14ac:dyDescent="0.2">
      <c r="A823" s="202" t="s">
        <v>936</v>
      </c>
      <c r="B823" s="209" t="s">
        <v>512</v>
      </c>
      <c r="C823" s="209" t="s">
        <v>512</v>
      </c>
      <c r="D823" s="209" t="s">
        <v>935</v>
      </c>
      <c r="E823" s="209" t="s">
        <v>934</v>
      </c>
      <c r="F823" s="215">
        <v>4785.2</v>
      </c>
      <c r="G823" s="203">
        <v>0</v>
      </c>
      <c r="H823" s="215">
        <f>'Ведомственная 2020'!H767</f>
        <v>4785.2</v>
      </c>
      <c r="I823" s="203">
        <v>0</v>
      </c>
      <c r="J823" s="216">
        <f t="shared" si="220"/>
        <v>0</v>
      </c>
      <c r="K823" s="204">
        <f t="shared" si="221"/>
        <v>0</v>
      </c>
    </row>
    <row r="824" spans="1:11" ht="22.5" x14ac:dyDescent="0.2">
      <c r="A824" s="202" t="s">
        <v>933</v>
      </c>
      <c r="B824" s="209" t="s">
        <v>512</v>
      </c>
      <c r="C824" s="209" t="s">
        <v>512</v>
      </c>
      <c r="D824" s="209" t="s">
        <v>932</v>
      </c>
      <c r="E824" s="209"/>
      <c r="F824" s="215">
        <v>50930.200000000004</v>
      </c>
      <c r="G824" s="203">
        <v>0</v>
      </c>
      <c r="H824" s="215">
        <f>H825+H827+H829</f>
        <v>59730.200000000004</v>
      </c>
      <c r="I824" s="203">
        <f>I825+I827+I829</f>
        <v>0</v>
      </c>
      <c r="J824" s="216">
        <f t="shared" si="220"/>
        <v>8800</v>
      </c>
      <c r="K824" s="204">
        <f t="shared" si="221"/>
        <v>0</v>
      </c>
    </row>
    <row r="825" spans="1:11" ht="33.75" x14ac:dyDescent="0.2">
      <c r="A825" s="202" t="s">
        <v>1348</v>
      </c>
      <c r="B825" s="209" t="s">
        <v>512</v>
      </c>
      <c r="C825" s="209" t="s">
        <v>512</v>
      </c>
      <c r="D825" s="209" t="s">
        <v>932</v>
      </c>
      <c r="E825" s="209" t="s">
        <v>556</v>
      </c>
      <c r="F825" s="215">
        <v>47892.800000000003</v>
      </c>
      <c r="G825" s="203">
        <v>0</v>
      </c>
      <c r="H825" s="215">
        <f>H826</f>
        <v>55892.800000000003</v>
      </c>
      <c r="I825" s="203">
        <f>I826</f>
        <v>0</v>
      </c>
      <c r="J825" s="216">
        <f t="shared" si="220"/>
        <v>8000</v>
      </c>
      <c r="K825" s="204">
        <f t="shared" si="221"/>
        <v>0</v>
      </c>
    </row>
    <row r="826" spans="1:11" x14ac:dyDescent="0.2">
      <c r="A826" s="202" t="s">
        <v>555</v>
      </c>
      <c r="B826" s="209" t="s">
        <v>512</v>
      </c>
      <c r="C826" s="209" t="s">
        <v>512</v>
      </c>
      <c r="D826" s="209" t="s">
        <v>932</v>
      </c>
      <c r="E826" s="209" t="s">
        <v>554</v>
      </c>
      <c r="F826" s="215">
        <v>47892.800000000003</v>
      </c>
      <c r="G826" s="203">
        <v>0</v>
      </c>
      <c r="H826" s="215">
        <f>'Ведомственная 2020'!H770</f>
        <v>55892.800000000003</v>
      </c>
      <c r="I826" s="203">
        <v>0</v>
      </c>
      <c r="J826" s="216">
        <f t="shared" si="220"/>
        <v>8000</v>
      </c>
      <c r="K826" s="204">
        <f t="shared" si="221"/>
        <v>0</v>
      </c>
    </row>
    <row r="827" spans="1:11" x14ac:dyDescent="0.2">
      <c r="A827" s="202" t="s">
        <v>1347</v>
      </c>
      <c r="B827" s="209" t="s">
        <v>512</v>
      </c>
      <c r="C827" s="209" t="s">
        <v>512</v>
      </c>
      <c r="D827" s="209" t="s">
        <v>932</v>
      </c>
      <c r="E827" s="209" t="s">
        <v>535</v>
      </c>
      <c r="F827" s="215">
        <v>2937.4</v>
      </c>
      <c r="G827" s="203">
        <v>0</v>
      </c>
      <c r="H827" s="215">
        <f>H828</f>
        <v>3737.4</v>
      </c>
      <c r="I827" s="203">
        <f>I828</f>
        <v>0</v>
      </c>
      <c r="J827" s="216">
        <f t="shared" si="220"/>
        <v>800</v>
      </c>
      <c r="K827" s="204">
        <f t="shared" si="221"/>
        <v>0</v>
      </c>
    </row>
    <row r="828" spans="1:11" ht="22.5" x14ac:dyDescent="0.2">
      <c r="A828" s="202" t="s">
        <v>534</v>
      </c>
      <c r="B828" s="209" t="s">
        <v>512</v>
      </c>
      <c r="C828" s="209" t="s">
        <v>512</v>
      </c>
      <c r="D828" s="209" t="s">
        <v>932</v>
      </c>
      <c r="E828" s="209" t="s">
        <v>529</v>
      </c>
      <c r="F828" s="215">
        <v>2937.4</v>
      </c>
      <c r="G828" s="203">
        <v>0</v>
      </c>
      <c r="H828" s="215">
        <f>'Ведомственная 2020'!H772</f>
        <v>3737.4</v>
      </c>
      <c r="I828" s="203">
        <v>0</v>
      </c>
      <c r="J828" s="216">
        <f t="shared" si="220"/>
        <v>800</v>
      </c>
      <c r="K828" s="204">
        <f t="shared" si="221"/>
        <v>0</v>
      </c>
    </row>
    <row r="829" spans="1:11" x14ac:dyDescent="0.2">
      <c r="A829" s="202" t="s">
        <v>615</v>
      </c>
      <c r="B829" s="209" t="s">
        <v>512</v>
      </c>
      <c r="C829" s="209" t="s">
        <v>512</v>
      </c>
      <c r="D829" s="209" t="s">
        <v>932</v>
      </c>
      <c r="E829" s="209" t="s">
        <v>509</v>
      </c>
      <c r="F829" s="215">
        <v>100</v>
      </c>
      <c r="G829" s="203">
        <v>0</v>
      </c>
      <c r="H829" s="215">
        <f>H830</f>
        <v>100</v>
      </c>
      <c r="I829" s="203">
        <f>I830</f>
        <v>0</v>
      </c>
      <c r="J829" s="216">
        <f t="shared" si="220"/>
        <v>0</v>
      </c>
      <c r="K829" s="204">
        <f t="shared" si="221"/>
        <v>0</v>
      </c>
    </row>
    <row r="830" spans="1:11" x14ac:dyDescent="0.2">
      <c r="A830" s="202" t="s">
        <v>614</v>
      </c>
      <c r="B830" s="209" t="s">
        <v>512</v>
      </c>
      <c r="C830" s="209" t="s">
        <v>512</v>
      </c>
      <c r="D830" s="209" t="s">
        <v>932</v>
      </c>
      <c r="E830" s="209" t="s">
        <v>613</v>
      </c>
      <c r="F830" s="215">
        <v>100</v>
      </c>
      <c r="G830" s="203">
        <v>0</v>
      </c>
      <c r="H830" s="215">
        <f>'Ведомственная 2020'!H774</f>
        <v>100</v>
      </c>
      <c r="I830" s="203">
        <v>0</v>
      </c>
      <c r="J830" s="216">
        <f t="shared" si="220"/>
        <v>0</v>
      </c>
      <c r="K830" s="204">
        <f t="shared" si="221"/>
        <v>0</v>
      </c>
    </row>
    <row r="831" spans="1:11" ht="33.75" x14ac:dyDescent="0.2">
      <c r="A831" s="202" t="s">
        <v>931</v>
      </c>
      <c r="B831" s="209" t="s">
        <v>512</v>
      </c>
      <c r="C831" s="209" t="s">
        <v>512</v>
      </c>
      <c r="D831" s="209" t="s">
        <v>930</v>
      </c>
      <c r="E831" s="209"/>
      <c r="F831" s="215">
        <v>35524.299999999996</v>
      </c>
      <c r="G831" s="203">
        <v>0</v>
      </c>
      <c r="H831" s="215">
        <f>H832+H834+H836</f>
        <v>35524.299999999996</v>
      </c>
      <c r="I831" s="203">
        <f>I832+I834+I836</f>
        <v>0</v>
      </c>
      <c r="J831" s="216">
        <f t="shared" si="220"/>
        <v>0</v>
      </c>
      <c r="K831" s="204">
        <f t="shared" si="221"/>
        <v>0</v>
      </c>
    </row>
    <row r="832" spans="1:11" ht="33.75" x14ac:dyDescent="0.2">
      <c r="A832" s="202" t="s">
        <v>1348</v>
      </c>
      <c r="B832" s="209" t="s">
        <v>512</v>
      </c>
      <c r="C832" s="209" t="s">
        <v>512</v>
      </c>
      <c r="D832" s="209" t="s">
        <v>930</v>
      </c>
      <c r="E832" s="209" t="s">
        <v>556</v>
      </c>
      <c r="F832" s="215">
        <v>29613.200000000001</v>
      </c>
      <c r="G832" s="203">
        <v>0</v>
      </c>
      <c r="H832" s="215">
        <f>H833</f>
        <v>29933.200000000001</v>
      </c>
      <c r="I832" s="203">
        <f>I833</f>
        <v>0</v>
      </c>
      <c r="J832" s="216">
        <f t="shared" si="220"/>
        <v>320</v>
      </c>
      <c r="K832" s="204">
        <f t="shared" si="221"/>
        <v>0</v>
      </c>
    </row>
    <row r="833" spans="1:11" x14ac:dyDescent="0.2">
      <c r="A833" s="202" t="s">
        <v>555</v>
      </c>
      <c r="B833" s="209" t="s">
        <v>512</v>
      </c>
      <c r="C833" s="209" t="s">
        <v>512</v>
      </c>
      <c r="D833" s="209" t="s">
        <v>930</v>
      </c>
      <c r="E833" s="209" t="s">
        <v>554</v>
      </c>
      <c r="F833" s="215">
        <v>29613.200000000001</v>
      </c>
      <c r="G833" s="203">
        <v>0</v>
      </c>
      <c r="H833" s="215">
        <f>'Ведомственная 2020'!H777</f>
        <v>29933.200000000001</v>
      </c>
      <c r="I833" s="203">
        <v>0</v>
      </c>
      <c r="J833" s="216">
        <f t="shared" si="220"/>
        <v>320</v>
      </c>
      <c r="K833" s="204">
        <f t="shared" si="221"/>
        <v>0</v>
      </c>
    </row>
    <row r="834" spans="1:11" x14ac:dyDescent="0.2">
      <c r="A834" s="202" t="s">
        <v>1347</v>
      </c>
      <c r="B834" s="209" t="s">
        <v>512</v>
      </c>
      <c r="C834" s="209" t="s">
        <v>512</v>
      </c>
      <c r="D834" s="209" t="s">
        <v>930</v>
      </c>
      <c r="E834" s="209" t="s">
        <v>535</v>
      </c>
      <c r="F834" s="215">
        <v>5893</v>
      </c>
      <c r="G834" s="203">
        <v>0</v>
      </c>
      <c r="H834" s="215">
        <f>H835</f>
        <v>5573</v>
      </c>
      <c r="I834" s="203">
        <f>I835</f>
        <v>0</v>
      </c>
      <c r="J834" s="216">
        <f t="shared" si="220"/>
        <v>-320</v>
      </c>
      <c r="K834" s="204">
        <f t="shared" si="221"/>
        <v>0</v>
      </c>
    </row>
    <row r="835" spans="1:11" ht="22.5" x14ac:dyDescent="0.2">
      <c r="A835" s="202" t="s">
        <v>534</v>
      </c>
      <c r="B835" s="209" t="s">
        <v>512</v>
      </c>
      <c r="C835" s="209" t="s">
        <v>512</v>
      </c>
      <c r="D835" s="209" t="s">
        <v>930</v>
      </c>
      <c r="E835" s="209" t="s">
        <v>529</v>
      </c>
      <c r="F835" s="215">
        <v>5893</v>
      </c>
      <c r="G835" s="203">
        <v>0</v>
      </c>
      <c r="H835" s="215">
        <f>'Ведомственная 2020'!H779</f>
        <v>5573</v>
      </c>
      <c r="I835" s="203">
        <v>0</v>
      </c>
      <c r="J835" s="216">
        <f t="shared" si="220"/>
        <v>-320</v>
      </c>
      <c r="K835" s="204">
        <f t="shared" si="221"/>
        <v>0</v>
      </c>
    </row>
    <row r="836" spans="1:11" x14ac:dyDescent="0.2">
      <c r="A836" s="202" t="s">
        <v>615</v>
      </c>
      <c r="B836" s="209" t="s">
        <v>512</v>
      </c>
      <c r="C836" s="209" t="s">
        <v>512</v>
      </c>
      <c r="D836" s="209" t="s">
        <v>930</v>
      </c>
      <c r="E836" s="209" t="s">
        <v>509</v>
      </c>
      <c r="F836" s="215">
        <v>18.100000000000001</v>
      </c>
      <c r="G836" s="203">
        <v>0</v>
      </c>
      <c r="H836" s="215">
        <f>H837</f>
        <v>18.100000000000001</v>
      </c>
      <c r="I836" s="203">
        <f>I837</f>
        <v>0</v>
      </c>
      <c r="J836" s="216">
        <f t="shared" si="220"/>
        <v>0</v>
      </c>
      <c r="K836" s="204">
        <f t="shared" si="221"/>
        <v>0</v>
      </c>
    </row>
    <row r="837" spans="1:11" x14ac:dyDescent="0.2">
      <c r="A837" s="202" t="s">
        <v>614</v>
      </c>
      <c r="B837" s="209" t="s">
        <v>512</v>
      </c>
      <c r="C837" s="209" t="s">
        <v>512</v>
      </c>
      <c r="D837" s="209" t="s">
        <v>930</v>
      </c>
      <c r="E837" s="209" t="s">
        <v>613</v>
      </c>
      <c r="F837" s="215">
        <v>18.100000000000001</v>
      </c>
      <c r="G837" s="203">
        <v>0</v>
      </c>
      <c r="H837" s="215">
        <f>'Ведомственная 2020'!H781</f>
        <v>18.100000000000001</v>
      </c>
      <c r="I837" s="203">
        <v>0</v>
      </c>
      <c r="J837" s="216">
        <f t="shared" si="220"/>
        <v>0</v>
      </c>
      <c r="K837" s="204">
        <f t="shared" si="221"/>
        <v>0</v>
      </c>
    </row>
    <row r="838" spans="1:11" ht="33.75" x14ac:dyDescent="0.2">
      <c r="A838" s="202" t="s">
        <v>929</v>
      </c>
      <c r="B838" s="209" t="s">
        <v>512</v>
      </c>
      <c r="C838" s="209" t="s">
        <v>512</v>
      </c>
      <c r="D838" s="209" t="s">
        <v>928</v>
      </c>
      <c r="E838" s="209"/>
      <c r="F838" s="215">
        <v>36901.200000000004</v>
      </c>
      <c r="G838" s="203">
        <v>0</v>
      </c>
      <c r="H838" s="215">
        <f>H839+H841+H843</f>
        <v>36901.200000000004</v>
      </c>
      <c r="I838" s="203">
        <f>I839+I841+I843</f>
        <v>0</v>
      </c>
      <c r="J838" s="216">
        <f t="shared" si="220"/>
        <v>0</v>
      </c>
      <c r="K838" s="204">
        <f t="shared" si="221"/>
        <v>0</v>
      </c>
    </row>
    <row r="839" spans="1:11" ht="33.75" x14ac:dyDescent="0.2">
      <c r="A839" s="202" t="s">
        <v>1348</v>
      </c>
      <c r="B839" s="209" t="s">
        <v>512</v>
      </c>
      <c r="C839" s="209" t="s">
        <v>512</v>
      </c>
      <c r="D839" s="209" t="s">
        <v>928</v>
      </c>
      <c r="E839" s="209" t="s">
        <v>556</v>
      </c>
      <c r="F839" s="215">
        <v>30171.200000000004</v>
      </c>
      <c r="G839" s="203">
        <v>0</v>
      </c>
      <c r="H839" s="215">
        <f>H840</f>
        <v>30171.200000000004</v>
      </c>
      <c r="I839" s="203">
        <f>I840</f>
        <v>0</v>
      </c>
      <c r="J839" s="216">
        <f t="shared" si="220"/>
        <v>0</v>
      </c>
      <c r="K839" s="204">
        <f t="shared" si="221"/>
        <v>0</v>
      </c>
    </row>
    <row r="840" spans="1:11" x14ac:dyDescent="0.2">
      <c r="A840" s="202" t="s">
        <v>555</v>
      </c>
      <c r="B840" s="209" t="s">
        <v>512</v>
      </c>
      <c r="C840" s="209" t="s">
        <v>512</v>
      </c>
      <c r="D840" s="209" t="s">
        <v>928</v>
      </c>
      <c r="E840" s="209" t="s">
        <v>554</v>
      </c>
      <c r="F840" s="215">
        <v>30171.200000000004</v>
      </c>
      <c r="G840" s="203">
        <v>0</v>
      </c>
      <c r="H840" s="215">
        <f>'Ведомственная 2020'!H784</f>
        <v>30171.200000000004</v>
      </c>
      <c r="I840" s="203">
        <v>0</v>
      </c>
      <c r="J840" s="216">
        <f t="shared" ref="J840:J931" si="225">H840-F840</f>
        <v>0</v>
      </c>
      <c r="K840" s="204">
        <f t="shared" ref="K840:K931" si="226">I840-G840</f>
        <v>0</v>
      </c>
    </row>
    <row r="841" spans="1:11" x14ac:dyDescent="0.2">
      <c r="A841" s="202" t="s">
        <v>1347</v>
      </c>
      <c r="B841" s="209" t="s">
        <v>512</v>
      </c>
      <c r="C841" s="209" t="s">
        <v>512</v>
      </c>
      <c r="D841" s="209" t="s">
        <v>928</v>
      </c>
      <c r="E841" s="209" t="s">
        <v>535</v>
      </c>
      <c r="F841" s="215">
        <v>6178</v>
      </c>
      <c r="G841" s="203">
        <v>0</v>
      </c>
      <c r="H841" s="215">
        <f>H842</f>
        <v>6178</v>
      </c>
      <c r="I841" s="203">
        <f>I842</f>
        <v>0</v>
      </c>
      <c r="J841" s="216">
        <f t="shared" si="225"/>
        <v>0</v>
      </c>
      <c r="K841" s="204">
        <f t="shared" si="226"/>
        <v>0</v>
      </c>
    </row>
    <row r="842" spans="1:11" ht="22.5" x14ac:dyDescent="0.2">
      <c r="A842" s="202" t="s">
        <v>534</v>
      </c>
      <c r="B842" s="209" t="s">
        <v>512</v>
      </c>
      <c r="C842" s="209" t="s">
        <v>512</v>
      </c>
      <c r="D842" s="209" t="s">
        <v>928</v>
      </c>
      <c r="E842" s="209" t="s">
        <v>529</v>
      </c>
      <c r="F842" s="215">
        <v>6178</v>
      </c>
      <c r="G842" s="203">
        <v>0</v>
      </c>
      <c r="H842" s="215">
        <f>'Ведомственная 2020'!H786</f>
        <v>6178</v>
      </c>
      <c r="I842" s="203">
        <v>0</v>
      </c>
      <c r="J842" s="216">
        <f t="shared" si="225"/>
        <v>0</v>
      </c>
      <c r="K842" s="204">
        <f t="shared" si="226"/>
        <v>0</v>
      </c>
    </row>
    <row r="843" spans="1:11" x14ac:dyDescent="0.2">
      <c r="A843" s="202" t="s">
        <v>615</v>
      </c>
      <c r="B843" s="209" t="s">
        <v>512</v>
      </c>
      <c r="C843" s="209" t="s">
        <v>512</v>
      </c>
      <c r="D843" s="209" t="s">
        <v>928</v>
      </c>
      <c r="E843" s="209" t="s">
        <v>509</v>
      </c>
      <c r="F843" s="215">
        <v>552</v>
      </c>
      <c r="G843" s="203">
        <v>0</v>
      </c>
      <c r="H843" s="215">
        <f>H844</f>
        <v>552</v>
      </c>
      <c r="I843" s="203">
        <f>I844</f>
        <v>0</v>
      </c>
      <c r="J843" s="216">
        <f t="shared" si="225"/>
        <v>0</v>
      </c>
      <c r="K843" s="204">
        <f t="shared" si="226"/>
        <v>0</v>
      </c>
    </row>
    <row r="844" spans="1:11" x14ac:dyDescent="0.2">
      <c r="A844" s="202" t="s">
        <v>614</v>
      </c>
      <c r="B844" s="209" t="s">
        <v>512</v>
      </c>
      <c r="C844" s="209" t="s">
        <v>512</v>
      </c>
      <c r="D844" s="209" t="s">
        <v>928</v>
      </c>
      <c r="E844" s="209" t="s">
        <v>613</v>
      </c>
      <c r="F844" s="215">
        <v>552</v>
      </c>
      <c r="G844" s="203">
        <v>0</v>
      </c>
      <c r="H844" s="215">
        <f>'Ведомственная 2020'!H788</f>
        <v>552</v>
      </c>
      <c r="I844" s="203">
        <v>0</v>
      </c>
      <c r="J844" s="216">
        <f t="shared" si="225"/>
        <v>0</v>
      </c>
      <c r="K844" s="204">
        <f t="shared" si="226"/>
        <v>0</v>
      </c>
    </row>
    <row r="845" spans="1:11" ht="33.75" x14ac:dyDescent="0.2">
      <c r="A845" s="202" t="s">
        <v>927</v>
      </c>
      <c r="B845" s="209" t="s">
        <v>512</v>
      </c>
      <c r="C845" s="209" t="s">
        <v>512</v>
      </c>
      <c r="D845" s="209" t="s">
        <v>926</v>
      </c>
      <c r="E845" s="209"/>
      <c r="F845" s="215">
        <v>34394.700000000004</v>
      </c>
      <c r="G845" s="203">
        <v>0</v>
      </c>
      <c r="H845" s="215">
        <f>H846+H848+H850</f>
        <v>34183.300000000003</v>
      </c>
      <c r="I845" s="203">
        <f>I846+I848+I850</f>
        <v>0</v>
      </c>
      <c r="J845" s="216">
        <f t="shared" si="225"/>
        <v>-211.40000000000146</v>
      </c>
      <c r="K845" s="204">
        <f t="shared" si="226"/>
        <v>0</v>
      </c>
    </row>
    <row r="846" spans="1:11" ht="33.75" x14ac:dyDescent="0.2">
      <c r="A846" s="202" t="s">
        <v>1348</v>
      </c>
      <c r="B846" s="209" t="s">
        <v>512</v>
      </c>
      <c r="C846" s="209" t="s">
        <v>512</v>
      </c>
      <c r="D846" s="209" t="s">
        <v>926</v>
      </c>
      <c r="E846" s="209" t="s">
        <v>556</v>
      </c>
      <c r="F846" s="215">
        <v>29100.400000000001</v>
      </c>
      <c r="G846" s="203">
        <v>0</v>
      </c>
      <c r="H846" s="215">
        <f>H847</f>
        <v>29100.400000000001</v>
      </c>
      <c r="I846" s="203">
        <f>I847</f>
        <v>0</v>
      </c>
      <c r="J846" s="216">
        <f t="shared" si="225"/>
        <v>0</v>
      </c>
      <c r="K846" s="204">
        <f t="shared" si="226"/>
        <v>0</v>
      </c>
    </row>
    <row r="847" spans="1:11" x14ac:dyDescent="0.2">
      <c r="A847" s="202" t="s">
        <v>555</v>
      </c>
      <c r="B847" s="209" t="s">
        <v>512</v>
      </c>
      <c r="C847" s="209" t="s">
        <v>512</v>
      </c>
      <c r="D847" s="209" t="s">
        <v>926</v>
      </c>
      <c r="E847" s="209" t="s">
        <v>554</v>
      </c>
      <c r="F847" s="215">
        <v>29100.400000000001</v>
      </c>
      <c r="G847" s="203">
        <v>0</v>
      </c>
      <c r="H847" s="215">
        <f>'Ведомственная 2020'!H791</f>
        <v>29100.400000000001</v>
      </c>
      <c r="I847" s="203">
        <v>0</v>
      </c>
      <c r="J847" s="216">
        <f t="shared" si="225"/>
        <v>0</v>
      </c>
      <c r="K847" s="204">
        <f t="shared" si="226"/>
        <v>0</v>
      </c>
    </row>
    <row r="848" spans="1:11" x14ac:dyDescent="0.2">
      <c r="A848" s="202" t="s">
        <v>1347</v>
      </c>
      <c r="B848" s="209" t="s">
        <v>512</v>
      </c>
      <c r="C848" s="209" t="s">
        <v>512</v>
      </c>
      <c r="D848" s="209" t="s">
        <v>926</v>
      </c>
      <c r="E848" s="209" t="s">
        <v>535</v>
      </c>
      <c r="F848" s="215">
        <v>5211.3999999999996</v>
      </c>
      <c r="G848" s="203">
        <v>0</v>
      </c>
      <c r="H848" s="215">
        <f>H849</f>
        <v>5000</v>
      </c>
      <c r="I848" s="203">
        <f>I849</f>
        <v>0</v>
      </c>
      <c r="J848" s="216">
        <f t="shared" si="225"/>
        <v>-211.39999999999964</v>
      </c>
      <c r="K848" s="204">
        <f t="shared" si="226"/>
        <v>0</v>
      </c>
    </row>
    <row r="849" spans="1:11" ht="22.5" x14ac:dyDescent="0.2">
      <c r="A849" s="202" t="s">
        <v>534</v>
      </c>
      <c r="B849" s="209" t="s">
        <v>512</v>
      </c>
      <c r="C849" s="209" t="s">
        <v>512</v>
      </c>
      <c r="D849" s="209" t="s">
        <v>926</v>
      </c>
      <c r="E849" s="209" t="s">
        <v>529</v>
      </c>
      <c r="F849" s="215">
        <v>5211.3999999999996</v>
      </c>
      <c r="G849" s="203">
        <v>0</v>
      </c>
      <c r="H849" s="215">
        <f>'Ведомственная 2020'!H793</f>
        <v>5000</v>
      </c>
      <c r="I849" s="203">
        <v>0</v>
      </c>
      <c r="J849" s="216">
        <f t="shared" si="225"/>
        <v>-211.39999999999964</v>
      </c>
      <c r="K849" s="204">
        <f t="shared" si="226"/>
        <v>0</v>
      </c>
    </row>
    <row r="850" spans="1:11" x14ac:dyDescent="0.2">
      <c r="A850" s="202" t="s">
        <v>615</v>
      </c>
      <c r="B850" s="209" t="s">
        <v>512</v>
      </c>
      <c r="C850" s="209" t="s">
        <v>512</v>
      </c>
      <c r="D850" s="209" t="s">
        <v>926</v>
      </c>
      <c r="E850" s="209" t="s">
        <v>509</v>
      </c>
      <c r="F850" s="215">
        <v>82.9</v>
      </c>
      <c r="G850" s="203">
        <v>0</v>
      </c>
      <c r="H850" s="215">
        <f>H851</f>
        <v>82.9</v>
      </c>
      <c r="I850" s="203">
        <f>I851</f>
        <v>0</v>
      </c>
      <c r="J850" s="216">
        <f t="shared" si="225"/>
        <v>0</v>
      </c>
      <c r="K850" s="204">
        <f t="shared" si="226"/>
        <v>0</v>
      </c>
    </row>
    <row r="851" spans="1:11" x14ac:dyDescent="0.2">
      <c r="A851" s="202" t="s">
        <v>614</v>
      </c>
      <c r="B851" s="209" t="s">
        <v>512</v>
      </c>
      <c r="C851" s="209" t="s">
        <v>512</v>
      </c>
      <c r="D851" s="209" t="s">
        <v>926</v>
      </c>
      <c r="E851" s="209" t="s">
        <v>613</v>
      </c>
      <c r="F851" s="215">
        <v>82.9</v>
      </c>
      <c r="G851" s="203">
        <v>0</v>
      </c>
      <c r="H851" s="215">
        <f>'Ведомственная 2020'!H795</f>
        <v>82.9</v>
      </c>
      <c r="I851" s="203">
        <v>0</v>
      </c>
      <c r="J851" s="216">
        <f t="shared" si="225"/>
        <v>0</v>
      </c>
      <c r="K851" s="204">
        <f t="shared" si="226"/>
        <v>0</v>
      </c>
    </row>
    <row r="852" spans="1:11" s="97" customFormat="1" x14ac:dyDescent="0.2">
      <c r="A852" s="199" t="s">
        <v>925</v>
      </c>
      <c r="B852" s="212" t="s">
        <v>747</v>
      </c>
      <c r="C852" s="212"/>
      <c r="D852" s="212"/>
      <c r="E852" s="212"/>
      <c r="F852" s="213">
        <v>43682.9</v>
      </c>
      <c r="G852" s="200">
        <v>0</v>
      </c>
      <c r="H852" s="213">
        <f>H860+H853</f>
        <v>104594.34999999999</v>
      </c>
      <c r="I852" s="200">
        <f>I860</f>
        <v>0</v>
      </c>
      <c r="J852" s="214">
        <f t="shared" si="225"/>
        <v>60911.44999999999</v>
      </c>
      <c r="K852" s="201">
        <f t="shared" si="226"/>
        <v>0</v>
      </c>
    </row>
    <row r="853" spans="1:11" s="97" customFormat="1" x14ac:dyDescent="0.2">
      <c r="A853" s="202" t="s">
        <v>1595</v>
      </c>
      <c r="B853" s="209" t="s">
        <v>747</v>
      </c>
      <c r="C853" s="209" t="s">
        <v>502</v>
      </c>
      <c r="D853" s="209"/>
      <c r="E853" s="209"/>
      <c r="F853" s="215">
        <v>37074.400000000001</v>
      </c>
      <c r="G853" s="203">
        <v>0</v>
      </c>
      <c r="H853" s="215">
        <f t="shared" ref="H853:I858" si="227">H854</f>
        <v>98865.15</v>
      </c>
      <c r="I853" s="203">
        <f t="shared" si="227"/>
        <v>0</v>
      </c>
      <c r="J853" s="216">
        <f t="shared" ref="J853:J859" si="228">H853-F853</f>
        <v>61790.749999999993</v>
      </c>
      <c r="K853" s="204">
        <f t="shared" ref="K853:K859" si="229">I853-G853</f>
        <v>0</v>
      </c>
    </row>
    <row r="854" spans="1:11" s="97" customFormat="1" x14ac:dyDescent="0.2">
      <c r="A854" s="202" t="s">
        <v>943</v>
      </c>
      <c r="B854" s="209" t="s">
        <v>747</v>
      </c>
      <c r="C854" s="209" t="s">
        <v>502</v>
      </c>
      <c r="D854" s="209" t="s">
        <v>942</v>
      </c>
      <c r="E854" s="209"/>
      <c r="F854" s="215">
        <v>37074.400000000001</v>
      </c>
      <c r="G854" s="203">
        <v>0</v>
      </c>
      <c r="H854" s="215">
        <f t="shared" si="227"/>
        <v>98865.15</v>
      </c>
      <c r="I854" s="203">
        <f t="shared" si="227"/>
        <v>0</v>
      </c>
      <c r="J854" s="216">
        <f t="shared" si="228"/>
        <v>61790.749999999993</v>
      </c>
      <c r="K854" s="204">
        <f t="shared" si="229"/>
        <v>0</v>
      </c>
    </row>
    <row r="855" spans="1:11" s="97" customFormat="1" x14ac:dyDescent="0.2">
      <c r="A855" s="202" t="s">
        <v>1596</v>
      </c>
      <c r="B855" s="209" t="s">
        <v>747</v>
      </c>
      <c r="C855" s="209" t="s">
        <v>502</v>
      </c>
      <c r="D855" s="209" t="s">
        <v>1599</v>
      </c>
      <c r="E855" s="209"/>
      <c r="F855" s="215">
        <v>37074.400000000001</v>
      </c>
      <c r="G855" s="203">
        <v>0</v>
      </c>
      <c r="H855" s="215">
        <f t="shared" si="227"/>
        <v>98865.15</v>
      </c>
      <c r="I855" s="203">
        <f t="shared" si="227"/>
        <v>0</v>
      </c>
      <c r="J855" s="216">
        <f t="shared" si="228"/>
        <v>61790.749999999993</v>
      </c>
      <c r="K855" s="204">
        <f t="shared" si="229"/>
        <v>0</v>
      </c>
    </row>
    <row r="856" spans="1:11" s="97" customFormat="1" ht="33.75" x14ac:dyDescent="0.2">
      <c r="A856" s="202" t="s">
        <v>1597</v>
      </c>
      <c r="B856" s="209" t="s">
        <v>747</v>
      </c>
      <c r="C856" s="209" t="s">
        <v>502</v>
      </c>
      <c r="D856" s="209" t="s">
        <v>1600</v>
      </c>
      <c r="E856" s="209"/>
      <c r="F856" s="215">
        <v>37074.400000000001</v>
      </c>
      <c r="G856" s="203">
        <v>0</v>
      </c>
      <c r="H856" s="215">
        <f t="shared" si="227"/>
        <v>98865.15</v>
      </c>
      <c r="I856" s="203">
        <f t="shared" si="227"/>
        <v>0</v>
      </c>
      <c r="J856" s="216">
        <f t="shared" si="228"/>
        <v>61790.749999999993</v>
      </c>
      <c r="K856" s="204">
        <f t="shared" si="229"/>
        <v>0</v>
      </c>
    </row>
    <row r="857" spans="1:11" s="97" customFormat="1" x14ac:dyDescent="0.2">
      <c r="A857" s="202" t="s">
        <v>1598</v>
      </c>
      <c r="B857" s="209" t="s">
        <v>747</v>
      </c>
      <c r="C857" s="209" t="s">
        <v>502</v>
      </c>
      <c r="D857" s="209" t="s">
        <v>1601</v>
      </c>
      <c r="E857" s="209"/>
      <c r="F857" s="215">
        <v>37074.400000000001</v>
      </c>
      <c r="G857" s="203">
        <v>0</v>
      </c>
      <c r="H857" s="215">
        <f t="shared" si="227"/>
        <v>98865.15</v>
      </c>
      <c r="I857" s="203">
        <f t="shared" si="227"/>
        <v>0</v>
      </c>
      <c r="J857" s="216">
        <f t="shared" si="228"/>
        <v>61790.749999999993</v>
      </c>
      <c r="K857" s="204">
        <f t="shared" si="229"/>
        <v>0</v>
      </c>
    </row>
    <row r="858" spans="1:11" s="97" customFormat="1" x14ac:dyDescent="0.2">
      <c r="A858" s="202" t="s">
        <v>1355</v>
      </c>
      <c r="B858" s="209" t="s">
        <v>747</v>
      </c>
      <c r="C858" s="209" t="s">
        <v>502</v>
      </c>
      <c r="D858" s="209" t="s">
        <v>1601</v>
      </c>
      <c r="E858" s="209" t="s">
        <v>824</v>
      </c>
      <c r="F858" s="215">
        <v>37074.400000000001</v>
      </c>
      <c r="G858" s="203">
        <v>0</v>
      </c>
      <c r="H858" s="215">
        <f t="shared" si="227"/>
        <v>98865.15</v>
      </c>
      <c r="I858" s="203">
        <f t="shared" si="227"/>
        <v>0</v>
      </c>
      <c r="J858" s="216">
        <f t="shared" si="228"/>
        <v>61790.749999999993</v>
      </c>
      <c r="K858" s="204">
        <f t="shared" si="229"/>
        <v>0</v>
      </c>
    </row>
    <row r="859" spans="1:11" s="97" customFormat="1" x14ac:dyDescent="0.2">
      <c r="A859" s="202" t="s">
        <v>823</v>
      </c>
      <c r="B859" s="209" t="s">
        <v>747</v>
      </c>
      <c r="C859" s="209" t="s">
        <v>502</v>
      </c>
      <c r="D859" s="209" t="s">
        <v>1601</v>
      </c>
      <c r="E859" s="209" t="s">
        <v>821</v>
      </c>
      <c r="F859" s="215">
        <v>37074.400000000001</v>
      </c>
      <c r="G859" s="203">
        <v>0</v>
      </c>
      <c r="H859" s="215">
        <f>'Ведомственная 2020'!H803</f>
        <v>98865.15</v>
      </c>
      <c r="I859" s="203">
        <v>0</v>
      </c>
      <c r="J859" s="216">
        <f t="shared" si="228"/>
        <v>61790.749999999993</v>
      </c>
      <c r="K859" s="204">
        <f t="shared" si="229"/>
        <v>0</v>
      </c>
    </row>
    <row r="860" spans="1:11" x14ac:dyDescent="0.2">
      <c r="A860" s="202" t="s">
        <v>924</v>
      </c>
      <c r="B860" s="209" t="s">
        <v>747</v>
      </c>
      <c r="C860" s="209" t="s">
        <v>531</v>
      </c>
      <c r="D860" s="209"/>
      <c r="E860" s="209"/>
      <c r="F860" s="215">
        <v>6608.5</v>
      </c>
      <c r="G860" s="203">
        <v>0</v>
      </c>
      <c r="H860" s="215">
        <f t="shared" ref="H860:I861" si="230">H861</f>
        <v>5729.1999999999989</v>
      </c>
      <c r="I860" s="203">
        <f t="shared" si="230"/>
        <v>0</v>
      </c>
      <c r="J860" s="216">
        <f t="shared" si="225"/>
        <v>-879.30000000000109</v>
      </c>
      <c r="K860" s="204">
        <f t="shared" si="226"/>
        <v>0</v>
      </c>
    </row>
    <row r="861" spans="1:11" x14ac:dyDescent="0.2">
      <c r="A861" s="202" t="s">
        <v>923</v>
      </c>
      <c r="B861" s="209" t="s">
        <v>747</v>
      </c>
      <c r="C861" s="209" t="s">
        <v>531</v>
      </c>
      <c r="D861" s="209" t="s">
        <v>922</v>
      </c>
      <c r="E861" s="209"/>
      <c r="F861" s="215">
        <v>6608.5</v>
      </c>
      <c r="G861" s="203">
        <v>0</v>
      </c>
      <c r="H861" s="215">
        <f>H862+H879</f>
        <v>5729.1999999999989</v>
      </c>
      <c r="I861" s="203">
        <f t="shared" si="230"/>
        <v>0</v>
      </c>
      <c r="J861" s="216">
        <f t="shared" si="225"/>
        <v>-879.30000000000109</v>
      </c>
      <c r="K861" s="204">
        <f t="shared" si="226"/>
        <v>0</v>
      </c>
    </row>
    <row r="862" spans="1:11" x14ac:dyDescent="0.2">
      <c r="A862" s="202" t="s">
        <v>921</v>
      </c>
      <c r="B862" s="209" t="s">
        <v>747</v>
      </c>
      <c r="C862" s="209" t="s">
        <v>531</v>
      </c>
      <c r="D862" s="209" t="s">
        <v>920</v>
      </c>
      <c r="E862" s="209"/>
      <c r="F862" s="215">
        <v>6388.5</v>
      </c>
      <c r="G862" s="203">
        <v>0</v>
      </c>
      <c r="H862" s="215">
        <f>H875+H863</f>
        <v>5509.1999999999989</v>
      </c>
      <c r="I862" s="203">
        <f>I875</f>
        <v>0</v>
      </c>
      <c r="J862" s="216">
        <f t="shared" si="225"/>
        <v>-879.30000000000109</v>
      </c>
      <c r="K862" s="204">
        <f t="shared" si="226"/>
        <v>0</v>
      </c>
    </row>
    <row r="863" spans="1:11" s="242" customFormat="1" ht="22.5" x14ac:dyDescent="0.2">
      <c r="A863" s="202" t="s">
        <v>1015</v>
      </c>
      <c r="B863" s="209" t="s">
        <v>747</v>
      </c>
      <c r="C863" s="209" t="s">
        <v>531</v>
      </c>
      <c r="D863" s="209" t="s">
        <v>1014</v>
      </c>
      <c r="E863" s="209"/>
      <c r="F863" s="215">
        <v>6338.5</v>
      </c>
      <c r="G863" s="203">
        <v>0</v>
      </c>
      <c r="H863" s="215">
        <f>H864+H867+H870</f>
        <v>5459.1999999999989</v>
      </c>
      <c r="I863" s="203">
        <f t="shared" ref="H863:I865" si="231">I864</f>
        <v>0</v>
      </c>
      <c r="J863" s="216">
        <f t="shared" ref="J863:J866" si="232">H863-F863</f>
        <v>-879.30000000000109</v>
      </c>
      <c r="K863" s="204">
        <f t="shared" ref="K863:K866" si="233">I863-G863</f>
        <v>0</v>
      </c>
    </row>
    <row r="864" spans="1:11" s="242" customFormat="1" x14ac:dyDescent="0.2">
      <c r="A864" s="202" t="s">
        <v>917</v>
      </c>
      <c r="B864" s="209" t="s">
        <v>747</v>
      </c>
      <c r="C864" s="209" t="s">
        <v>531</v>
      </c>
      <c r="D864" s="209" t="s">
        <v>1377</v>
      </c>
      <c r="E864" s="209"/>
      <c r="F864" s="215">
        <v>1659.9</v>
      </c>
      <c r="G864" s="203">
        <v>0</v>
      </c>
      <c r="H864" s="215">
        <f t="shared" si="231"/>
        <v>1659.9</v>
      </c>
      <c r="I864" s="203">
        <f t="shared" si="231"/>
        <v>0</v>
      </c>
      <c r="J864" s="216">
        <f t="shared" si="232"/>
        <v>0</v>
      </c>
      <c r="K864" s="204">
        <f t="shared" si="233"/>
        <v>0</v>
      </c>
    </row>
    <row r="865" spans="1:11" s="242" customFormat="1" x14ac:dyDescent="0.2">
      <c r="A865" s="202" t="s">
        <v>1347</v>
      </c>
      <c r="B865" s="209" t="s">
        <v>747</v>
      </c>
      <c r="C865" s="209" t="s">
        <v>531</v>
      </c>
      <c r="D865" s="209" t="s">
        <v>1377</v>
      </c>
      <c r="E865" s="209">
        <v>200</v>
      </c>
      <c r="F865" s="215">
        <v>1659.9</v>
      </c>
      <c r="G865" s="203">
        <v>0</v>
      </c>
      <c r="H865" s="215">
        <f t="shared" si="231"/>
        <v>1659.9</v>
      </c>
      <c r="I865" s="203">
        <f t="shared" si="231"/>
        <v>0</v>
      </c>
      <c r="J865" s="216">
        <f t="shared" si="232"/>
        <v>0</v>
      </c>
      <c r="K865" s="204">
        <f t="shared" si="233"/>
        <v>0</v>
      </c>
    </row>
    <row r="866" spans="1:11" s="242" customFormat="1" ht="22.5" x14ac:dyDescent="0.2">
      <c r="A866" s="202" t="s">
        <v>534</v>
      </c>
      <c r="B866" s="209" t="s">
        <v>747</v>
      </c>
      <c r="C866" s="209" t="s">
        <v>531</v>
      </c>
      <c r="D866" s="209" t="s">
        <v>1377</v>
      </c>
      <c r="E866" s="209">
        <v>240</v>
      </c>
      <c r="F866" s="215">
        <v>1659.9</v>
      </c>
      <c r="G866" s="203">
        <v>0</v>
      </c>
      <c r="H866" s="215">
        <f>'Ведомственная 2020'!H810</f>
        <v>1659.9</v>
      </c>
      <c r="I866" s="203">
        <v>0</v>
      </c>
      <c r="J866" s="216">
        <f t="shared" si="232"/>
        <v>0</v>
      </c>
      <c r="K866" s="204">
        <f t="shared" si="233"/>
        <v>0</v>
      </c>
    </row>
    <row r="867" spans="1:11" s="242" customFormat="1" ht="22.5" x14ac:dyDescent="0.2">
      <c r="A867" s="202" t="s">
        <v>915</v>
      </c>
      <c r="B867" s="209" t="s">
        <v>747</v>
      </c>
      <c r="C867" s="209" t="s">
        <v>531</v>
      </c>
      <c r="D867" s="209" t="s">
        <v>1386</v>
      </c>
      <c r="E867" s="209"/>
      <c r="F867" s="215">
        <v>3741.7</v>
      </c>
      <c r="G867" s="203">
        <v>0</v>
      </c>
      <c r="H867" s="215">
        <f t="shared" ref="H867:H868" si="234">H868</f>
        <v>2862.3999999999996</v>
      </c>
      <c r="I867" s="203">
        <v>0</v>
      </c>
      <c r="J867" s="216">
        <f t="shared" ref="J867:J869" si="235">H867-F867</f>
        <v>-879.30000000000018</v>
      </c>
      <c r="K867" s="204">
        <f t="shared" ref="K867:K869" si="236">I867-G867</f>
        <v>0</v>
      </c>
    </row>
    <row r="868" spans="1:11" s="242" customFormat="1" x14ac:dyDescent="0.2">
      <c r="A868" s="202" t="s">
        <v>1347</v>
      </c>
      <c r="B868" s="209" t="s">
        <v>747</v>
      </c>
      <c r="C868" s="209" t="s">
        <v>531</v>
      </c>
      <c r="D868" s="209" t="s">
        <v>1386</v>
      </c>
      <c r="E868" s="209">
        <v>200</v>
      </c>
      <c r="F868" s="215">
        <v>3741.7</v>
      </c>
      <c r="G868" s="203">
        <v>0</v>
      </c>
      <c r="H868" s="215">
        <f t="shared" si="234"/>
        <v>2862.3999999999996</v>
      </c>
      <c r="I868" s="203">
        <v>0</v>
      </c>
      <c r="J868" s="216">
        <f t="shared" si="235"/>
        <v>-879.30000000000018</v>
      </c>
      <c r="K868" s="204">
        <f t="shared" si="236"/>
        <v>0</v>
      </c>
    </row>
    <row r="869" spans="1:11" s="242" customFormat="1" ht="22.5" x14ac:dyDescent="0.2">
      <c r="A869" s="202" t="s">
        <v>534</v>
      </c>
      <c r="B869" s="209" t="s">
        <v>747</v>
      </c>
      <c r="C869" s="209" t="s">
        <v>531</v>
      </c>
      <c r="D869" s="209" t="s">
        <v>1386</v>
      </c>
      <c r="E869" s="209">
        <v>240</v>
      </c>
      <c r="F869" s="215">
        <v>3741.7</v>
      </c>
      <c r="G869" s="203">
        <v>0</v>
      </c>
      <c r="H869" s="215">
        <f>'Ведомственная 2020'!H813</f>
        <v>2862.3999999999996</v>
      </c>
      <c r="I869" s="203">
        <v>0</v>
      </c>
      <c r="J869" s="216">
        <f t="shared" si="235"/>
        <v>-879.30000000000018</v>
      </c>
      <c r="K869" s="204">
        <f t="shared" si="236"/>
        <v>0</v>
      </c>
    </row>
    <row r="870" spans="1:11" s="242" customFormat="1" ht="22.5" x14ac:dyDescent="0.2">
      <c r="A870" s="202" t="s">
        <v>1529</v>
      </c>
      <c r="B870" s="209" t="s">
        <v>747</v>
      </c>
      <c r="C870" s="209" t="s">
        <v>531</v>
      </c>
      <c r="D870" s="209" t="s">
        <v>1010</v>
      </c>
      <c r="E870" s="209"/>
      <c r="F870" s="215">
        <v>936.9</v>
      </c>
      <c r="G870" s="203">
        <v>0</v>
      </c>
      <c r="H870" s="215">
        <f>H871+H873</f>
        <v>936.9</v>
      </c>
      <c r="I870" s="203">
        <f>I871+I873</f>
        <v>0</v>
      </c>
      <c r="J870" s="216">
        <f t="shared" ref="J870:J872" si="237">H870-F870</f>
        <v>0</v>
      </c>
      <c r="K870" s="204">
        <f t="shared" ref="K870:K872" si="238">I870-G870</f>
        <v>0</v>
      </c>
    </row>
    <row r="871" spans="1:11" s="242" customFormat="1" ht="33.75" x14ac:dyDescent="0.2">
      <c r="A871" s="202" t="s">
        <v>1348</v>
      </c>
      <c r="B871" s="209" t="s">
        <v>747</v>
      </c>
      <c r="C871" s="209" t="s">
        <v>531</v>
      </c>
      <c r="D871" s="209" t="s">
        <v>1010</v>
      </c>
      <c r="E871" s="209">
        <v>100</v>
      </c>
      <c r="F871" s="215">
        <v>177.5</v>
      </c>
      <c r="G871" s="203">
        <v>0</v>
      </c>
      <c r="H871" s="215">
        <f>H872</f>
        <v>177.5</v>
      </c>
      <c r="I871" s="203">
        <f>I872</f>
        <v>0</v>
      </c>
      <c r="J871" s="216">
        <f t="shared" si="237"/>
        <v>0</v>
      </c>
      <c r="K871" s="204">
        <f t="shared" si="238"/>
        <v>0</v>
      </c>
    </row>
    <row r="872" spans="1:11" s="242" customFormat="1" x14ac:dyDescent="0.2">
      <c r="A872" s="202" t="s">
        <v>555</v>
      </c>
      <c r="B872" s="209" t="s">
        <v>747</v>
      </c>
      <c r="C872" s="209" t="s">
        <v>531</v>
      </c>
      <c r="D872" s="209" t="s">
        <v>1010</v>
      </c>
      <c r="E872" s="209">
        <v>110</v>
      </c>
      <c r="F872" s="215">
        <v>177.5</v>
      </c>
      <c r="G872" s="203">
        <v>0</v>
      </c>
      <c r="H872" s="215">
        <f>'Ведомственная 2020'!H816</f>
        <v>177.5</v>
      </c>
      <c r="I872" s="203">
        <v>0</v>
      </c>
      <c r="J872" s="216">
        <f t="shared" si="237"/>
        <v>0</v>
      </c>
      <c r="K872" s="204">
        <f t="shared" si="238"/>
        <v>0</v>
      </c>
    </row>
    <row r="873" spans="1:11" s="389" customFormat="1" ht="22.5" x14ac:dyDescent="0.2">
      <c r="A873" s="202" t="s">
        <v>547</v>
      </c>
      <c r="B873" s="209" t="s">
        <v>747</v>
      </c>
      <c r="C873" s="209" t="s">
        <v>531</v>
      </c>
      <c r="D873" s="209" t="s">
        <v>1010</v>
      </c>
      <c r="E873" s="209">
        <v>600</v>
      </c>
      <c r="F873" s="215">
        <v>759.4</v>
      </c>
      <c r="G873" s="203">
        <v>0</v>
      </c>
      <c r="H873" s="215">
        <f>H874</f>
        <v>759.4</v>
      </c>
      <c r="I873" s="203">
        <f>I874</f>
        <v>0</v>
      </c>
      <c r="J873" s="216">
        <f t="shared" ref="J873:J874" si="239">H873-F873</f>
        <v>0</v>
      </c>
      <c r="K873" s="204">
        <f t="shared" ref="K873:K874" si="240">I873-G873</f>
        <v>0</v>
      </c>
    </row>
    <row r="874" spans="1:11" s="389" customFormat="1" x14ac:dyDescent="0.2">
      <c r="A874" s="202" t="s">
        <v>571</v>
      </c>
      <c r="B874" s="209" t="s">
        <v>747</v>
      </c>
      <c r="C874" s="209" t="s">
        <v>531</v>
      </c>
      <c r="D874" s="209" t="s">
        <v>1010</v>
      </c>
      <c r="E874" s="209">
        <v>610</v>
      </c>
      <c r="F874" s="215">
        <v>759.4</v>
      </c>
      <c r="G874" s="203">
        <v>0</v>
      </c>
      <c r="H874" s="215">
        <f>'Ведомственная 2020'!H818</f>
        <v>759.4</v>
      </c>
      <c r="I874" s="203">
        <v>0</v>
      </c>
      <c r="J874" s="216">
        <f t="shared" si="239"/>
        <v>0</v>
      </c>
      <c r="K874" s="204">
        <f t="shared" si="240"/>
        <v>0</v>
      </c>
    </row>
    <row r="875" spans="1:11" x14ac:dyDescent="0.2">
      <c r="A875" s="202" t="s">
        <v>919</v>
      </c>
      <c r="B875" s="209" t="s">
        <v>747</v>
      </c>
      <c r="C875" s="209" t="s">
        <v>531</v>
      </c>
      <c r="D875" s="209" t="s">
        <v>918</v>
      </c>
      <c r="E875" s="209"/>
      <c r="F875" s="215">
        <v>50</v>
      </c>
      <c r="G875" s="203">
        <v>0</v>
      </c>
      <c r="H875" s="215">
        <f t="shared" ref="H875:I877" si="241">H876</f>
        <v>50</v>
      </c>
      <c r="I875" s="203">
        <f t="shared" si="241"/>
        <v>0</v>
      </c>
      <c r="J875" s="216">
        <f t="shared" si="225"/>
        <v>0</v>
      </c>
      <c r="K875" s="204">
        <f t="shared" si="226"/>
        <v>0</v>
      </c>
    </row>
    <row r="876" spans="1:11" x14ac:dyDescent="0.2">
      <c r="A876" s="202" t="s">
        <v>917</v>
      </c>
      <c r="B876" s="209" t="s">
        <v>747</v>
      </c>
      <c r="C876" s="209" t="s">
        <v>531</v>
      </c>
      <c r="D876" s="209" t="s">
        <v>916</v>
      </c>
      <c r="E876" s="209"/>
      <c r="F876" s="215">
        <v>50</v>
      </c>
      <c r="G876" s="203">
        <v>0</v>
      </c>
      <c r="H876" s="215">
        <f t="shared" si="241"/>
        <v>50</v>
      </c>
      <c r="I876" s="203">
        <f t="shared" si="241"/>
        <v>0</v>
      </c>
      <c r="J876" s="216">
        <f t="shared" si="225"/>
        <v>0</v>
      </c>
      <c r="K876" s="204">
        <f t="shared" si="226"/>
        <v>0</v>
      </c>
    </row>
    <row r="877" spans="1:11" x14ac:dyDescent="0.2">
      <c r="A877" s="202" t="s">
        <v>1347</v>
      </c>
      <c r="B877" s="209" t="s">
        <v>747</v>
      </c>
      <c r="C877" s="209" t="s">
        <v>531</v>
      </c>
      <c r="D877" s="209" t="s">
        <v>916</v>
      </c>
      <c r="E877" s="209" t="s">
        <v>535</v>
      </c>
      <c r="F877" s="215">
        <v>50</v>
      </c>
      <c r="G877" s="203">
        <v>0</v>
      </c>
      <c r="H877" s="215">
        <f t="shared" si="241"/>
        <v>50</v>
      </c>
      <c r="I877" s="203">
        <f t="shared" si="241"/>
        <v>0</v>
      </c>
      <c r="J877" s="216">
        <f t="shared" si="225"/>
        <v>0</v>
      </c>
      <c r="K877" s="204">
        <f t="shared" si="226"/>
        <v>0</v>
      </c>
    </row>
    <row r="878" spans="1:11" ht="22.5" x14ac:dyDescent="0.2">
      <c r="A878" s="202" t="s">
        <v>534</v>
      </c>
      <c r="B878" s="209" t="s">
        <v>747</v>
      </c>
      <c r="C878" s="209" t="s">
        <v>531</v>
      </c>
      <c r="D878" s="209" t="s">
        <v>916</v>
      </c>
      <c r="E878" s="209" t="s">
        <v>529</v>
      </c>
      <c r="F878" s="215">
        <v>50</v>
      </c>
      <c r="G878" s="203">
        <v>0</v>
      </c>
      <c r="H878" s="215">
        <f>'Ведомственная 2020'!H822</f>
        <v>50</v>
      </c>
      <c r="I878" s="203">
        <v>0</v>
      </c>
      <c r="J878" s="216">
        <f t="shared" si="225"/>
        <v>0</v>
      </c>
      <c r="K878" s="204">
        <f t="shared" si="226"/>
        <v>0</v>
      </c>
    </row>
    <row r="879" spans="1:11" s="242" customFormat="1" x14ac:dyDescent="0.2">
      <c r="A879" s="202" t="s">
        <v>1380</v>
      </c>
      <c r="B879" s="209" t="s">
        <v>747</v>
      </c>
      <c r="C879" s="209" t="s">
        <v>531</v>
      </c>
      <c r="D879" s="209" t="s">
        <v>1383</v>
      </c>
      <c r="E879" s="209"/>
      <c r="F879" s="215">
        <v>220</v>
      </c>
      <c r="G879" s="203">
        <v>0</v>
      </c>
      <c r="H879" s="215">
        <f t="shared" ref="H879:I882" si="242">H880</f>
        <v>220</v>
      </c>
      <c r="I879" s="203">
        <f t="shared" si="242"/>
        <v>0</v>
      </c>
      <c r="J879" s="216">
        <f t="shared" ref="J879:J883" si="243">H879-F879</f>
        <v>0</v>
      </c>
      <c r="K879" s="204">
        <f t="shared" ref="K879:K883" si="244">I879-G879</f>
        <v>0</v>
      </c>
    </row>
    <row r="880" spans="1:11" s="242" customFormat="1" ht="22.5" x14ac:dyDescent="0.2">
      <c r="A880" s="202" t="s">
        <v>1381</v>
      </c>
      <c r="B880" s="209" t="s">
        <v>747</v>
      </c>
      <c r="C880" s="209" t="s">
        <v>531</v>
      </c>
      <c r="D880" s="209" t="s">
        <v>1384</v>
      </c>
      <c r="E880" s="209"/>
      <c r="F880" s="215">
        <v>220</v>
      </c>
      <c r="G880" s="203">
        <v>0</v>
      </c>
      <c r="H880" s="215">
        <f t="shared" si="242"/>
        <v>220</v>
      </c>
      <c r="I880" s="203">
        <f t="shared" si="242"/>
        <v>0</v>
      </c>
      <c r="J880" s="216">
        <f t="shared" si="243"/>
        <v>0</v>
      </c>
      <c r="K880" s="204">
        <f t="shared" si="244"/>
        <v>0</v>
      </c>
    </row>
    <row r="881" spans="1:11" s="242" customFormat="1" ht="22.5" x14ac:dyDescent="0.2">
      <c r="A881" s="202" t="s">
        <v>1382</v>
      </c>
      <c r="B881" s="209" t="s">
        <v>747</v>
      </c>
      <c r="C881" s="209" t="s">
        <v>531</v>
      </c>
      <c r="D881" s="209" t="s">
        <v>1385</v>
      </c>
      <c r="E881" s="209"/>
      <c r="F881" s="215">
        <v>220</v>
      </c>
      <c r="G881" s="203">
        <v>0</v>
      </c>
      <c r="H881" s="215">
        <f t="shared" si="242"/>
        <v>220</v>
      </c>
      <c r="I881" s="203">
        <f t="shared" si="242"/>
        <v>0</v>
      </c>
      <c r="J881" s="216">
        <f t="shared" si="243"/>
        <v>0</v>
      </c>
      <c r="K881" s="204">
        <f t="shared" si="244"/>
        <v>0</v>
      </c>
    </row>
    <row r="882" spans="1:11" s="242" customFormat="1" x14ac:dyDescent="0.2">
      <c r="A882" s="202" t="s">
        <v>1347</v>
      </c>
      <c r="B882" s="209" t="s">
        <v>747</v>
      </c>
      <c r="C882" s="209" t="s">
        <v>531</v>
      </c>
      <c r="D882" s="209" t="s">
        <v>1385</v>
      </c>
      <c r="E882" s="209" t="s">
        <v>535</v>
      </c>
      <c r="F882" s="215">
        <v>220</v>
      </c>
      <c r="G882" s="203">
        <v>0</v>
      </c>
      <c r="H882" s="215">
        <f t="shared" si="242"/>
        <v>220</v>
      </c>
      <c r="I882" s="203">
        <f t="shared" si="242"/>
        <v>0</v>
      </c>
      <c r="J882" s="216">
        <f t="shared" si="243"/>
        <v>0</v>
      </c>
      <c r="K882" s="204">
        <f t="shared" si="244"/>
        <v>0</v>
      </c>
    </row>
    <row r="883" spans="1:11" s="242" customFormat="1" ht="22.5" x14ac:dyDescent="0.2">
      <c r="A883" s="202" t="s">
        <v>534</v>
      </c>
      <c r="B883" s="209" t="s">
        <v>747</v>
      </c>
      <c r="C883" s="209" t="s">
        <v>531</v>
      </c>
      <c r="D883" s="209" t="s">
        <v>1385</v>
      </c>
      <c r="E883" s="209" t="s">
        <v>529</v>
      </c>
      <c r="F883" s="215">
        <v>220</v>
      </c>
      <c r="G883" s="203">
        <v>0</v>
      </c>
      <c r="H883" s="215">
        <f>'Ведомственная 2020'!H827</f>
        <v>220</v>
      </c>
      <c r="I883" s="203">
        <v>0</v>
      </c>
      <c r="J883" s="216">
        <f t="shared" si="243"/>
        <v>0</v>
      </c>
      <c r="K883" s="204">
        <f t="shared" si="244"/>
        <v>0</v>
      </c>
    </row>
    <row r="884" spans="1:11" s="97" customFormat="1" x14ac:dyDescent="0.2">
      <c r="A884" s="199" t="s">
        <v>612</v>
      </c>
      <c r="B884" s="212" t="s">
        <v>609</v>
      </c>
      <c r="C884" s="212"/>
      <c r="D884" s="212"/>
      <c r="E884" s="212"/>
      <c r="F884" s="213">
        <v>6808798.7000000002</v>
      </c>
      <c r="G884" s="200">
        <v>4144190</v>
      </c>
      <c r="H884" s="213">
        <f>H885+H928+H997+H1021+H1028+H1050</f>
        <v>6966535.8000000017</v>
      </c>
      <c r="I884" s="200">
        <f>I885+I928+I997+I1021+I1028+I1050</f>
        <v>4389299.4000000004</v>
      </c>
      <c r="J884" s="214">
        <f t="shared" si="225"/>
        <v>157737.10000000149</v>
      </c>
      <c r="K884" s="201">
        <f t="shared" si="226"/>
        <v>245109.40000000037</v>
      </c>
    </row>
    <row r="885" spans="1:11" x14ac:dyDescent="0.2">
      <c r="A885" s="202" t="s">
        <v>728</v>
      </c>
      <c r="B885" s="209" t="s">
        <v>609</v>
      </c>
      <c r="C885" s="209" t="s">
        <v>498</v>
      </c>
      <c r="D885" s="209"/>
      <c r="E885" s="209"/>
      <c r="F885" s="215">
        <v>2233352.2999999998</v>
      </c>
      <c r="G885" s="203">
        <v>1531764</v>
      </c>
      <c r="H885" s="215">
        <f>H886+H913+H919</f>
        <v>2104870.2000000002</v>
      </c>
      <c r="I885" s="203">
        <f>I886+I913+I919</f>
        <v>1545875</v>
      </c>
      <c r="J885" s="216">
        <f t="shared" si="225"/>
        <v>-128482.09999999963</v>
      </c>
      <c r="K885" s="204">
        <f t="shared" si="226"/>
        <v>14111</v>
      </c>
    </row>
    <row r="886" spans="1:11" x14ac:dyDescent="0.2">
      <c r="A886" s="202" t="s">
        <v>666</v>
      </c>
      <c r="B886" s="209" t="s">
        <v>609</v>
      </c>
      <c r="C886" s="209" t="s">
        <v>498</v>
      </c>
      <c r="D886" s="209" t="s">
        <v>665</v>
      </c>
      <c r="E886" s="209"/>
      <c r="F886" s="215">
        <v>2077930.5</v>
      </c>
      <c r="G886" s="203">
        <v>1531764</v>
      </c>
      <c r="H886" s="215">
        <f>H887</f>
        <v>2093090.2</v>
      </c>
      <c r="I886" s="203">
        <f>I887</f>
        <v>1545875</v>
      </c>
      <c r="J886" s="216">
        <f t="shared" si="225"/>
        <v>15159.699999999953</v>
      </c>
      <c r="K886" s="204">
        <f t="shared" si="226"/>
        <v>14111</v>
      </c>
    </row>
    <row r="887" spans="1:11" x14ac:dyDescent="0.2">
      <c r="A887" s="202" t="s">
        <v>664</v>
      </c>
      <c r="B887" s="209" t="s">
        <v>609</v>
      </c>
      <c r="C887" s="209" t="s">
        <v>498</v>
      </c>
      <c r="D887" s="209" t="s">
        <v>663</v>
      </c>
      <c r="E887" s="209"/>
      <c r="F887" s="215">
        <v>2077930.5</v>
      </c>
      <c r="G887" s="203">
        <v>1531764</v>
      </c>
      <c r="H887" s="215">
        <f>H888+H906</f>
        <v>2093090.2</v>
      </c>
      <c r="I887" s="203">
        <f>I888</f>
        <v>1545875</v>
      </c>
      <c r="J887" s="216">
        <f t="shared" si="225"/>
        <v>15159.699999999953</v>
      </c>
      <c r="K887" s="204">
        <f t="shared" si="226"/>
        <v>14111</v>
      </c>
    </row>
    <row r="888" spans="1:11" ht="22.5" x14ac:dyDescent="0.2">
      <c r="A888" s="202" t="s">
        <v>662</v>
      </c>
      <c r="B888" s="209" t="s">
        <v>609</v>
      </c>
      <c r="C888" s="209" t="s">
        <v>498</v>
      </c>
      <c r="D888" s="209" t="s">
        <v>661</v>
      </c>
      <c r="E888" s="209"/>
      <c r="F888" s="215">
        <v>2063124.3</v>
      </c>
      <c r="G888" s="203">
        <v>1531764</v>
      </c>
      <c r="H888" s="215">
        <f>H889+H895+H899+H902</f>
        <v>2074426</v>
      </c>
      <c r="I888" s="203">
        <f>I889+I895+I899+I902</f>
        <v>1545875</v>
      </c>
      <c r="J888" s="216">
        <f t="shared" si="225"/>
        <v>11301.699999999953</v>
      </c>
      <c r="K888" s="204">
        <f t="shared" si="226"/>
        <v>14111</v>
      </c>
    </row>
    <row r="889" spans="1:11" ht="22.5" x14ac:dyDescent="0.2">
      <c r="A889" s="202" t="s">
        <v>727</v>
      </c>
      <c r="B889" s="209" t="s">
        <v>609</v>
      </c>
      <c r="C889" s="209" t="s">
        <v>498</v>
      </c>
      <c r="D889" s="209" t="s">
        <v>726</v>
      </c>
      <c r="E889" s="209"/>
      <c r="F889" s="215">
        <v>465470</v>
      </c>
      <c r="G889" s="203">
        <v>0</v>
      </c>
      <c r="H889" s="215">
        <f>H890+H892</f>
        <v>487115.69999999995</v>
      </c>
      <c r="I889" s="203">
        <f>I890+I892</f>
        <v>0</v>
      </c>
      <c r="J889" s="216">
        <f t="shared" si="225"/>
        <v>21645.699999999953</v>
      </c>
      <c r="K889" s="204">
        <f t="shared" si="226"/>
        <v>0</v>
      </c>
    </row>
    <row r="890" spans="1:11" x14ac:dyDescent="0.2">
      <c r="A890" s="202" t="s">
        <v>1347</v>
      </c>
      <c r="B890" s="209" t="s">
        <v>609</v>
      </c>
      <c r="C890" s="209" t="s">
        <v>498</v>
      </c>
      <c r="D890" s="209" t="s">
        <v>726</v>
      </c>
      <c r="E890" s="209" t="s">
        <v>535</v>
      </c>
      <c r="F890" s="215">
        <v>13464.1</v>
      </c>
      <c r="G890" s="203">
        <v>0</v>
      </c>
      <c r="H890" s="215">
        <f>H891</f>
        <v>13464.1</v>
      </c>
      <c r="I890" s="203">
        <v>0</v>
      </c>
      <c r="J890" s="216">
        <f t="shared" si="225"/>
        <v>0</v>
      </c>
      <c r="K890" s="204">
        <f t="shared" si="226"/>
        <v>0</v>
      </c>
    </row>
    <row r="891" spans="1:11" ht="22.5" x14ac:dyDescent="0.2">
      <c r="A891" s="202" t="s">
        <v>534</v>
      </c>
      <c r="B891" s="209" t="s">
        <v>609</v>
      </c>
      <c r="C891" s="209" t="s">
        <v>498</v>
      </c>
      <c r="D891" s="209" t="s">
        <v>726</v>
      </c>
      <c r="E891" s="209" t="s">
        <v>529</v>
      </c>
      <c r="F891" s="215">
        <v>13464.1</v>
      </c>
      <c r="G891" s="203">
        <v>0</v>
      </c>
      <c r="H891" s="215">
        <f>'Ведомственная 2020'!H835</f>
        <v>13464.1</v>
      </c>
      <c r="I891" s="203">
        <v>0</v>
      </c>
      <c r="J891" s="216">
        <f t="shared" si="225"/>
        <v>0</v>
      </c>
      <c r="K891" s="204">
        <f t="shared" si="226"/>
        <v>0</v>
      </c>
    </row>
    <row r="892" spans="1:11" ht="22.5" x14ac:dyDescent="0.2">
      <c r="A892" s="202" t="s">
        <v>547</v>
      </c>
      <c r="B892" s="209" t="s">
        <v>609</v>
      </c>
      <c r="C892" s="209" t="s">
        <v>498</v>
      </c>
      <c r="D892" s="209" t="s">
        <v>726</v>
      </c>
      <c r="E892" s="209" t="s">
        <v>519</v>
      </c>
      <c r="F892" s="215">
        <v>452005.9</v>
      </c>
      <c r="G892" s="203">
        <v>0</v>
      </c>
      <c r="H892" s="215">
        <f>H893+H894</f>
        <v>473651.6</v>
      </c>
      <c r="I892" s="203">
        <f>I893+I894</f>
        <v>0</v>
      </c>
      <c r="J892" s="216">
        <f t="shared" si="225"/>
        <v>21645.699999999953</v>
      </c>
      <c r="K892" s="204">
        <f t="shared" si="226"/>
        <v>0</v>
      </c>
    </row>
    <row r="893" spans="1:11" x14ac:dyDescent="0.2">
      <c r="A893" s="202" t="s">
        <v>571</v>
      </c>
      <c r="B893" s="209" t="s">
        <v>609</v>
      </c>
      <c r="C893" s="209" t="s">
        <v>498</v>
      </c>
      <c r="D893" s="209" t="s">
        <v>726</v>
      </c>
      <c r="E893" s="209" t="s">
        <v>522</v>
      </c>
      <c r="F893" s="215">
        <v>393000.5</v>
      </c>
      <c r="G893" s="203">
        <v>0</v>
      </c>
      <c r="H893" s="215">
        <f>'Ведомственная 2020'!H1164</f>
        <v>410027.6</v>
      </c>
      <c r="I893" s="203">
        <v>0</v>
      </c>
      <c r="J893" s="216">
        <f t="shared" si="225"/>
        <v>17027.099999999977</v>
      </c>
      <c r="K893" s="204">
        <f t="shared" si="226"/>
        <v>0</v>
      </c>
    </row>
    <row r="894" spans="1:11" x14ac:dyDescent="0.2">
      <c r="A894" s="202" t="s">
        <v>546</v>
      </c>
      <c r="B894" s="209" t="s">
        <v>609</v>
      </c>
      <c r="C894" s="209" t="s">
        <v>498</v>
      </c>
      <c r="D894" s="209" t="s">
        <v>726</v>
      </c>
      <c r="E894" s="209" t="s">
        <v>544</v>
      </c>
      <c r="F894" s="215">
        <v>59005.4</v>
      </c>
      <c r="G894" s="203">
        <v>0</v>
      </c>
      <c r="H894" s="215">
        <f>'Ведомственная 2020'!H1165</f>
        <v>63624</v>
      </c>
      <c r="I894" s="203">
        <v>0</v>
      </c>
      <c r="J894" s="216">
        <f t="shared" si="225"/>
        <v>4618.5999999999985</v>
      </c>
      <c r="K894" s="204">
        <f t="shared" si="226"/>
        <v>0</v>
      </c>
    </row>
    <row r="895" spans="1:11" ht="56.25" x14ac:dyDescent="0.2">
      <c r="A895" s="202" t="s">
        <v>725</v>
      </c>
      <c r="B895" s="209" t="s">
        <v>609</v>
      </c>
      <c r="C895" s="209" t="s">
        <v>498</v>
      </c>
      <c r="D895" s="209" t="s">
        <v>724</v>
      </c>
      <c r="E895" s="209"/>
      <c r="F895" s="215">
        <v>1501775</v>
      </c>
      <c r="G895" s="203">
        <v>1501775</v>
      </c>
      <c r="H895" s="215">
        <f>H896</f>
        <v>1490318</v>
      </c>
      <c r="I895" s="203">
        <f>I896</f>
        <v>1490318</v>
      </c>
      <c r="J895" s="216">
        <f t="shared" si="225"/>
        <v>-11457</v>
      </c>
      <c r="K895" s="204">
        <f t="shared" si="226"/>
        <v>-11457</v>
      </c>
    </row>
    <row r="896" spans="1:11" ht="22.5" x14ac:dyDescent="0.2">
      <c r="A896" s="202" t="s">
        <v>547</v>
      </c>
      <c r="B896" s="209" t="s">
        <v>609</v>
      </c>
      <c r="C896" s="209" t="s">
        <v>498</v>
      </c>
      <c r="D896" s="209" t="s">
        <v>724</v>
      </c>
      <c r="E896" s="209" t="s">
        <v>519</v>
      </c>
      <c r="F896" s="215">
        <v>1501775</v>
      </c>
      <c r="G896" s="203">
        <v>1501775</v>
      </c>
      <c r="H896" s="215">
        <f>H897+H898</f>
        <v>1490318</v>
      </c>
      <c r="I896" s="203">
        <f>I897+I898</f>
        <v>1490318</v>
      </c>
      <c r="J896" s="216">
        <f t="shared" si="225"/>
        <v>-11457</v>
      </c>
      <c r="K896" s="204">
        <f t="shared" si="226"/>
        <v>-11457</v>
      </c>
    </row>
    <row r="897" spans="1:11" x14ac:dyDescent="0.2">
      <c r="A897" s="202" t="s">
        <v>571</v>
      </c>
      <c r="B897" s="209" t="s">
        <v>609</v>
      </c>
      <c r="C897" s="209" t="s">
        <v>498</v>
      </c>
      <c r="D897" s="209" t="s">
        <v>724</v>
      </c>
      <c r="E897" s="209" t="s">
        <v>522</v>
      </c>
      <c r="F897" s="215">
        <v>1314562</v>
      </c>
      <c r="G897" s="203">
        <v>1314562</v>
      </c>
      <c r="H897" s="215">
        <f>'Ведомственная 2020'!H1168</f>
        <v>1302932</v>
      </c>
      <c r="I897" s="203">
        <f>H897</f>
        <v>1302932</v>
      </c>
      <c r="J897" s="216">
        <f t="shared" si="225"/>
        <v>-11630</v>
      </c>
      <c r="K897" s="204">
        <f t="shared" si="226"/>
        <v>-11630</v>
      </c>
    </row>
    <row r="898" spans="1:11" x14ac:dyDescent="0.2">
      <c r="A898" s="202" t="s">
        <v>546</v>
      </c>
      <c r="B898" s="209" t="s">
        <v>609</v>
      </c>
      <c r="C898" s="209" t="s">
        <v>498</v>
      </c>
      <c r="D898" s="209" t="s">
        <v>724</v>
      </c>
      <c r="E898" s="209" t="s">
        <v>544</v>
      </c>
      <c r="F898" s="215">
        <v>187213</v>
      </c>
      <c r="G898" s="203">
        <v>187213</v>
      </c>
      <c r="H898" s="215">
        <f>'Ведомственная 2020'!H1169</f>
        <v>187386</v>
      </c>
      <c r="I898" s="203">
        <f>H898</f>
        <v>187386</v>
      </c>
      <c r="J898" s="216">
        <f t="shared" si="225"/>
        <v>173</v>
      </c>
      <c r="K898" s="204">
        <f t="shared" si="226"/>
        <v>173</v>
      </c>
    </row>
    <row r="899" spans="1:11" ht="45" x14ac:dyDescent="0.2">
      <c r="A899" s="202" t="s">
        <v>723</v>
      </c>
      <c r="B899" s="209" t="s">
        <v>609</v>
      </c>
      <c r="C899" s="209" t="s">
        <v>498</v>
      </c>
      <c r="D899" s="209" t="s">
        <v>722</v>
      </c>
      <c r="E899" s="209"/>
      <c r="F899" s="215">
        <v>29989</v>
      </c>
      <c r="G899" s="203">
        <v>29989</v>
      </c>
      <c r="H899" s="215">
        <f t="shared" ref="H899:I900" si="245">H900</f>
        <v>55557</v>
      </c>
      <c r="I899" s="203">
        <f t="shared" si="245"/>
        <v>55557</v>
      </c>
      <c r="J899" s="216">
        <f t="shared" si="225"/>
        <v>25568</v>
      </c>
      <c r="K899" s="204">
        <f t="shared" si="226"/>
        <v>25568</v>
      </c>
    </row>
    <row r="900" spans="1:11" ht="22.5" x14ac:dyDescent="0.2">
      <c r="A900" s="202" t="s">
        <v>547</v>
      </c>
      <c r="B900" s="209" t="s">
        <v>609</v>
      </c>
      <c r="C900" s="209" t="s">
        <v>498</v>
      </c>
      <c r="D900" s="209" t="s">
        <v>722</v>
      </c>
      <c r="E900" s="209" t="s">
        <v>519</v>
      </c>
      <c r="F900" s="215">
        <v>29989</v>
      </c>
      <c r="G900" s="203">
        <v>29989</v>
      </c>
      <c r="H900" s="215">
        <f t="shared" si="245"/>
        <v>55557</v>
      </c>
      <c r="I900" s="203">
        <f t="shared" si="245"/>
        <v>55557</v>
      </c>
      <c r="J900" s="216">
        <f t="shared" si="225"/>
        <v>25568</v>
      </c>
      <c r="K900" s="204">
        <f t="shared" si="226"/>
        <v>25568</v>
      </c>
    </row>
    <row r="901" spans="1:11" ht="22.5" x14ac:dyDescent="0.2">
      <c r="A901" s="202" t="s">
        <v>705</v>
      </c>
      <c r="B901" s="209" t="s">
        <v>609</v>
      </c>
      <c r="C901" s="209" t="s">
        <v>498</v>
      </c>
      <c r="D901" s="209" t="s">
        <v>722</v>
      </c>
      <c r="E901" s="209" t="s">
        <v>703</v>
      </c>
      <c r="F901" s="215">
        <v>29989</v>
      </c>
      <c r="G901" s="203">
        <v>29989</v>
      </c>
      <c r="H901" s="215">
        <f>'Ведомственная 2020'!H1172</f>
        <v>55557</v>
      </c>
      <c r="I901" s="203">
        <f>H901</f>
        <v>55557</v>
      </c>
      <c r="J901" s="216">
        <f t="shared" si="225"/>
        <v>25568</v>
      </c>
      <c r="K901" s="204">
        <f t="shared" si="226"/>
        <v>25568</v>
      </c>
    </row>
    <row r="902" spans="1:11" ht="67.5" x14ac:dyDescent="0.2">
      <c r="A902" s="202" t="s">
        <v>721</v>
      </c>
      <c r="B902" s="209" t="s">
        <v>609</v>
      </c>
      <c r="C902" s="209" t="s">
        <v>498</v>
      </c>
      <c r="D902" s="209" t="s">
        <v>720</v>
      </c>
      <c r="E902" s="209"/>
      <c r="F902" s="215">
        <v>65890.3</v>
      </c>
      <c r="G902" s="203">
        <v>0</v>
      </c>
      <c r="H902" s="215">
        <f>H903</f>
        <v>41435.300000000003</v>
      </c>
      <c r="I902" s="203">
        <f>I903</f>
        <v>0</v>
      </c>
      <c r="J902" s="216">
        <f t="shared" si="225"/>
        <v>-24455</v>
      </c>
      <c r="K902" s="204">
        <f t="shared" si="226"/>
        <v>0</v>
      </c>
    </row>
    <row r="903" spans="1:11" ht="22.5" x14ac:dyDescent="0.2">
      <c r="A903" s="202" t="s">
        <v>547</v>
      </c>
      <c r="B903" s="209" t="s">
        <v>609</v>
      </c>
      <c r="C903" s="209" t="s">
        <v>498</v>
      </c>
      <c r="D903" s="209" t="s">
        <v>720</v>
      </c>
      <c r="E903" s="209" t="s">
        <v>519</v>
      </c>
      <c r="F903" s="215">
        <v>65890.3</v>
      </c>
      <c r="G903" s="203">
        <v>0</v>
      </c>
      <c r="H903" s="215">
        <f>H904+H905</f>
        <v>41435.300000000003</v>
      </c>
      <c r="I903" s="203">
        <f>I904+I905</f>
        <v>0</v>
      </c>
      <c r="J903" s="216">
        <f t="shared" si="225"/>
        <v>-24455</v>
      </c>
      <c r="K903" s="204">
        <f t="shared" si="226"/>
        <v>0</v>
      </c>
    </row>
    <row r="904" spans="1:11" x14ac:dyDescent="0.2">
      <c r="A904" s="202" t="s">
        <v>571</v>
      </c>
      <c r="B904" s="209" t="s">
        <v>609</v>
      </c>
      <c r="C904" s="209" t="s">
        <v>498</v>
      </c>
      <c r="D904" s="209" t="s">
        <v>720</v>
      </c>
      <c r="E904" s="209" t="s">
        <v>522</v>
      </c>
      <c r="F904" s="215">
        <v>58086.8</v>
      </c>
      <c r="G904" s="203">
        <v>0</v>
      </c>
      <c r="H904" s="215">
        <f>'Ведомственная 2020'!H1175</f>
        <v>36276.800000000003</v>
      </c>
      <c r="I904" s="203">
        <v>0</v>
      </c>
      <c r="J904" s="216">
        <f t="shared" si="225"/>
        <v>-21810</v>
      </c>
      <c r="K904" s="204">
        <f t="shared" si="226"/>
        <v>0</v>
      </c>
    </row>
    <row r="905" spans="1:11" x14ac:dyDescent="0.2">
      <c r="A905" s="202" t="s">
        <v>546</v>
      </c>
      <c r="B905" s="209" t="s">
        <v>609</v>
      </c>
      <c r="C905" s="209" t="s">
        <v>498</v>
      </c>
      <c r="D905" s="209" t="s">
        <v>720</v>
      </c>
      <c r="E905" s="209" t="s">
        <v>544</v>
      </c>
      <c r="F905" s="215">
        <v>7803.5</v>
      </c>
      <c r="G905" s="203">
        <v>0</v>
      </c>
      <c r="H905" s="215">
        <f>'Ведомственная 2020'!H1176</f>
        <v>5158.5</v>
      </c>
      <c r="I905" s="203">
        <v>0</v>
      </c>
      <c r="J905" s="216">
        <f t="shared" si="225"/>
        <v>-2645</v>
      </c>
      <c r="K905" s="204">
        <f t="shared" si="226"/>
        <v>0</v>
      </c>
    </row>
    <row r="906" spans="1:11" s="290" customFormat="1" ht="22.5" x14ac:dyDescent="0.2">
      <c r="A906" s="202" t="s">
        <v>1401</v>
      </c>
      <c r="B906" s="209" t="s">
        <v>609</v>
      </c>
      <c r="C906" s="209" t="s">
        <v>498</v>
      </c>
      <c r="D906" s="209" t="s">
        <v>1400</v>
      </c>
      <c r="E906" s="209"/>
      <c r="F906" s="215">
        <v>14806.2</v>
      </c>
      <c r="G906" s="203">
        <v>0</v>
      </c>
      <c r="H906" s="215">
        <f>H907+H910</f>
        <v>18664.2</v>
      </c>
      <c r="I906" s="203">
        <f t="shared" ref="H906:I908" si="246">I907</f>
        <v>0</v>
      </c>
      <c r="J906" s="216">
        <f t="shared" ref="J906:J909" si="247">H906-F906</f>
        <v>3858</v>
      </c>
      <c r="K906" s="204">
        <f t="shared" ref="K906:K909" si="248">I906-G906</f>
        <v>0</v>
      </c>
    </row>
    <row r="907" spans="1:11" s="290" customFormat="1" ht="56.25" x14ac:dyDescent="0.2">
      <c r="A907" s="202" t="s">
        <v>1402</v>
      </c>
      <c r="B907" s="209" t="s">
        <v>609</v>
      </c>
      <c r="C907" s="209" t="s">
        <v>498</v>
      </c>
      <c r="D907" s="209" t="s">
        <v>1403</v>
      </c>
      <c r="E907" s="209"/>
      <c r="F907" s="215">
        <v>12492.2</v>
      </c>
      <c r="G907" s="203">
        <v>0</v>
      </c>
      <c r="H907" s="215">
        <f t="shared" si="246"/>
        <v>12492.2</v>
      </c>
      <c r="I907" s="203">
        <f t="shared" si="246"/>
        <v>0</v>
      </c>
      <c r="J907" s="216">
        <f t="shared" si="247"/>
        <v>0</v>
      </c>
      <c r="K907" s="204">
        <f t="shared" si="248"/>
        <v>0</v>
      </c>
    </row>
    <row r="908" spans="1:11" s="290" customFormat="1" ht="22.5" x14ac:dyDescent="0.2">
      <c r="A908" s="202" t="s">
        <v>547</v>
      </c>
      <c r="B908" s="209" t="s">
        <v>609</v>
      </c>
      <c r="C908" s="209" t="s">
        <v>498</v>
      </c>
      <c r="D908" s="209" t="s">
        <v>1403</v>
      </c>
      <c r="E908" s="209">
        <v>600</v>
      </c>
      <c r="F908" s="215">
        <v>12492.2</v>
      </c>
      <c r="G908" s="203">
        <v>0</v>
      </c>
      <c r="H908" s="215">
        <f t="shared" si="246"/>
        <v>12492.2</v>
      </c>
      <c r="I908" s="203">
        <f t="shared" si="246"/>
        <v>0</v>
      </c>
      <c r="J908" s="216">
        <f t="shared" si="247"/>
        <v>0</v>
      </c>
      <c r="K908" s="204">
        <f t="shared" si="248"/>
        <v>0</v>
      </c>
    </row>
    <row r="909" spans="1:11" s="290" customFormat="1" ht="22.5" x14ac:dyDescent="0.2">
      <c r="A909" s="202" t="s">
        <v>705</v>
      </c>
      <c r="B909" s="209" t="s">
        <v>609</v>
      </c>
      <c r="C909" s="209" t="s">
        <v>498</v>
      </c>
      <c r="D909" s="209" t="s">
        <v>1403</v>
      </c>
      <c r="E909" s="209">
        <v>630</v>
      </c>
      <c r="F909" s="215">
        <v>12492.2</v>
      </c>
      <c r="G909" s="203">
        <v>0</v>
      </c>
      <c r="H909" s="215">
        <f>'Ведомственная 2020'!H1180</f>
        <v>12492.2</v>
      </c>
      <c r="I909" s="203">
        <v>0</v>
      </c>
      <c r="J909" s="216">
        <f t="shared" si="247"/>
        <v>0</v>
      </c>
      <c r="K909" s="204">
        <f t="shared" si="248"/>
        <v>0</v>
      </c>
    </row>
    <row r="910" spans="1:11" s="402" customFormat="1" ht="33.75" x14ac:dyDescent="0.2">
      <c r="A910" s="202" t="s">
        <v>1534</v>
      </c>
      <c r="B910" s="209" t="s">
        <v>609</v>
      </c>
      <c r="C910" s="209" t="s">
        <v>498</v>
      </c>
      <c r="D910" s="209" t="s">
        <v>1535</v>
      </c>
      <c r="E910" s="209"/>
      <c r="F910" s="215">
        <v>2314</v>
      </c>
      <c r="G910" s="203">
        <v>0</v>
      </c>
      <c r="H910" s="215">
        <f t="shared" ref="H910:I911" si="249">H911</f>
        <v>6172</v>
      </c>
      <c r="I910" s="203">
        <f t="shared" si="249"/>
        <v>0</v>
      </c>
      <c r="J910" s="216">
        <f t="shared" ref="J910:J912" si="250">H910-F910</f>
        <v>3858</v>
      </c>
      <c r="K910" s="204">
        <f t="shared" ref="K910:K912" si="251">I910-G910</f>
        <v>0</v>
      </c>
    </row>
    <row r="911" spans="1:11" s="402" customFormat="1" ht="22.5" x14ac:dyDescent="0.2">
      <c r="A911" s="202" t="s">
        <v>547</v>
      </c>
      <c r="B911" s="209" t="s">
        <v>609</v>
      </c>
      <c r="C911" s="209" t="s">
        <v>498</v>
      </c>
      <c r="D911" s="209" t="s">
        <v>1535</v>
      </c>
      <c r="E911" s="209" t="s">
        <v>519</v>
      </c>
      <c r="F911" s="215">
        <v>2314</v>
      </c>
      <c r="G911" s="203">
        <v>0</v>
      </c>
      <c r="H911" s="215">
        <f t="shared" si="249"/>
        <v>6172</v>
      </c>
      <c r="I911" s="203">
        <f t="shared" si="249"/>
        <v>0</v>
      </c>
      <c r="J911" s="216">
        <f t="shared" si="250"/>
        <v>3858</v>
      </c>
      <c r="K911" s="204">
        <f t="shared" si="251"/>
        <v>0</v>
      </c>
    </row>
    <row r="912" spans="1:11" s="402" customFormat="1" ht="22.5" x14ac:dyDescent="0.2">
      <c r="A912" s="202" t="s">
        <v>705</v>
      </c>
      <c r="B912" s="209" t="s">
        <v>609</v>
      </c>
      <c r="C912" s="209" t="s">
        <v>498</v>
      </c>
      <c r="D912" s="209" t="s">
        <v>1535</v>
      </c>
      <c r="E912" s="209" t="s">
        <v>703</v>
      </c>
      <c r="F912" s="215">
        <v>2314</v>
      </c>
      <c r="G912" s="203">
        <v>0</v>
      </c>
      <c r="H912" s="215">
        <f>'Ведомственная 2020'!H1183</f>
        <v>6172</v>
      </c>
      <c r="I912" s="203">
        <v>0</v>
      </c>
      <c r="J912" s="216">
        <f t="shared" si="250"/>
        <v>3858</v>
      </c>
      <c r="K912" s="204">
        <f t="shared" si="251"/>
        <v>0</v>
      </c>
    </row>
    <row r="913" spans="1:11" x14ac:dyDescent="0.2">
      <c r="A913" s="202" t="s">
        <v>568</v>
      </c>
      <c r="B913" s="209" t="s">
        <v>609</v>
      </c>
      <c r="C913" s="209" t="s">
        <v>498</v>
      </c>
      <c r="D913" s="209" t="s">
        <v>567</v>
      </c>
      <c r="E913" s="209"/>
      <c r="F913" s="215">
        <v>760</v>
      </c>
      <c r="G913" s="203">
        <v>0</v>
      </c>
      <c r="H913" s="215">
        <f t="shared" ref="H913:I917" si="252">H914</f>
        <v>760</v>
      </c>
      <c r="I913" s="203">
        <f t="shared" si="252"/>
        <v>0</v>
      </c>
      <c r="J913" s="216">
        <f t="shared" si="225"/>
        <v>0</v>
      </c>
      <c r="K913" s="204">
        <f t="shared" si="226"/>
        <v>0</v>
      </c>
    </row>
    <row r="914" spans="1:11" x14ac:dyDescent="0.2">
      <c r="A914" s="202" t="s">
        <v>566</v>
      </c>
      <c r="B914" s="209" t="s">
        <v>609</v>
      </c>
      <c r="C914" s="209" t="s">
        <v>498</v>
      </c>
      <c r="D914" s="209" t="s">
        <v>565</v>
      </c>
      <c r="E914" s="209"/>
      <c r="F914" s="215">
        <v>760</v>
      </c>
      <c r="G914" s="203">
        <v>0</v>
      </c>
      <c r="H914" s="215">
        <f t="shared" si="252"/>
        <v>760</v>
      </c>
      <c r="I914" s="203">
        <f t="shared" si="252"/>
        <v>0</v>
      </c>
      <c r="J914" s="216">
        <f t="shared" si="225"/>
        <v>0</v>
      </c>
      <c r="K914" s="204">
        <f t="shared" si="226"/>
        <v>0</v>
      </c>
    </row>
    <row r="915" spans="1:11" ht="22.5" x14ac:dyDescent="0.2">
      <c r="A915" s="202" t="s">
        <v>1387</v>
      </c>
      <c r="B915" s="209" t="s">
        <v>609</v>
      </c>
      <c r="C915" s="209" t="s">
        <v>498</v>
      </c>
      <c r="D915" s="209" t="s">
        <v>578</v>
      </c>
      <c r="E915" s="209"/>
      <c r="F915" s="215">
        <v>760</v>
      </c>
      <c r="G915" s="203">
        <v>0</v>
      </c>
      <c r="H915" s="215">
        <f t="shared" si="252"/>
        <v>760</v>
      </c>
      <c r="I915" s="203">
        <f t="shared" si="252"/>
        <v>0</v>
      </c>
      <c r="J915" s="216">
        <f t="shared" si="225"/>
        <v>0</v>
      </c>
      <c r="K915" s="204">
        <f t="shared" si="226"/>
        <v>0</v>
      </c>
    </row>
    <row r="916" spans="1:11" ht="22.5" x14ac:dyDescent="0.2">
      <c r="A916" s="202" t="s">
        <v>914</v>
      </c>
      <c r="B916" s="209" t="s">
        <v>609</v>
      </c>
      <c r="C916" s="209" t="s">
        <v>498</v>
      </c>
      <c r="D916" s="209" t="s">
        <v>913</v>
      </c>
      <c r="E916" s="209"/>
      <c r="F916" s="215">
        <v>760</v>
      </c>
      <c r="G916" s="203">
        <v>0</v>
      </c>
      <c r="H916" s="215">
        <f t="shared" si="252"/>
        <v>760</v>
      </c>
      <c r="I916" s="203">
        <f t="shared" si="252"/>
        <v>0</v>
      </c>
      <c r="J916" s="216">
        <f t="shared" si="225"/>
        <v>0</v>
      </c>
      <c r="K916" s="204">
        <f t="shared" si="226"/>
        <v>0</v>
      </c>
    </row>
    <row r="917" spans="1:11" x14ac:dyDescent="0.2">
      <c r="A917" s="202" t="s">
        <v>1347</v>
      </c>
      <c r="B917" s="209" t="s">
        <v>609</v>
      </c>
      <c r="C917" s="209" t="s">
        <v>498</v>
      </c>
      <c r="D917" s="209" t="s">
        <v>913</v>
      </c>
      <c r="E917" s="209" t="s">
        <v>535</v>
      </c>
      <c r="F917" s="215">
        <v>760</v>
      </c>
      <c r="G917" s="203">
        <v>0</v>
      </c>
      <c r="H917" s="215">
        <f t="shared" si="252"/>
        <v>760</v>
      </c>
      <c r="I917" s="203">
        <f t="shared" si="252"/>
        <v>0</v>
      </c>
      <c r="J917" s="216">
        <f t="shared" si="225"/>
        <v>0</v>
      </c>
      <c r="K917" s="204">
        <f t="shared" si="226"/>
        <v>0</v>
      </c>
    </row>
    <row r="918" spans="1:11" ht="22.5" x14ac:dyDescent="0.2">
      <c r="A918" s="202" t="s">
        <v>534</v>
      </c>
      <c r="B918" s="209" t="s">
        <v>609</v>
      </c>
      <c r="C918" s="209" t="s">
        <v>498</v>
      </c>
      <c r="D918" s="209" t="s">
        <v>913</v>
      </c>
      <c r="E918" s="209" t="s">
        <v>529</v>
      </c>
      <c r="F918" s="215">
        <v>760</v>
      </c>
      <c r="G918" s="203">
        <v>0</v>
      </c>
      <c r="H918" s="215">
        <f>'Ведомственная 2020'!H841</f>
        <v>760</v>
      </c>
      <c r="I918" s="203">
        <v>0</v>
      </c>
      <c r="J918" s="216">
        <f t="shared" si="225"/>
        <v>0</v>
      </c>
      <c r="K918" s="204">
        <f t="shared" si="226"/>
        <v>0</v>
      </c>
    </row>
    <row r="919" spans="1:11" x14ac:dyDescent="0.2">
      <c r="A919" s="202" t="s">
        <v>908</v>
      </c>
      <c r="B919" s="209" t="s">
        <v>609</v>
      </c>
      <c r="C919" s="209" t="s">
        <v>498</v>
      </c>
      <c r="D919" s="209" t="s">
        <v>907</v>
      </c>
      <c r="E919" s="209"/>
      <c r="F919" s="215">
        <v>154661.79999999999</v>
      </c>
      <c r="G919" s="203">
        <v>0</v>
      </c>
      <c r="H919" s="215">
        <f t="shared" ref="H919:I923" si="253">H920</f>
        <v>11020</v>
      </c>
      <c r="I919" s="203">
        <f t="shared" si="253"/>
        <v>0</v>
      </c>
      <c r="J919" s="216">
        <f t="shared" si="225"/>
        <v>-143641.79999999999</v>
      </c>
      <c r="K919" s="204">
        <f t="shared" si="226"/>
        <v>0</v>
      </c>
    </row>
    <row r="920" spans="1:11" x14ac:dyDescent="0.2">
      <c r="A920" s="202" t="s">
        <v>906</v>
      </c>
      <c r="B920" s="209" t="s">
        <v>609</v>
      </c>
      <c r="C920" s="209" t="s">
        <v>498</v>
      </c>
      <c r="D920" s="209" t="s">
        <v>905</v>
      </c>
      <c r="E920" s="209"/>
      <c r="F920" s="215">
        <v>154661.79999999999</v>
      </c>
      <c r="G920" s="203">
        <v>0</v>
      </c>
      <c r="H920" s="215">
        <f t="shared" si="253"/>
        <v>11020</v>
      </c>
      <c r="I920" s="203">
        <f t="shared" si="253"/>
        <v>0</v>
      </c>
      <c r="J920" s="216">
        <f t="shared" si="225"/>
        <v>-143641.79999999999</v>
      </c>
      <c r="K920" s="204">
        <f t="shared" si="226"/>
        <v>0</v>
      </c>
    </row>
    <row r="921" spans="1:11" ht="22.5" x14ac:dyDescent="0.2">
      <c r="A921" s="202" t="s">
        <v>912</v>
      </c>
      <c r="B921" s="209" t="s">
        <v>609</v>
      </c>
      <c r="C921" s="209" t="s">
        <v>498</v>
      </c>
      <c r="D921" s="209" t="s">
        <v>911</v>
      </c>
      <c r="E921" s="209"/>
      <c r="F921" s="215">
        <v>154661.79999999999</v>
      </c>
      <c r="G921" s="203">
        <v>0</v>
      </c>
      <c r="H921" s="215">
        <f>H922+H925</f>
        <v>11020</v>
      </c>
      <c r="I921" s="203">
        <f>I922</f>
        <v>0</v>
      </c>
      <c r="J921" s="216">
        <f t="shared" si="225"/>
        <v>-143641.79999999999</v>
      </c>
      <c r="K921" s="204">
        <f t="shared" si="226"/>
        <v>0</v>
      </c>
    </row>
    <row r="922" spans="1:11" x14ac:dyDescent="0.2">
      <c r="A922" s="202" t="s">
        <v>910</v>
      </c>
      <c r="B922" s="209" t="s">
        <v>609</v>
      </c>
      <c r="C922" s="209" t="s">
        <v>498</v>
      </c>
      <c r="D922" s="209" t="s">
        <v>909</v>
      </c>
      <c r="E922" s="209"/>
      <c r="F922" s="215">
        <v>59661.8</v>
      </c>
      <c r="G922" s="203">
        <v>0</v>
      </c>
      <c r="H922" s="215">
        <f t="shared" si="253"/>
        <v>11020</v>
      </c>
      <c r="I922" s="203">
        <f t="shared" si="253"/>
        <v>0</v>
      </c>
      <c r="J922" s="216">
        <f t="shared" si="225"/>
        <v>-48641.8</v>
      </c>
      <c r="K922" s="204">
        <f t="shared" si="226"/>
        <v>0</v>
      </c>
    </row>
    <row r="923" spans="1:11" x14ac:dyDescent="0.2">
      <c r="A923" s="202" t="s">
        <v>1355</v>
      </c>
      <c r="B923" s="209" t="s">
        <v>609</v>
      </c>
      <c r="C923" s="209" t="s">
        <v>498</v>
      </c>
      <c r="D923" s="209" t="s">
        <v>909</v>
      </c>
      <c r="E923" s="209" t="s">
        <v>824</v>
      </c>
      <c r="F923" s="215">
        <v>59661.8</v>
      </c>
      <c r="G923" s="203">
        <v>0</v>
      </c>
      <c r="H923" s="215">
        <f t="shared" si="253"/>
        <v>11020</v>
      </c>
      <c r="I923" s="203">
        <f t="shared" si="253"/>
        <v>0</v>
      </c>
      <c r="J923" s="216">
        <f t="shared" si="225"/>
        <v>-48641.8</v>
      </c>
      <c r="K923" s="204">
        <f t="shared" si="226"/>
        <v>0</v>
      </c>
    </row>
    <row r="924" spans="1:11" x14ac:dyDescent="0.2">
      <c r="A924" s="202" t="s">
        <v>823</v>
      </c>
      <c r="B924" s="209" t="s">
        <v>609</v>
      </c>
      <c r="C924" s="209" t="s">
        <v>498</v>
      </c>
      <c r="D924" s="209" t="s">
        <v>909</v>
      </c>
      <c r="E924" s="209" t="s">
        <v>821</v>
      </c>
      <c r="F924" s="215">
        <v>59661.8</v>
      </c>
      <c r="G924" s="203">
        <v>0</v>
      </c>
      <c r="H924" s="215">
        <f>'Ведомственная 2020'!H847</f>
        <v>11020</v>
      </c>
      <c r="I924" s="203">
        <v>0</v>
      </c>
      <c r="J924" s="216">
        <f t="shared" si="225"/>
        <v>-48641.8</v>
      </c>
      <c r="K924" s="204">
        <f t="shared" si="226"/>
        <v>0</v>
      </c>
    </row>
    <row r="925" spans="1:11" s="296" customFormat="1" ht="22.5" x14ac:dyDescent="0.2">
      <c r="A925" s="202" t="s">
        <v>1408</v>
      </c>
      <c r="B925" s="209" t="s">
        <v>609</v>
      </c>
      <c r="C925" s="209" t="s">
        <v>498</v>
      </c>
      <c r="D925" s="209" t="s">
        <v>1409</v>
      </c>
      <c r="E925" s="209"/>
      <c r="F925" s="215">
        <v>95000</v>
      </c>
      <c r="G925" s="203">
        <v>0</v>
      </c>
      <c r="H925" s="215">
        <f t="shared" ref="H925:I926" si="254">H926</f>
        <v>0</v>
      </c>
      <c r="I925" s="203">
        <f t="shared" si="254"/>
        <v>0</v>
      </c>
      <c r="J925" s="216">
        <f t="shared" ref="J925:J927" si="255">H925-F925</f>
        <v>-95000</v>
      </c>
      <c r="K925" s="204">
        <f t="shared" ref="K925:K927" si="256">I925-G925</f>
        <v>0</v>
      </c>
    </row>
    <row r="926" spans="1:11" s="296" customFormat="1" x14ac:dyDescent="0.2">
      <c r="A926" s="202" t="s">
        <v>1355</v>
      </c>
      <c r="B926" s="209" t="s">
        <v>609</v>
      </c>
      <c r="C926" s="209" t="s">
        <v>498</v>
      </c>
      <c r="D926" s="209" t="s">
        <v>1409</v>
      </c>
      <c r="E926" s="209" t="s">
        <v>824</v>
      </c>
      <c r="F926" s="215">
        <v>95000</v>
      </c>
      <c r="G926" s="203">
        <v>0</v>
      </c>
      <c r="H926" s="215">
        <f t="shared" si="254"/>
        <v>0</v>
      </c>
      <c r="I926" s="203">
        <f t="shared" si="254"/>
        <v>0</v>
      </c>
      <c r="J926" s="216">
        <f t="shared" si="255"/>
        <v>-95000</v>
      </c>
      <c r="K926" s="204">
        <f t="shared" si="256"/>
        <v>0</v>
      </c>
    </row>
    <row r="927" spans="1:11" s="296" customFormat="1" x14ac:dyDescent="0.2">
      <c r="A927" s="202" t="s">
        <v>823</v>
      </c>
      <c r="B927" s="209" t="s">
        <v>609</v>
      </c>
      <c r="C927" s="209" t="s">
        <v>498</v>
      </c>
      <c r="D927" s="209" t="s">
        <v>1409</v>
      </c>
      <c r="E927" s="209" t="s">
        <v>821</v>
      </c>
      <c r="F927" s="215">
        <v>95000</v>
      </c>
      <c r="G927" s="203">
        <v>0</v>
      </c>
      <c r="H927" s="215">
        <f>'Ведомственная 2020'!H850</f>
        <v>0</v>
      </c>
      <c r="I927" s="203">
        <v>0</v>
      </c>
      <c r="J927" s="216">
        <f t="shared" si="255"/>
        <v>-95000</v>
      </c>
      <c r="K927" s="204">
        <f t="shared" si="256"/>
        <v>0</v>
      </c>
    </row>
    <row r="928" spans="1:11" x14ac:dyDescent="0.2">
      <c r="A928" s="202" t="s">
        <v>717</v>
      </c>
      <c r="B928" s="209" t="s">
        <v>609</v>
      </c>
      <c r="C928" s="209" t="s">
        <v>502</v>
      </c>
      <c r="D928" s="209"/>
      <c r="E928" s="209"/>
      <c r="F928" s="215">
        <v>4080539.5</v>
      </c>
      <c r="G928" s="203">
        <v>2612426</v>
      </c>
      <c r="H928" s="215">
        <f>H929+H978</f>
        <v>4358513.1000000006</v>
      </c>
      <c r="I928" s="203">
        <f>I929+I978</f>
        <v>2843424.4</v>
      </c>
      <c r="J928" s="216">
        <f t="shared" si="225"/>
        <v>277973.60000000056</v>
      </c>
      <c r="K928" s="204">
        <f t="shared" si="226"/>
        <v>230998.39999999991</v>
      </c>
    </row>
    <row r="929" spans="1:11" x14ac:dyDescent="0.2">
      <c r="A929" s="202" t="s">
        <v>666</v>
      </c>
      <c r="B929" s="209" t="s">
        <v>609</v>
      </c>
      <c r="C929" s="209" t="s">
        <v>502</v>
      </c>
      <c r="D929" s="209" t="s">
        <v>665</v>
      </c>
      <c r="E929" s="209"/>
      <c r="F929" s="215">
        <v>3121526.4</v>
      </c>
      <c r="G929" s="203">
        <v>2612426</v>
      </c>
      <c r="H929" s="215">
        <f>H930</f>
        <v>3424627.8000000003</v>
      </c>
      <c r="I929" s="203">
        <f>I930</f>
        <v>2843424.4</v>
      </c>
      <c r="J929" s="216">
        <f t="shared" si="225"/>
        <v>303101.40000000037</v>
      </c>
      <c r="K929" s="204">
        <f t="shared" si="226"/>
        <v>230998.39999999991</v>
      </c>
    </row>
    <row r="930" spans="1:11" x14ac:dyDescent="0.2">
      <c r="A930" s="202" t="s">
        <v>688</v>
      </c>
      <c r="B930" s="209" t="s">
        <v>609</v>
      </c>
      <c r="C930" s="209" t="s">
        <v>502</v>
      </c>
      <c r="D930" s="209" t="s">
        <v>687</v>
      </c>
      <c r="E930" s="209"/>
      <c r="F930" s="215">
        <v>3121526.4</v>
      </c>
      <c r="G930" s="203">
        <v>2612426</v>
      </c>
      <c r="H930" s="215">
        <f>H931+H949+H953+H974</f>
        <v>3424627.8000000003</v>
      </c>
      <c r="I930" s="203">
        <f>I931+I949+I953+I974</f>
        <v>2843424.4</v>
      </c>
      <c r="J930" s="216">
        <f t="shared" si="225"/>
        <v>303101.40000000037</v>
      </c>
      <c r="K930" s="204">
        <f t="shared" si="226"/>
        <v>230998.39999999991</v>
      </c>
    </row>
    <row r="931" spans="1:11" ht="22.5" x14ac:dyDescent="0.2">
      <c r="A931" s="202" t="s">
        <v>686</v>
      </c>
      <c r="B931" s="209" t="s">
        <v>609</v>
      </c>
      <c r="C931" s="209" t="s">
        <v>502</v>
      </c>
      <c r="D931" s="209" t="s">
        <v>685</v>
      </c>
      <c r="E931" s="209"/>
      <c r="F931" s="215">
        <v>2953308.6</v>
      </c>
      <c r="G931" s="203">
        <v>2457007</v>
      </c>
      <c r="H931" s="215">
        <f>H932+H942+H946+H938</f>
        <v>3201658.3000000003</v>
      </c>
      <c r="I931" s="203">
        <f>I932+I942+I946+I938</f>
        <v>2701156.7</v>
      </c>
      <c r="J931" s="216">
        <f t="shared" si="225"/>
        <v>248349.70000000019</v>
      </c>
      <c r="K931" s="204">
        <f t="shared" si="226"/>
        <v>244149.70000000019</v>
      </c>
    </row>
    <row r="932" spans="1:11" ht="22.5" x14ac:dyDescent="0.2">
      <c r="A932" s="202" t="s">
        <v>684</v>
      </c>
      <c r="B932" s="209" t="s">
        <v>609</v>
      </c>
      <c r="C932" s="209" t="s">
        <v>502</v>
      </c>
      <c r="D932" s="209" t="s">
        <v>683</v>
      </c>
      <c r="E932" s="209"/>
      <c r="F932" s="215">
        <v>496301.60000000009</v>
      </c>
      <c r="G932" s="203">
        <v>0</v>
      </c>
      <c r="H932" s="215">
        <f>H933+H935</f>
        <v>500501.60000000009</v>
      </c>
      <c r="I932" s="203">
        <f>I933+I935</f>
        <v>0</v>
      </c>
      <c r="J932" s="216">
        <f t="shared" ref="J932:J1026" si="257">H932-F932</f>
        <v>4200</v>
      </c>
      <c r="K932" s="204">
        <f t="shared" ref="K932:K1026" si="258">I932-G932</f>
        <v>0</v>
      </c>
    </row>
    <row r="933" spans="1:11" x14ac:dyDescent="0.2">
      <c r="A933" s="202" t="s">
        <v>1347</v>
      </c>
      <c r="B933" s="209" t="s">
        <v>609</v>
      </c>
      <c r="C933" s="209" t="s">
        <v>502</v>
      </c>
      <c r="D933" s="209" t="s">
        <v>683</v>
      </c>
      <c r="E933" s="209" t="s">
        <v>535</v>
      </c>
      <c r="F933" s="215">
        <v>10664.4</v>
      </c>
      <c r="G933" s="203">
        <v>0</v>
      </c>
      <c r="H933" s="215">
        <f>H934</f>
        <v>10664.4</v>
      </c>
      <c r="I933" s="203">
        <f>I934</f>
        <v>0</v>
      </c>
      <c r="J933" s="216">
        <f t="shared" si="257"/>
        <v>0</v>
      </c>
      <c r="K933" s="204">
        <f t="shared" si="258"/>
        <v>0</v>
      </c>
    </row>
    <row r="934" spans="1:11" ht="22.5" x14ac:dyDescent="0.2">
      <c r="A934" s="202" t="s">
        <v>534</v>
      </c>
      <c r="B934" s="209" t="s">
        <v>609</v>
      </c>
      <c r="C934" s="209" t="s">
        <v>502</v>
      </c>
      <c r="D934" s="209" t="s">
        <v>683</v>
      </c>
      <c r="E934" s="209" t="s">
        <v>529</v>
      </c>
      <c r="F934" s="215">
        <v>10664.4</v>
      </c>
      <c r="G934" s="203">
        <v>0</v>
      </c>
      <c r="H934" s="215">
        <f>'Ведомственная 2020'!H857</f>
        <v>10664.4</v>
      </c>
      <c r="I934" s="203">
        <v>0</v>
      </c>
      <c r="J934" s="216">
        <f t="shared" si="257"/>
        <v>0</v>
      </c>
      <c r="K934" s="204">
        <f t="shared" si="258"/>
        <v>0</v>
      </c>
    </row>
    <row r="935" spans="1:11" ht="22.5" x14ac:dyDescent="0.2">
      <c r="A935" s="202" t="s">
        <v>547</v>
      </c>
      <c r="B935" s="209" t="s">
        <v>609</v>
      </c>
      <c r="C935" s="209" t="s">
        <v>502</v>
      </c>
      <c r="D935" s="209" t="s">
        <v>683</v>
      </c>
      <c r="E935" s="209" t="s">
        <v>519</v>
      </c>
      <c r="F935" s="215">
        <v>485637.20000000007</v>
      </c>
      <c r="G935" s="203">
        <v>0</v>
      </c>
      <c r="H935" s="215">
        <f>H936+H937</f>
        <v>489837.20000000007</v>
      </c>
      <c r="I935" s="203">
        <f>I936+I937</f>
        <v>0</v>
      </c>
      <c r="J935" s="216">
        <f t="shared" si="257"/>
        <v>4200</v>
      </c>
      <c r="K935" s="204">
        <f t="shared" si="258"/>
        <v>0</v>
      </c>
    </row>
    <row r="936" spans="1:11" x14ac:dyDescent="0.2">
      <c r="A936" s="202" t="s">
        <v>571</v>
      </c>
      <c r="B936" s="209" t="s">
        <v>609</v>
      </c>
      <c r="C936" s="209" t="s">
        <v>502</v>
      </c>
      <c r="D936" s="209" t="s">
        <v>683</v>
      </c>
      <c r="E936" s="209" t="s">
        <v>522</v>
      </c>
      <c r="F936" s="215">
        <v>419202.40000000008</v>
      </c>
      <c r="G936" s="203">
        <v>0</v>
      </c>
      <c r="H936" s="215">
        <f>'Ведомственная 2020'!H1190</f>
        <v>423402.40000000008</v>
      </c>
      <c r="I936" s="203">
        <v>0</v>
      </c>
      <c r="J936" s="216">
        <f t="shared" si="257"/>
        <v>4200</v>
      </c>
      <c r="K936" s="204">
        <f t="shared" si="258"/>
        <v>0</v>
      </c>
    </row>
    <row r="937" spans="1:11" x14ac:dyDescent="0.2">
      <c r="A937" s="202" t="s">
        <v>546</v>
      </c>
      <c r="B937" s="209" t="s">
        <v>609</v>
      </c>
      <c r="C937" s="209" t="s">
        <v>502</v>
      </c>
      <c r="D937" s="209" t="s">
        <v>683</v>
      </c>
      <c r="E937" s="209" t="s">
        <v>544</v>
      </c>
      <c r="F937" s="215">
        <v>66434.799999999974</v>
      </c>
      <c r="G937" s="203">
        <v>0</v>
      </c>
      <c r="H937" s="215">
        <f>'Ведомственная 2020'!H1191</f>
        <v>66434.799999999974</v>
      </c>
      <c r="I937" s="203">
        <v>0</v>
      </c>
      <c r="J937" s="216">
        <f t="shared" si="257"/>
        <v>0</v>
      </c>
      <c r="K937" s="204">
        <f t="shared" si="258"/>
        <v>0</v>
      </c>
    </row>
    <row r="938" spans="1:11" s="410" customFormat="1" ht="101.25" x14ac:dyDescent="0.2">
      <c r="A938" s="202" t="s">
        <v>1602</v>
      </c>
      <c r="B938" s="209" t="s">
        <v>609</v>
      </c>
      <c r="C938" s="209" t="s">
        <v>502</v>
      </c>
      <c r="D938" s="209" t="s">
        <v>1603</v>
      </c>
      <c r="E938" s="209"/>
      <c r="F938" s="215">
        <f>F939</f>
        <v>0</v>
      </c>
      <c r="G938" s="203">
        <f t="shared" ref="G938:I938" si="259">G939</f>
        <v>0</v>
      </c>
      <c r="H938" s="215">
        <f t="shared" si="259"/>
        <v>31457</v>
      </c>
      <c r="I938" s="203">
        <f t="shared" si="259"/>
        <v>31457</v>
      </c>
      <c r="J938" s="216">
        <f t="shared" ref="J938:J941" si="260">H938-F938</f>
        <v>31457</v>
      </c>
      <c r="K938" s="204">
        <f t="shared" ref="K938:K941" si="261">I938-G938</f>
        <v>31457</v>
      </c>
    </row>
    <row r="939" spans="1:11" s="410" customFormat="1" ht="22.5" x14ac:dyDescent="0.2">
      <c r="A939" s="202" t="s">
        <v>547</v>
      </c>
      <c r="B939" s="209" t="s">
        <v>609</v>
      </c>
      <c r="C939" s="209" t="s">
        <v>502</v>
      </c>
      <c r="D939" s="209" t="s">
        <v>1603</v>
      </c>
      <c r="E939" s="209" t="s">
        <v>519</v>
      </c>
      <c r="F939" s="215">
        <f>F940+F941</f>
        <v>0</v>
      </c>
      <c r="G939" s="203">
        <f t="shared" ref="G939:I939" si="262">G940+G941</f>
        <v>0</v>
      </c>
      <c r="H939" s="215">
        <f t="shared" si="262"/>
        <v>31457</v>
      </c>
      <c r="I939" s="203">
        <f t="shared" si="262"/>
        <v>31457</v>
      </c>
      <c r="J939" s="216">
        <f t="shared" si="260"/>
        <v>31457</v>
      </c>
      <c r="K939" s="204">
        <f t="shared" si="261"/>
        <v>31457</v>
      </c>
    </row>
    <row r="940" spans="1:11" s="410" customFormat="1" x14ac:dyDescent="0.2">
      <c r="A940" s="202" t="s">
        <v>571</v>
      </c>
      <c r="B940" s="209" t="s">
        <v>609</v>
      </c>
      <c r="C940" s="209" t="s">
        <v>502</v>
      </c>
      <c r="D940" s="209" t="s">
        <v>1603</v>
      </c>
      <c r="E940" s="209" t="s">
        <v>522</v>
      </c>
      <c r="F940" s="215">
        <v>0</v>
      </c>
      <c r="G940" s="203">
        <v>0</v>
      </c>
      <c r="H940" s="215">
        <f>'Ведомственная 2020'!H1194</f>
        <v>28540</v>
      </c>
      <c r="I940" s="203">
        <f>H940</f>
        <v>28540</v>
      </c>
      <c r="J940" s="216">
        <f t="shared" si="260"/>
        <v>28540</v>
      </c>
      <c r="K940" s="204">
        <f t="shared" si="261"/>
        <v>28540</v>
      </c>
    </row>
    <row r="941" spans="1:11" s="410" customFormat="1" x14ac:dyDescent="0.2">
      <c r="A941" s="202" t="s">
        <v>546</v>
      </c>
      <c r="B941" s="209" t="s">
        <v>609</v>
      </c>
      <c r="C941" s="209" t="s">
        <v>502</v>
      </c>
      <c r="D941" s="209" t="s">
        <v>1603</v>
      </c>
      <c r="E941" s="209" t="s">
        <v>544</v>
      </c>
      <c r="F941" s="215">
        <v>0</v>
      </c>
      <c r="G941" s="203">
        <v>0</v>
      </c>
      <c r="H941" s="215">
        <f>'Ведомственная 2020'!H1195</f>
        <v>2917</v>
      </c>
      <c r="I941" s="203">
        <f>H941</f>
        <v>2917</v>
      </c>
      <c r="J941" s="216">
        <f t="shared" si="260"/>
        <v>2917</v>
      </c>
      <c r="K941" s="204">
        <f t="shared" si="261"/>
        <v>2917</v>
      </c>
    </row>
    <row r="942" spans="1:11" ht="78.75" x14ac:dyDescent="0.2">
      <c r="A942" s="202" t="s">
        <v>716</v>
      </c>
      <c r="B942" s="209" t="s">
        <v>609</v>
      </c>
      <c r="C942" s="209" t="s">
        <v>502</v>
      </c>
      <c r="D942" s="209" t="s">
        <v>715</v>
      </c>
      <c r="E942" s="209"/>
      <c r="F942" s="215">
        <v>2296132</v>
      </c>
      <c r="G942" s="203">
        <v>2296132</v>
      </c>
      <c r="H942" s="215">
        <f t="shared" ref="H942:I942" si="263">H943</f>
        <v>2490901.7000000002</v>
      </c>
      <c r="I942" s="203">
        <f t="shared" si="263"/>
        <v>2490901.7000000002</v>
      </c>
      <c r="J942" s="216">
        <f t="shared" si="257"/>
        <v>194769.70000000019</v>
      </c>
      <c r="K942" s="204">
        <f t="shared" si="258"/>
        <v>194769.70000000019</v>
      </c>
    </row>
    <row r="943" spans="1:11" ht="22.5" x14ac:dyDescent="0.2">
      <c r="A943" s="202" t="s">
        <v>547</v>
      </c>
      <c r="B943" s="209" t="s">
        <v>609</v>
      </c>
      <c r="C943" s="209" t="s">
        <v>502</v>
      </c>
      <c r="D943" s="209" t="s">
        <v>715</v>
      </c>
      <c r="E943" s="209" t="s">
        <v>519</v>
      </c>
      <c r="F943" s="215">
        <v>2296132</v>
      </c>
      <c r="G943" s="203">
        <v>2296132</v>
      </c>
      <c r="H943" s="215">
        <f>H944+H945</f>
        <v>2490901.7000000002</v>
      </c>
      <c r="I943" s="203">
        <f>I944+I945</f>
        <v>2490901.7000000002</v>
      </c>
      <c r="J943" s="216">
        <f t="shared" si="257"/>
        <v>194769.70000000019</v>
      </c>
      <c r="K943" s="204">
        <f t="shared" si="258"/>
        <v>194769.70000000019</v>
      </c>
    </row>
    <row r="944" spans="1:11" x14ac:dyDescent="0.2">
      <c r="A944" s="202" t="s">
        <v>571</v>
      </c>
      <c r="B944" s="209" t="s">
        <v>609</v>
      </c>
      <c r="C944" s="209" t="s">
        <v>502</v>
      </c>
      <c r="D944" s="209" t="s">
        <v>715</v>
      </c>
      <c r="E944" s="209" t="s">
        <v>522</v>
      </c>
      <c r="F944" s="215">
        <v>2094688</v>
      </c>
      <c r="G944" s="203">
        <v>2094688</v>
      </c>
      <c r="H944" s="215">
        <f>'Ведомственная 2020'!H1198</f>
        <v>2214194.7000000002</v>
      </c>
      <c r="I944" s="203">
        <f>H944</f>
        <v>2214194.7000000002</v>
      </c>
      <c r="J944" s="216">
        <f t="shared" si="257"/>
        <v>119506.70000000019</v>
      </c>
      <c r="K944" s="204">
        <f t="shared" si="258"/>
        <v>119506.70000000019</v>
      </c>
    </row>
    <row r="945" spans="1:11" s="296" customFormat="1" x14ac:dyDescent="0.2">
      <c r="A945" s="202" t="s">
        <v>546</v>
      </c>
      <c r="B945" s="209" t="s">
        <v>609</v>
      </c>
      <c r="C945" s="209" t="s">
        <v>502</v>
      </c>
      <c r="D945" s="209" t="s">
        <v>715</v>
      </c>
      <c r="E945" s="209" t="s">
        <v>544</v>
      </c>
      <c r="F945" s="215">
        <v>201444</v>
      </c>
      <c r="G945" s="203">
        <v>201444</v>
      </c>
      <c r="H945" s="215">
        <f>'Ведомственная 2020'!H1199</f>
        <v>276707</v>
      </c>
      <c r="I945" s="203">
        <f>H945</f>
        <v>276707</v>
      </c>
      <c r="J945" s="216">
        <f t="shared" ref="J945" si="264">H945-F945</f>
        <v>75263</v>
      </c>
      <c r="K945" s="204">
        <f t="shared" ref="K945" si="265">I945-G945</f>
        <v>75263</v>
      </c>
    </row>
    <row r="946" spans="1:11" ht="78.75" x14ac:dyDescent="0.2">
      <c r="A946" s="202" t="s">
        <v>714</v>
      </c>
      <c r="B946" s="209" t="s">
        <v>609</v>
      </c>
      <c r="C946" s="209" t="s">
        <v>502</v>
      </c>
      <c r="D946" s="209" t="s">
        <v>713</v>
      </c>
      <c r="E946" s="209"/>
      <c r="F946" s="215">
        <v>160875</v>
      </c>
      <c r="G946" s="203">
        <v>160875</v>
      </c>
      <c r="H946" s="215">
        <f t="shared" ref="H946:I947" si="266">H947</f>
        <v>178798</v>
      </c>
      <c r="I946" s="203">
        <f t="shared" si="266"/>
        <v>178798</v>
      </c>
      <c r="J946" s="216">
        <f t="shared" si="257"/>
        <v>17923</v>
      </c>
      <c r="K946" s="204">
        <f t="shared" si="258"/>
        <v>17923</v>
      </c>
    </row>
    <row r="947" spans="1:11" ht="22.5" x14ac:dyDescent="0.2">
      <c r="A947" s="202" t="s">
        <v>547</v>
      </c>
      <c r="B947" s="209" t="s">
        <v>609</v>
      </c>
      <c r="C947" s="209" t="s">
        <v>502</v>
      </c>
      <c r="D947" s="209" t="s">
        <v>713</v>
      </c>
      <c r="E947" s="209" t="s">
        <v>519</v>
      </c>
      <c r="F947" s="215">
        <v>160875</v>
      </c>
      <c r="G947" s="203">
        <v>160875</v>
      </c>
      <c r="H947" s="215">
        <f t="shared" si="266"/>
        <v>178798</v>
      </c>
      <c r="I947" s="203">
        <f t="shared" si="266"/>
        <v>178798</v>
      </c>
      <c r="J947" s="216">
        <f t="shared" si="257"/>
        <v>17923</v>
      </c>
      <c r="K947" s="204">
        <f t="shared" si="258"/>
        <v>17923</v>
      </c>
    </row>
    <row r="948" spans="1:11" ht="22.5" x14ac:dyDescent="0.2">
      <c r="A948" s="202" t="s">
        <v>705</v>
      </c>
      <c r="B948" s="209" t="s">
        <v>609</v>
      </c>
      <c r="C948" s="209" t="s">
        <v>502</v>
      </c>
      <c r="D948" s="209" t="s">
        <v>713</v>
      </c>
      <c r="E948" s="209" t="s">
        <v>703</v>
      </c>
      <c r="F948" s="215">
        <v>160875</v>
      </c>
      <c r="G948" s="203">
        <v>160875</v>
      </c>
      <c r="H948" s="215">
        <f>'Ведомственная 2020'!H1202</f>
        <v>178798</v>
      </c>
      <c r="I948" s="203">
        <f>H948</f>
        <v>178798</v>
      </c>
      <c r="J948" s="216">
        <f t="shared" si="257"/>
        <v>17923</v>
      </c>
      <c r="K948" s="204">
        <f t="shared" si="258"/>
        <v>17923</v>
      </c>
    </row>
    <row r="949" spans="1:11" ht="22.5" x14ac:dyDescent="0.2">
      <c r="A949" s="202" t="s">
        <v>712</v>
      </c>
      <c r="B949" s="209" t="s">
        <v>609</v>
      </c>
      <c r="C949" s="209" t="s">
        <v>502</v>
      </c>
      <c r="D949" s="209" t="s">
        <v>711</v>
      </c>
      <c r="E949" s="209"/>
      <c r="F949" s="215">
        <v>8325</v>
      </c>
      <c r="G949" s="203">
        <v>8325</v>
      </c>
      <c r="H949" s="215">
        <f t="shared" ref="H949:I951" si="267">H950</f>
        <v>8537.4</v>
      </c>
      <c r="I949" s="203">
        <f t="shared" si="267"/>
        <v>8537.4</v>
      </c>
      <c r="J949" s="216">
        <f t="shared" si="257"/>
        <v>212.39999999999964</v>
      </c>
      <c r="K949" s="204">
        <f t="shared" si="258"/>
        <v>212.39999999999964</v>
      </c>
    </row>
    <row r="950" spans="1:11" ht="45" x14ac:dyDescent="0.2">
      <c r="A950" s="202" t="s">
        <v>710</v>
      </c>
      <c r="B950" s="209" t="s">
        <v>609</v>
      </c>
      <c r="C950" s="209" t="s">
        <v>502</v>
      </c>
      <c r="D950" s="209" t="s">
        <v>709</v>
      </c>
      <c r="E950" s="209"/>
      <c r="F950" s="215">
        <v>8325</v>
      </c>
      <c r="G950" s="203">
        <v>8325</v>
      </c>
      <c r="H950" s="215">
        <f t="shared" si="267"/>
        <v>8537.4</v>
      </c>
      <c r="I950" s="203">
        <f t="shared" si="267"/>
        <v>8537.4</v>
      </c>
      <c r="J950" s="216">
        <f t="shared" si="257"/>
        <v>212.39999999999964</v>
      </c>
      <c r="K950" s="204">
        <f t="shared" si="258"/>
        <v>212.39999999999964</v>
      </c>
    </row>
    <row r="951" spans="1:11" ht="22.5" x14ac:dyDescent="0.2">
      <c r="A951" s="202" t="s">
        <v>547</v>
      </c>
      <c r="B951" s="209" t="s">
        <v>609</v>
      </c>
      <c r="C951" s="209" t="s">
        <v>502</v>
      </c>
      <c r="D951" s="209" t="s">
        <v>709</v>
      </c>
      <c r="E951" s="209" t="s">
        <v>519</v>
      </c>
      <c r="F951" s="215">
        <v>8325</v>
      </c>
      <c r="G951" s="203">
        <v>8325</v>
      </c>
      <c r="H951" s="215">
        <f t="shared" si="267"/>
        <v>8537.4</v>
      </c>
      <c r="I951" s="203">
        <f t="shared" si="267"/>
        <v>8537.4</v>
      </c>
      <c r="J951" s="216">
        <f t="shared" si="257"/>
        <v>212.39999999999964</v>
      </c>
      <c r="K951" s="204">
        <f t="shared" si="258"/>
        <v>212.39999999999964</v>
      </c>
    </row>
    <row r="952" spans="1:11" x14ac:dyDescent="0.2">
      <c r="A952" s="202" t="s">
        <v>571</v>
      </c>
      <c r="B952" s="209" t="s">
        <v>609</v>
      </c>
      <c r="C952" s="209" t="s">
        <v>502</v>
      </c>
      <c r="D952" s="209" t="s">
        <v>709</v>
      </c>
      <c r="E952" s="209" t="s">
        <v>522</v>
      </c>
      <c r="F952" s="215">
        <v>8325</v>
      </c>
      <c r="G952" s="203">
        <v>8325</v>
      </c>
      <c r="H952" s="215">
        <f>'Ведомственная 2020'!H1206</f>
        <v>8537.4</v>
      </c>
      <c r="I952" s="203">
        <f>H952</f>
        <v>8537.4</v>
      </c>
      <c r="J952" s="216">
        <f t="shared" si="257"/>
        <v>212.39999999999964</v>
      </c>
      <c r="K952" s="204">
        <f t="shared" si="258"/>
        <v>212.39999999999964</v>
      </c>
    </row>
    <row r="953" spans="1:11" ht="39" customHeight="1" x14ac:dyDescent="0.2">
      <c r="A953" s="202" t="s">
        <v>708</v>
      </c>
      <c r="B953" s="209" t="s">
        <v>609</v>
      </c>
      <c r="C953" s="209" t="s">
        <v>502</v>
      </c>
      <c r="D953" s="209" t="s">
        <v>707</v>
      </c>
      <c r="E953" s="209"/>
      <c r="F953" s="215">
        <v>150667.79999999999</v>
      </c>
      <c r="G953" s="203">
        <v>147094</v>
      </c>
      <c r="H953" s="215">
        <f>H960+H965+H969+H954</f>
        <v>205207.1</v>
      </c>
      <c r="I953" s="203">
        <f>I960+I965+I969+I954</f>
        <v>133730.29999999999</v>
      </c>
      <c r="J953" s="216">
        <f t="shared" si="257"/>
        <v>54539.300000000017</v>
      </c>
      <c r="K953" s="204">
        <f t="shared" si="258"/>
        <v>-13363.700000000012</v>
      </c>
    </row>
    <row r="954" spans="1:11" s="414" customFormat="1" ht="86.25" customHeight="1" x14ac:dyDescent="0.2">
      <c r="A954" s="202" t="s">
        <v>1609</v>
      </c>
      <c r="B954" s="209" t="s">
        <v>609</v>
      </c>
      <c r="C954" s="209" t="s">
        <v>502</v>
      </c>
      <c r="D954" s="209" t="s">
        <v>1610</v>
      </c>
      <c r="E954" s="209"/>
      <c r="F954" s="215">
        <v>0</v>
      </c>
      <c r="G954" s="203">
        <v>0</v>
      </c>
      <c r="H954" s="215">
        <f>H955+H957</f>
        <v>46602</v>
      </c>
      <c r="I954" s="203">
        <f t="shared" ref="I954:I959" si="268">H954</f>
        <v>46602</v>
      </c>
      <c r="J954" s="216">
        <f t="shared" ref="J954:J959" si="269">H954-F954</f>
        <v>46602</v>
      </c>
      <c r="K954" s="204">
        <f t="shared" ref="K954:K959" si="270">I954-G954</f>
        <v>46602</v>
      </c>
    </row>
    <row r="955" spans="1:11" s="414" customFormat="1" x14ac:dyDescent="0.2">
      <c r="A955" s="202" t="s">
        <v>553</v>
      </c>
      <c r="B955" s="209" t="s">
        <v>609</v>
      </c>
      <c r="C955" s="209" t="s">
        <v>502</v>
      </c>
      <c r="D955" s="209" t="s">
        <v>1610</v>
      </c>
      <c r="E955" s="209">
        <v>300</v>
      </c>
      <c r="F955" s="215">
        <f>F956</f>
        <v>0</v>
      </c>
      <c r="G955" s="203">
        <f>G956</f>
        <v>0</v>
      </c>
      <c r="H955" s="215">
        <f>H956</f>
        <v>38835</v>
      </c>
      <c r="I955" s="203">
        <f t="shared" si="268"/>
        <v>38835</v>
      </c>
      <c r="J955" s="216">
        <f t="shared" si="269"/>
        <v>38835</v>
      </c>
      <c r="K955" s="204">
        <f t="shared" si="270"/>
        <v>38835</v>
      </c>
    </row>
    <row r="956" spans="1:11" s="414" customFormat="1" x14ac:dyDescent="0.2">
      <c r="A956" s="202" t="s">
        <v>832</v>
      </c>
      <c r="B956" s="209" t="s">
        <v>609</v>
      </c>
      <c r="C956" s="209" t="s">
        <v>502</v>
      </c>
      <c r="D956" s="209" t="s">
        <v>1610</v>
      </c>
      <c r="E956" s="209">
        <v>320</v>
      </c>
      <c r="F956" s="215">
        <v>0</v>
      </c>
      <c r="G956" s="203">
        <v>0</v>
      </c>
      <c r="H956" s="215">
        <f>'Ведомственная 2020'!H1210</f>
        <v>38835</v>
      </c>
      <c r="I956" s="203">
        <f t="shared" si="268"/>
        <v>38835</v>
      </c>
      <c r="J956" s="216">
        <f t="shared" si="269"/>
        <v>38835</v>
      </c>
      <c r="K956" s="204">
        <f t="shared" si="270"/>
        <v>38835</v>
      </c>
    </row>
    <row r="957" spans="1:11" s="414" customFormat="1" ht="22.5" x14ac:dyDescent="0.2">
      <c r="A957" s="202" t="s">
        <v>547</v>
      </c>
      <c r="B957" s="209" t="s">
        <v>609</v>
      </c>
      <c r="C957" s="209" t="s">
        <v>502</v>
      </c>
      <c r="D957" s="209" t="s">
        <v>1610</v>
      </c>
      <c r="E957" s="209">
        <v>600</v>
      </c>
      <c r="F957" s="215">
        <v>0</v>
      </c>
      <c r="G957" s="203">
        <v>0</v>
      </c>
      <c r="H957" s="215">
        <f>H958+H959</f>
        <v>7767</v>
      </c>
      <c r="I957" s="203">
        <f t="shared" si="268"/>
        <v>7767</v>
      </c>
      <c r="J957" s="216">
        <f t="shared" si="269"/>
        <v>7767</v>
      </c>
      <c r="K957" s="204">
        <f t="shared" si="270"/>
        <v>7767</v>
      </c>
    </row>
    <row r="958" spans="1:11" s="414" customFormat="1" x14ac:dyDescent="0.2">
      <c r="A958" s="202" t="s">
        <v>546</v>
      </c>
      <c r="B958" s="209" t="s">
        <v>609</v>
      </c>
      <c r="C958" s="209" t="s">
        <v>502</v>
      </c>
      <c r="D958" s="209" t="s">
        <v>1610</v>
      </c>
      <c r="E958" s="209">
        <v>620</v>
      </c>
      <c r="F958" s="215">
        <v>0</v>
      </c>
      <c r="G958" s="203">
        <v>0</v>
      </c>
      <c r="H958" s="215">
        <f>'Ведомственная 2020'!H1212</f>
        <v>4126</v>
      </c>
      <c r="I958" s="203">
        <f t="shared" si="268"/>
        <v>4126</v>
      </c>
      <c r="J958" s="216">
        <f t="shared" si="269"/>
        <v>4126</v>
      </c>
      <c r="K958" s="204">
        <f t="shared" si="270"/>
        <v>4126</v>
      </c>
    </row>
    <row r="959" spans="1:11" s="414" customFormat="1" ht="22.5" x14ac:dyDescent="0.2">
      <c r="A959" s="202" t="s">
        <v>705</v>
      </c>
      <c r="B959" s="209" t="s">
        <v>609</v>
      </c>
      <c r="C959" s="209" t="s">
        <v>502</v>
      </c>
      <c r="D959" s="209" t="s">
        <v>1610</v>
      </c>
      <c r="E959" s="209">
        <v>630</v>
      </c>
      <c r="F959" s="215">
        <v>0</v>
      </c>
      <c r="G959" s="203">
        <v>0</v>
      </c>
      <c r="H959" s="215">
        <f>'Ведомственная 2020'!H1213</f>
        <v>3641</v>
      </c>
      <c r="I959" s="203">
        <f t="shared" si="268"/>
        <v>3641</v>
      </c>
      <c r="J959" s="216">
        <f t="shared" si="269"/>
        <v>3641</v>
      </c>
      <c r="K959" s="204">
        <f t="shared" si="270"/>
        <v>3641</v>
      </c>
    </row>
    <row r="960" spans="1:11" ht="56.25" x14ac:dyDescent="0.2">
      <c r="A960" s="202" t="s">
        <v>706</v>
      </c>
      <c r="B960" s="209" t="s">
        <v>609</v>
      </c>
      <c r="C960" s="209" t="s">
        <v>502</v>
      </c>
      <c r="D960" s="209" t="s">
        <v>704</v>
      </c>
      <c r="E960" s="209"/>
      <c r="F960" s="215">
        <v>146900</v>
      </c>
      <c r="G960" s="203">
        <v>146900</v>
      </c>
      <c r="H960" s="215">
        <f>H961</f>
        <v>86934.3</v>
      </c>
      <c r="I960" s="203">
        <f>I961</f>
        <v>86934.3</v>
      </c>
      <c r="J960" s="216">
        <f t="shared" si="257"/>
        <v>-59965.7</v>
      </c>
      <c r="K960" s="204">
        <f t="shared" si="258"/>
        <v>-59965.7</v>
      </c>
    </row>
    <row r="961" spans="1:11" ht="22.5" x14ac:dyDescent="0.2">
      <c r="A961" s="202" t="s">
        <v>547</v>
      </c>
      <c r="B961" s="209" t="s">
        <v>609</v>
      </c>
      <c r="C961" s="209" t="s">
        <v>502</v>
      </c>
      <c r="D961" s="209" t="s">
        <v>704</v>
      </c>
      <c r="E961" s="209" t="s">
        <v>519</v>
      </c>
      <c r="F961" s="215">
        <v>146900</v>
      </c>
      <c r="G961" s="203">
        <v>146900</v>
      </c>
      <c r="H961" s="215">
        <f>H962+H963+H964+0.1</f>
        <v>86934.3</v>
      </c>
      <c r="I961" s="203">
        <f>I962+I963+I964+0.1</f>
        <v>86934.3</v>
      </c>
      <c r="J961" s="216">
        <f t="shared" si="257"/>
        <v>-59965.7</v>
      </c>
      <c r="K961" s="204">
        <f t="shared" si="258"/>
        <v>-59965.7</v>
      </c>
    </row>
    <row r="962" spans="1:11" x14ac:dyDescent="0.2">
      <c r="A962" s="202" t="s">
        <v>571</v>
      </c>
      <c r="B962" s="209" t="s">
        <v>609</v>
      </c>
      <c r="C962" s="209" t="s">
        <v>502</v>
      </c>
      <c r="D962" s="209" t="s">
        <v>704</v>
      </c>
      <c r="E962" s="209" t="s">
        <v>522</v>
      </c>
      <c r="F962" s="215">
        <v>123364.9</v>
      </c>
      <c r="G962" s="203">
        <v>123364.9</v>
      </c>
      <c r="H962" s="215">
        <f>'Ведомственная 2020'!H1216</f>
        <v>73369.399999999994</v>
      </c>
      <c r="I962" s="203">
        <f>H962</f>
        <v>73369.399999999994</v>
      </c>
      <c r="J962" s="216">
        <f t="shared" si="257"/>
        <v>-49995.5</v>
      </c>
      <c r="K962" s="204">
        <f t="shared" si="258"/>
        <v>-49995.5</v>
      </c>
    </row>
    <row r="963" spans="1:11" x14ac:dyDescent="0.2">
      <c r="A963" s="202" t="s">
        <v>546</v>
      </c>
      <c r="B963" s="209" t="s">
        <v>609</v>
      </c>
      <c r="C963" s="209" t="s">
        <v>502</v>
      </c>
      <c r="D963" s="209" t="s">
        <v>704</v>
      </c>
      <c r="E963" s="209" t="s">
        <v>544</v>
      </c>
      <c r="F963" s="215">
        <v>15640.3</v>
      </c>
      <c r="G963" s="203">
        <v>15640.3</v>
      </c>
      <c r="H963" s="215">
        <f>'Ведомственная 2020'!H1217</f>
        <v>9223.7999999999993</v>
      </c>
      <c r="I963" s="203">
        <f>H963</f>
        <v>9223.7999999999993</v>
      </c>
      <c r="J963" s="216">
        <f t="shared" si="257"/>
        <v>-6416.5</v>
      </c>
      <c r="K963" s="204">
        <f t="shared" si="258"/>
        <v>-6416.5</v>
      </c>
    </row>
    <row r="964" spans="1:11" ht="22.5" x14ac:dyDescent="0.2">
      <c r="A964" s="202" t="s">
        <v>705</v>
      </c>
      <c r="B964" s="209" t="s">
        <v>609</v>
      </c>
      <c r="C964" s="209" t="s">
        <v>502</v>
      </c>
      <c r="D964" s="209" t="s">
        <v>704</v>
      </c>
      <c r="E964" s="209" t="s">
        <v>703</v>
      </c>
      <c r="F964" s="215">
        <v>7894.7</v>
      </c>
      <c r="G964" s="203">
        <v>7894.7</v>
      </c>
      <c r="H964" s="215">
        <f>'Ведомственная 2020'!H1218</f>
        <v>4341</v>
      </c>
      <c r="I964" s="203">
        <f>H964</f>
        <v>4341</v>
      </c>
      <c r="J964" s="216">
        <f t="shared" si="257"/>
        <v>-3553.7</v>
      </c>
      <c r="K964" s="204">
        <f t="shared" si="258"/>
        <v>-3553.7</v>
      </c>
    </row>
    <row r="965" spans="1:11" ht="33.75" x14ac:dyDescent="0.2">
      <c r="A965" s="202" t="s">
        <v>702</v>
      </c>
      <c r="B965" s="209" t="s">
        <v>609</v>
      </c>
      <c r="C965" s="209" t="s">
        <v>502</v>
      </c>
      <c r="D965" s="209" t="s">
        <v>701</v>
      </c>
      <c r="E965" s="209"/>
      <c r="F965" s="215">
        <v>194</v>
      </c>
      <c r="G965" s="203">
        <v>194</v>
      </c>
      <c r="H965" s="215">
        <f>H966</f>
        <v>194</v>
      </c>
      <c r="I965" s="203">
        <f>I966</f>
        <v>194</v>
      </c>
      <c r="J965" s="216">
        <f t="shared" si="257"/>
        <v>0</v>
      </c>
      <c r="K965" s="204">
        <f t="shared" si="258"/>
        <v>0</v>
      </c>
    </row>
    <row r="966" spans="1:11" ht="22.5" x14ac:dyDescent="0.2">
      <c r="A966" s="202" t="s">
        <v>547</v>
      </c>
      <c r="B966" s="209" t="s">
        <v>609</v>
      </c>
      <c r="C966" s="209" t="s">
        <v>502</v>
      </c>
      <c r="D966" s="209" t="s">
        <v>701</v>
      </c>
      <c r="E966" s="209" t="s">
        <v>519</v>
      </c>
      <c r="F966" s="215">
        <v>194</v>
      </c>
      <c r="G966" s="203">
        <v>194</v>
      </c>
      <c r="H966" s="215">
        <f>H967+H968</f>
        <v>194</v>
      </c>
      <c r="I966" s="203">
        <f>I967+I968</f>
        <v>194</v>
      </c>
      <c r="J966" s="216">
        <f t="shared" si="257"/>
        <v>0</v>
      </c>
      <c r="K966" s="204">
        <f t="shared" si="258"/>
        <v>0</v>
      </c>
    </row>
    <row r="967" spans="1:11" x14ac:dyDescent="0.2">
      <c r="A967" s="202" t="s">
        <v>571</v>
      </c>
      <c r="B967" s="209" t="s">
        <v>609</v>
      </c>
      <c r="C967" s="209" t="s">
        <v>502</v>
      </c>
      <c r="D967" s="209" t="s">
        <v>701</v>
      </c>
      <c r="E967" s="209" t="s">
        <v>522</v>
      </c>
      <c r="F967" s="215">
        <v>169</v>
      </c>
      <c r="G967" s="203">
        <v>169</v>
      </c>
      <c r="H967" s="215">
        <f>'Ведомственная 2020'!H1221</f>
        <v>169</v>
      </c>
      <c r="I967" s="203">
        <f>H967</f>
        <v>169</v>
      </c>
      <c r="J967" s="216">
        <f t="shared" si="257"/>
        <v>0</v>
      </c>
      <c r="K967" s="204">
        <f t="shared" si="258"/>
        <v>0</v>
      </c>
    </row>
    <row r="968" spans="1:11" x14ac:dyDescent="0.2">
      <c r="A968" s="202" t="s">
        <v>546</v>
      </c>
      <c r="B968" s="209" t="s">
        <v>609</v>
      </c>
      <c r="C968" s="209" t="s">
        <v>502</v>
      </c>
      <c r="D968" s="209" t="s">
        <v>701</v>
      </c>
      <c r="E968" s="209" t="s">
        <v>544</v>
      </c>
      <c r="F968" s="215">
        <v>25</v>
      </c>
      <c r="G968" s="203">
        <v>25</v>
      </c>
      <c r="H968" s="215">
        <f>'Ведомственная 2020'!H1222</f>
        <v>25</v>
      </c>
      <c r="I968" s="203">
        <f>H968</f>
        <v>25</v>
      </c>
      <c r="J968" s="216">
        <f t="shared" si="257"/>
        <v>0</v>
      </c>
      <c r="K968" s="204">
        <f t="shared" si="258"/>
        <v>0</v>
      </c>
    </row>
    <row r="969" spans="1:11" s="402" customFormat="1" ht="22.5" x14ac:dyDescent="0.2">
      <c r="A969" s="202" t="s">
        <v>1536</v>
      </c>
      <c r="B969" s="209" t="s">
        <v>609</v>
      </c>
      <c r="C969" s="209" t="s">
        <v>502</v>
      </c>
      <c r="D969" s="209" t="s">
        <v>1537</v>
      </c>
      <c r="E969" s="209"/>
      <c r="F969" s="215">
        <v>3573.8</v>
      </c>
      <c r="G969" s="203">
        <v>0</v>
      </c>
      <c r="H969" s="215">
        <f>H970+H972</f>
        <v>71476.800000000003</v>
      </c>
      <c r="I969" s="203">
        <f t="shared" ref="H969:I970" si="271">I970</f>
        <v>0</v>
      </c>
      <c r="J969" s="216">
        <f t="shared" ref="J969:J971" si="272">H969-F969</f>
        <v>67903</v>
      </c>
      <c r="K969" s="204">
        <f t="shared" ref="K969:K971" si="273">I969-G969</f>
        <v>0</v>
      </c>
    </row>
    <row r="970" spans="1:11" s="402" customFormat="1" x14ac:dyDescent="0.2">
      <c r="A970" s="202" t="s">
        <v>1347</v>
      </c>
      <c r="B970" s="209" t="s">
        <v>609</v>
      </c>
      <c r="C970" s="209" t="s">
        <v>502</v>
      </c>
      <c r="D970" s="209" t="s">
        <v>1537</v>
      </c>
      <c r="E970" s="209" t="s">
        <v>535</v>
      </c>
      <c r="F970" s="215">
        <v>3573.8</v>
      </c>
      <c r="G970" s="203">
        <v>0</v>
      </c>
      <c r="H970" s="215">
        <f t="shared" si="271"/>
        <v>64376.800000000003</v>
      </c>
      <c r="I970" s="203">
        <f t="shared" si="271"/>
        <v>0</v>
      </c>
      <c r="J970" s="216">
        <f t="shared" si="272"/>
        <v>60803</v>
      </c>
      <c r="K970" s="204">
        <f t="shared" si="273"/>
        <v>0</v>
      </c>
    </row>
    <row r="971" spans="1:11" s="402" customFormat="1" ht="22.5" x14ac:dyDescent="0.2">
      <c r="A971" s="202" t="s">
        <v>534</v>
      </c>
      <c r="B971" s="209" t="s">
        <v>609</v>
      </c>
      <c r="C971" s="209" t="s">
        <v>502</v>
      </c>
      <c r="D971" s="209" t="s">
        <v>1537</v>
      </c>
      <c r="E971" s="209" t="s">
        <v>529</v>
      </c>
      <c r="F971" s="215">
        <v>3573.8</v>
      </c>
      <c r="G971" s="203">
        <v>0</v>
      </c>
      <c r="H971" s="215">
        <f>'Ведомственная 2020'!H1225</f>
        <v>64376.800000000003</v>
      </c>
      <c r="I971" s="203">
        <v>0</v>
      </c>
      <c r="J971" s="216">
        <f t="shared" si="272"/>
        <v>60803</v>
      </c>
      <c r="K971" s="204">
        <f t="shared" si="273"/>
        <v>0</v>
      </c>
    </row>
    <row r="972" spans="1:11" s="414" customFormat="1" ht="22.5" x14ac:dyDescent="0.2">
      <c r="A972" s="202" t="s">
        <v>547</v>
      </c>
      <c r="B972" s="209" t="s">
        <v>609</v>
      </c>
      <c r="C972" s="209" t="s">
        <v>502</v>
      </c>
      <c r="D972" s="209" t="s">
        <v>1537</v>
      </c>
      <c r="E972" s="209">
        <v>600</v>
      </c>
      <c r="F972" s="215">
        <f>F973</f>
        <v>0</v>
      </c>
      <c r="G972" s="203">
        <f>G973</f>
        <v>0</v>
      </c>
      <c r="H972" s="215">
        <f>H973</f>
        <v>7100</v>
      </c>
      <c r="I972" s="203">
        <f>I973</f>
        <v>0</v>
      </c>
      <c r="J972" s="216">
        <f t="shared" ref="J972:J973" si="274">H972-F972</f>
        <v>7100</v>
      </c>
      <c r="K972" s="204">
        <f t="shared" ref="K972:K973" si="275">I972-G972</f>
        <v>0</v>
      </c>
    </row>
    <row r="973" spans="1:11" s="414" customFormat="1" x14ac:dyDescent="0.2">
      <c r="A973" s="202" t="s">
        <v>546</v>
      </c>
      <c r="B973" s="209" t="s">
        <v>609</v>
      </c>
      <c r="C973" s="209" t="s">
        <v>502</v>
      </c>
      <c r="D973" s="209" t="s">
        <v>1537</v>
      </c>
      <c r="E973" s="209">
        <v>620</v>
      </c>
      <c r="F973" s="215">
        <v>0</v>
      </c>
      <c r="G973" s="203">
        <v>0</v>
      </c>
      <c r="H973" s="215">
        <f>'Ведомственная 2020'!H1227</f>
        <v>7100</v>
      </c>
      <c r="I973" s="203">
        <v>0</v>
      </c>
      <c r="J973" s="216">
        <f t="shared" si="274"/>
        <v>7100</v>
      </c>
      <c r="K973" s="204">
        <f t="shared" si="275"/>
        <v>0</v>
      </c>
    </row>
    <row r="974" spans="1:11" s="302" customFormat="1" x14ac:dyDescent="0.2">
      <c r="A974" s="202" t="s">
        <v>900</v>
      </c>
      <c r="B974" s="209" t="s">
        <v>609</v>
      </c>
      <c r="C974" s="209" t="s">
        <v>502</v>
      </c>
      <c r="D974" s="209" t="s">
        <v>1293</v>
      </c>
      <c r="E974" s="209"/>
      <c r="F974" s="215">
        <v>9225</v>
      </c>
      <c r="G974" s="203">
        <v>0</v>
      </c>
      <c r="H974" s="215">
        <f t="shared" ref="H974:I976" si="276">H975</f>
        <v>9225</v>
      </c>
      <c r="I974" s="203">
        <f t="shared" si="276"/>
        <v>0</v>
      </c>
      <c r="J974" s="216">
        <f t="shared" ref="J974:J977" si="277">H974-F974</f>
        <v>0</v>
      </c>
      <c r="K974" s="204">
        <f t="shared" ref="K974:K977" si="278">I974-G974</f>
        <v>0</v>
      </c>
    </row>
    <row r="975" spans="1:11" s="302" customFormat="1" ht="22.5" x14ac:dyDescent="0.2">
      <c r="A975" s="202" t="s">
        <v>1417</v>
      </c>
      <c r="B975" s="209" t="s">
        <v>609</v>
      </c>
      <c r="C975" s="209" t="s">
        <v>502</v>
      </c>
      <c r="D975" s="209" t="s">
        <v>1418</v>
      </c>
      <c r="E975" s="209"/>
      <c r="F975" s="215">
        <v>9225</v>
      </c>
      <c r="G975" s="203">
        <v>0</v>
      </c>
      <c r="H975" s="215">
        <f t="shared" si="276"/>
        <v>9225</v>
      </c>
      <c r="I975" s="203">
        <f t="shared" si="276"/>
        <v>0</v>
      </c>
      <c r="J975" s="216">
        <f t="shared" si="277"/>
        <v>0</v>
      </c>
      <c r="K975" s="204">
        <f t="shared" si="278"/>
        <v>0</v>
      </c>
    </row>
    <row r="976" spans="1:11" s="302" customFormat="1" x14ac:dyDescent="0.2">
      <c r="A976" s="202" t="s">
        <v>1347</v>
      </c>
      <c r="B976" s="209" t="s">
        <v>609</v>
      </c>
      <c r="C976" s="209" t="s">
        <v>502</v>
      </c>
      <c r="D976" s="209" t="s">
        <v>1418</v>
      </c>
      <c r="E976" s="209" t="s">
        <v>535</v>
      </c>
      <c r="F976" s="215">
        <v>9225</v>
      </c>
      <c r="G976" s="203">
        <v>0</v>
      </c>
      <c r="H976" s="215">
        <f t="shared" si="276"/>
        <v>9225</v>
      </c>
      <c r="I976" s="203">
        <f t="shared" si="276"/>
        <v>0</v>
      </c>
      <c r="J976" s="216">
        <f t="shared" si="277"/>
        <v>0</v>
      </c>
      <c r="K976" s="204">
        <f t="shared" si="278"/>
        <v>0</v>
      </c>
    </row>
    <row r="977" spans="1:11" s="302" customFormat="1" ht="22.5" x14ac:dyDescent="0.2">
      <c r="A977" s="202" t="s">
        <v>534</v>
      </c>
      <c r="B977" s="209" t="s">
        <v>609</v>
      </c>
      <c r="C977" s="209" t="s">
        <v>502</v>
      </c>
      <c r="D977" s="209" t="s">
        <v>1418</v>
      </c>
      <c r="E977" s="209" t="s">
        <v>529</v>
      </c>
      <c r="F977" s="215">
        <v>9225</v>
      </c>
      <c r="G977" s="203">
        <v>0</v>
      </c>
      <c r="H977" s="215">
        <f>'Ведомственная 2020'!H861</f>
        <v>9225</v>
      </c>
      <c r="I977" s="203">
        <v>0</v>
      </c>
      <c r="J977" s="216">
        <f t="shared" si="277"/>
        <v>0</v>
      </c>
      <c r="K977" s="204">
        <f t="shared" si="278"/>
        <v>0</v>
      </c>
    </row>
    <row r="978" spans="1:11" x14ac:dyDescent="0.2">
      <c r="A978" s="202" t="s">
        <v>908</v>
      </c>
      <c r="B978" s="209" t="s">
        <v>609</v>
      </c>
      <c r="C978" s="209" t="s">
        <v>502</v>
      </c>
      <c r="D978" s="209" t="s">
        <v>907</v>
      </c>
      <c r="E978" s="209"/>
      <c r="F978" s="215">
        <v>959013.10000000009</v>
      </c>
      <c r="G978" s="203">
        <v>0</v>
      </c>
      <c r="H978" s="215">
        <f>H979</f>
        <v>933885.3</v>
      </c>
      <c r="I978" s="203">
        <f>I979</f>
        <v>0</v>
      </c>
      <c r="J978" s="216">
        <f t="shared" si="257"/>
        <v>-25127.800000000047</v>
      </c>
      <c r="K978" s="204">
        <f t="shared" si="258"/>
        <v>0</v>
      </c>
    </row>
    <row r="979" spans="1:11" x14ac:dyDescent="0.2">
      <c r="A979" s="202" t="s">
        <v>906</v>
      </c>
      <c r="B979" s="209" t="s">
        <v>609</v>
      </c>
      <c r="C979" s="209" t="s">
        <v>502</v>
      </c>
      <c r="D979" s="209" t="s">
        <v>905</v>
      </c>
      <c r="E979" s="209"/>
      <c r="F979" s="215">
        <v>959013.10000000009</v>
      </c>
      <c r="G979" s="203">
        <v>0</v>
      </c>
      <c r="H979" s="215">
        <f>H980+H984</f>
        <v>933885.3</v>
      </c>
      <c r="I979" s="203">
        <f>I980+I984</f>
        <v>0</v>
      </c>
      <c r="J979" s="216">
        <f t="shared" si="257"/>
        <v>-25127.800000000047</v>
      </c>
      <c r="K979" s="204">
        <f t="shared" si="258"/>
        <v>0</v>
      </c>
    </row>
    <row r="980" spans="1:11" ht="22.5" x14ac:dyDescent="0.2">
      <c r="A980" s="202" t="s">
        <v>904</v>
      </c>
      <c r="B980" s="209" t="s">
        <v>609</v>
      </c>
      <c r="C980" s="209" t="s">
        <v>502</v>
      </c>
      <c r="D980" s="209" t="s">
        <v>903</v>
      </c>
      <c r="E980" s="209"/>
      <c r="F980" s="215">
        <v>10000</v>
      </c>
      <c r="G980" s="203">
        <v>0</v>
      </c>
      <c r="H980" s="215">
        <f t="shared" ref="H980:I982" si="279">H981</f>
        <v>10000</v>
      </c>
      <c r="I980" s="203">
        <f t="shared" si="279"/>
        <v>0</v>
      </c>
      <c r="J980" s="216">
        <f t="shared" si="257"/>
        <v>0</v>
      </c>
      <c r="K980" s="204">
        <f t="shared" si="258"/>
        <v>0</v>
      </c>
    </row>
    <row r="981" spans="1:11" ht="22.5" x14ac:dyDescent="0.2">
      <c r="A981" s="202" t="s">
        <v>902</v>
      </c>
      <c r="B981" s="209" t="s">
        <v>609</v>
      </c>
      <c r="C981" s="209" t="s">
        <v>502</v>
      </c>
      <c r="D981" s="209" t="s">
        <v>901</v>
      </c>
      <c r="E981" s="209"/>
      <c r="F981" s="215">
        <v>10000</v>
      </c>
      <c r="G981" s="203">
        <v>0</v>
      </c>
      <c r="H981" s="215">
        <f t="shared" si="279"/>
        <v>10000</v>
      </c>
      <c r="I981" s="203">
        <f t="shared" si="279"/>
        <v>0</v>
      </c>
      <c r="J981" s="216">
        <f t="shared" si="257"/>
        <v>0</v>
      </c>
      <c r="K981" s="204">
        <f t="shared" si="258"/>
        <v>0</v>
      </c>
    </row>
    <row r="982" spans="1:11" x14ac:dyDescent="0.2">
      <c r="A982" s="202" t="s">
        <v>1355</v>
      </c>
      <c r="B982" s="209" t="s">
        <v>609</v>
      </c>
      <c r="C982" s="209" t="s">
        <v>502</v>
      </c>
      <c r="D982" s="209" t="s">
        <v>901</v>
      </c>
      <c r="E982" s="209" t="s">
        <v>824</v>
      </c>
      <c r="F982" s="215">
        <v>10000</v>
      </c>
      <c r="G982" s="203">
        <v>0</v>
      </c>
      <c r="H982" s="215">
        <f t="shared" si="279"/>
        <v>10000</v>
      </c>
      <c r="I982" s="203">
        <f t="shared" si="279"/>
        <v>0</v>
      </c>
      <c r="J982" s="216">
        <f t="shared" si="257"/>
        <v>0</v>
      </c>
      <c r="K982" s="204">
        <f t="shared" si="258"/>
        <v>0</v>
      </c>
    </row>
    <row r="983" spans="1:11" x14ac:dyDescent="0.2">
      <c r="A983" s="202" t="s">
        <v>823</v>
      </c>
      <c r="B983" s="209" t="s">
        <v>609</v>
      </c>
      <c r="C983" s="209" t="s">
        <v>502</v>
      </c>
      <c r="D983" s="209" t="s">
        <v>901</v>
      </c>
      <c r="E983" s="209" t="s">
        <v>821</v>
      </c>
      <c r="F983" s="215">
        <v>10000</v>
      </c>
      <c r="G983" s="203">
        <v>0</v>
      </c>
      <c r="H983" s="215">
        <f>'Ведомственная 2020'!H867</f>
        <v>10000</v>
      </c>
      <c r="I983" s="203">
        <v>0</v>
      </c>
      <c r="J983" s="216">
        <f t="shared" si="257"/>
        <v>0</v>
      </c>
      <c r="K983" s="204">
        <f t="shared" si="258"/>
        <v>0</v>
      </c>
    </row>
    <row r="984" spans="1:11" x14ac:dyDescent="0.2">
      <c r="A984" s="202" t="s">
        <v>900</v>
      </c>
      <c r="B984" s="209" t="s">
        <v>609</v>
      </c>
      <c r="C984" s="209" t="s">
        <v>502</v>
      </c>
      <c r="D984" s="209" t="s">
        <v>899</v>
      </c>
      <c r="E984" s="209"/>
      <c r="F984" s="215">
        <v>949013.10000000009</v>
      </c>
      <c r="G984" s="203">
        <v>0</v>
      </c>
      <c r="H984" s="215">
        <f>H991+H994+H988+H985</f>
        <v>923885.3</v>
      </c>
      <c r="I984" s="203">
        <f>I991+I994</f>
        <v>0</v>
      </c>
      <c r="J984" s="216">
        <f t="shared" si="257"/>
        <v>-25127.800000000047</v>
      </c>
      <c r="K984" s="204">
        <f t="shared" si="258"/>
        <v>0</v>
      </c>
    </row>
    <row r="985" spans="1:11" s="447" customFormat="1" x14ac:dyDescent="0.2">
      <c r="A985" s="202" t="s">
        <v>1733</v>
      </c>
      <c r="B985" s="209" t="s">
        <v>609</v>
      </c>
      <c r="C985" s="209" t="s">
        <v>502</v>
      </c>
      <c r="D985" s="209" t="s">
        <v>1734</v>
      </c>
      <c r="E985" s="202"/>
      <c r="F985" s="215">
        <f>F986</f>
        <v>0</v>
      </c>
      <c r="G985" s="203">
        <f t="shared" ref="G985:I986" si="280">G986</f>
        <v>0</v>
      </c>
      <c r="H985" s="215">
        <f t="shared" si="280"/>
        <v>48</v>
      </c>
      <c r="I985" s="203">
        <f t="shared" si="280"/>
        <v>0</v>
      </c>
      <c r="J985" s="216">
        <f t="shared" ref="J985:J987" si="281">H985-F985</f>
        <v>48</v>
      </c>
      <c r="K985" s="204">
        <f t="shared" ref="K985:K987" si="282">I985-G985</f>
        <v>0</v>
      </c>
    </row>
    <row r="986" spans="1:11" s="447" customFormat="1" x14ac:dyDescent="0.2">
      <c r="A986" s="202" t="s">
        <v>1355</v>
      </c>
      <c r="B986" s="209" t="s">
        <v>609</v>
      </c>
      <c r="C986" s="209" t="s">
        <v>502</v>
      </c>
      <c r="D986" s="209" t="s">
        <v>1734</v>
      </c>
      <c r="E986" s="209" t="s">
        <v>824</v>
      </c>
      <c r="F986" s="215">
        <f>F987</f>
        <v>0</v>
      </c>
      <c r="G986" s="203">
        <f t="shared" si="280"/>
        <v>0</v>
      </c>
      <c r="H986" s="215">
        <f t="shared" si="280"/>
        <v>48</v>
      </c>
      <c r="I986" s="203">
        <f t="shared" si="280"/>
        <v>0</v>
      </c>
      <c r="J986" s="216">
        <f t="shared" si="281"/>
        <v>48</v>
      </c>
      <c r="K986" s="204">
        <f t="shared" si="282"/>
        <v>0</v>
      </c>
    </row>
    <row r="987" spans="1:11" s="447" customFormat="1" x14ac:dyDescent="0.2">
      <c r="A987" s="202" t="s">
        <v>823</v>
      </c>
      <c r="B987" s="209" t="s">
        <v>609</v>
      </c>
      <c r="C987" s="209" t="s">
        <v>502</v>
      </c>
      <c r="D987" s="209" t="s">
        <v>1734</v>
      </c>
      <c r="E987" s="209" t="s">
        <v>821</v>
      </c>
      <c r="F987" s="215">
        <v>0</v>
      </c>
      <c r="G987" s="203">
        <v>0</v>
      </c>
      <c r="H987" s="215">
        <f>'Ведомственная 2020'!H871</f>
        <v>48</v>
      </c>
      <c r="I987" s="203">
        <v>0</v>
      </c>
      <c r="J987" s="216">
        <f t="shared" si="281"/>
        <v>48</v>
      </c>
      <c r="K987" s="204">
        <f t="shared" si="282"/>
        <v>0</v>
      </c>
    </row>
    <row r="988" spans="1:11" s="302" customFormat="1" ht="22.5" x14ac:dyDescent="0.2">
      <c r="A988" s="202" t="s">
        <v>1420</v>
      </c>
      <c r="B988" s="209" t="s">
        <v>609</v>
      </c>
      <c r="C988" s="209" t="s">
        <v>502</v>
      </c>
      <c r="D988" s="209" t="s">
        <v>1419</v>
      </c>
      <c r="E988" s="209"/>
      <c r="F988" s="215">
        <v>1227.7</v>
      </c>
      <c r="G988" s="203">
        <v>0</v>
      </c>
      <c r="H988" s="215">
        <f t="shared" ref="H988:I989" si="283">H989</f>
        <v>1227.7</v>
      </c>
      <c r="I988" s="203">
        <f t="shared" si="283"/>
        <v>0</v>
      </c>
      <c r="J988" s="216">
        <f t="shared" ref="J988:J990" si="284">H988-F988</f>
        <v>0</v>
      </c>
      <c r="K988" s="204">
        <f t="shared" ref="K988:K990" si="285">I988-G988</f>
        <v>0</v>
      </c>
    </row>
    <row r="989" spans="1:11" s="302" customFormat="1" x14ac:dyDescent="0.2">
      <c r="A989" s="202" t="s">
        <v>1355</v>
      </c>
      <c r="B989" s="209" t="s">
        <v>609</v>
      </c>
      <c r="C989" s="209" t="s">
        <v>502</v>
      </c>
      <c r="D989" s="209" t="s">
        <v>1419</v>
      </c>
      <c r="E989" s="209" t="s">
        <v>824</v>
      </c>
      <c r="F989" s="215">
        <v>1227.7</v>
      </c>
      <c r="G989" s="203">
        <v>0</v>
      </c>
      <c r="H989" s="215">
        <f t="shared" si="283"/>
        <v>1227.7</v>
      </c>
      <c r="I989" s="203">
        <f t="shared" si="283"/>
        <v>0</v>
      </c>
      <c r="J989" s="216">
        <f t="shared" si="284"/>
        <v>0</v>
      </c>
      <c r="K989" s="204">
        <f t="shared" si="285"/>
        <v>0</v>
      </c>
    </row>
    <row r="990" spans="1:11" s="302" customFormat="1" x14ac:dyDescent="0.2">
      <c r="A990" s="202" t="s">
        <v>823</v>
      </c>
      <c r="B990" s="209" t="s">
        <v>609</v>
      </c>
      <c r="C990" s="209" t="s">
        <v>502</v>
      </c>
      <c r="D990" s="209" t="s">
        <v>1419</v>
      </c>
      <c r="E990" s="209" t="s">
        <v>821</v>
      </c>
      <c r="F990" s="215">
        <v>1227.7</v>
      </c>
      <c r="G990" s="203">
        <v>0</v>
      </c>
      <c r="H990" s="215">
        <f>'Ведомственная 2020'!H874</f>
        <v>1227.7</v>
      </c>
      <c r="I990" s="203">
        <v>0</v>
      </c>
      <c r="J990" s="216">
        <f t="shared" si="284"/>
        <v>0</v>
      </c>
      <c r="K990" s="204">
        <f t="shared" si="285"/>
        <v>0</v>
      </c>
    </row>
    <row r="991" spans="1:11" x14ac:dyDescent="0.2">
      <c r="A991" s="202" t="s">
        <v>898</v>
      </c>
      <c r="B991" s="209" t="s">
        <v>609</v>
      </c>
      <c r="C991" s="209" t="s">
        <v>502</v>
      </c>
      <c r="D991" s="209" t="s">
        <v>897</v>
      </c>
      <c r="E991" s="209"/>
      <c r="F991" s="215">
        <v>213809.10000000003</v>
      </c>
      <c r="G991" s="203">
        <v>0</v>
      </c>
      <c r="H991" s="215">
        <f>H992</f>
        <v>11622.300000000047</v>
      </c>
      <c r="I991" s="203">
        <f>I992</f>
        <v>0</v>
      </c>
      <c r="J991" s="216">
        <f t="shared" si="257"/>
        <v>-202186.8</v>
      </c>
      <c r="K991" s="204">
        <f t="shared" si="258"/>
        <v>0</v>
      </c>
    </row>
    <row r="992" spans="1:11" x14ac:dyDescent="0.2">
      <c r="A992" s="202" t="s">
        <v>1355</v>
      </c>
      <c r="B992" s="209" t="s">
        <v>609</v>
      </c>
      <c r="C992" s="209" t="s">
        <v>502</v>
      </c>
      <c r="D992" s="209" t="s">
        <v>897</v>
      </c>
      <c r="E992" s="209" t="s">
        <v>824</v>
      </c>
      <c r="F992" s="215">
        <v>213809.10000000003</v>
      </c>
      <c r="G992" s="203">
        <v>0</v>
      </c>
      <c r="H992" s="215">
        <f>H993</f>
        <v>11622.300000000047</v>
      </c>
      <c r="I992" s="203">
        <f>I993</f>
        <v>0</v>
      </c>
      <c r="J992" s="216">
        <f t="shared" si="257"/>
        <v>-202186.8</v>
      </c>
      <c r="K992" s="204">
        <f t="shared" si="258"/>
        <v>0</v>
      </c>
    </row>
    <row r="993" spans="1:11" x14ac:dyDescent="0.2">
      <c r="A993" s="202" t="s">
        <v>823</v>
      </c>
      <c r="B993" s="209" t="s">
        <v>609</v>
      </c>
      <c r="C993" s="209" t="s">
        <v>502</v>
      </c>
      <c r="D993" s="209" t="s">
        <v>897</v>
      </c>
      <c r="E993" s="209" t="s">
        <v>821</v>
      </c>
      <c r="F993" s="215">
        <v>213809.10000000003</v>
      </c>
      <c r="G993" s="203">
        <v>0</v>
      </c>
      <c r="H993" s="215">
        <f>'Ведомственная 2020'!H877</f>
        <v>11622.300000000047</v>
      </c>
      <c r="I993" s="203">
        <v>0</v>
      </c>
      <c r="J993" s="216">
        <f t="shared" si="257"/>
        <v>-202186.8</v>
      </c>
      <c r="K993" s="204">
        <f t="shared" si="258"/>
        <v>0</v>
      </c>
    </row>
    <row r="994" spans="1:11" ht="22.5" x14ac:dyDescent="0.2">
      <c r="A994" s="202" t="s">
        <v>896</v>
      </c>
      <c r="B994" s="209" t="s">
        <v>609</v>
      </c>
      <c r="C994" s="209" t="s">
        <v>502</v>
      </c>
      <c r="D994" s="209" t="s">
        <v>895</v>
      </c>
      <c r="E994" s="209"/>
      <c r="F994" s="215">
        <v>733976.3</v>
      </c>
      <c r="G994" s="203">
        <v>0</v>
      </c>
      <c r="H994" s="215">
        <f>H995</f>
        <v>910987.3</v>
      </c>
      <c r="I994" s="203">
        <f>I995</f>
        <v>0</v>
      </c>
      <c r="J994" s="216">
        <f t="shared" si="257"/>
        <v>177011</v>
      </c>
      <c r="K994" s="204">
        <f t="shared" si="258"/>
        <v>0</v>
      </c>
    </row>
    <row r="995" spans="1:11" x14ac:dyDescent="0.2">
      <c r="A995" s="202" t="s">
        <v>1355</v>
      </c>
      <c r="B995" s="209" t="s">
        <v>609</v>
      </c>
      <c r="C995" s="209" t="s">
        <v>502</v>
      </c>
      <c r="D995" s="209" t="s">
        <v>895</v>
      </c>
      <c r="E995" s="209" t="s">
        <v>824</v>
      </c>
      <c r="F995" s="215">
        <v>733976.3</v>
      </c>
      <c r="G995" s="203">
        <v>0</v>
      </c>
      <c r="H995" s="215">
        <f>H996</f>
        <v>910987.3</v>
      </c>
      <c r="I995" s="203">
        <f>I996</f>
        <v>0</v>
      </c>
      <c r="J995" s="216">
        <f t="shared" si="257"/>
        <v>177011</v>
      </c>
      <c r="K995" s="204">
        <f t="shared" si="258"/>
        <v>0</v>
      </c>
    </row>
    <row r="996" spans="1:11" x14ac:dyDescent="0.2">
      <c r="A996" s="202" t="s">
        <v>823</v>
      </c>
      <c r="B996" s="209" t="s">
        <v>609</v>
      </c>
      <c r="C996" s="209" t="s">
        <v>502</v>
      </c>
      <c r="D996" s="209" t="s">
        <v>895</v>
      </c>
      <c r="E996" s="209" t="s">
        <v>821</v>
      </c>
      <c r="F996" s="215">
        <v>733976.3</v>
      </c>
      <c r="G996" s="203">
        <v>0</v>
      </c>
      <c r="H996" s="215">
        <f>'Ведомственная 2020'!H880</f>
        <v>910987.3</v>
      </c>
      <c r="I996" s="203">
        <v>0</v>
      </c>
      <c r="J996" s="216">
        <f t="shared" si="257"/>
        <v>177011</v>
      </c>
      <c r="K996" s="204">
        <f t="shared" si="258"/>
        <v>0</v>
      </c>
    </row>
    <row r="997" spans="1:11" x14ac:dyDescent="0.2">
      <c r="A997" s="202" t="s">
        <v>700</v>
      </c>
      <c r="B997" s="209" t="s">
        <v>609</v>
      </c>
      <c r="C997" s="209" t="s">
        <v>531</v>
      </c>
      <c r="D997" s="209"/>
      <c r="E997" s="209"/>
      <c r="F997" s="215">
        <v>325474.40000000002</v>
      </c>
      <c r="G997" s="203">
        <v>0</v>
      </c>
      <c r="H997" s="215">
        <f>H998+H1015</f>
        <v>325474.40000000002</v>
      </c>
      <c r="I997" s="203">
        <f>I998+I1015</f>
        <v>0</v>
      </c>
      <c r="J997" s="216">
        <f t="shared" si="257"/>
        <v>0</v>
      </c>
      <c r="K997" s="204">
        <f t="shared" si="258"/>
        <v>0</v>
      </c>
    </row>
    <row r="998" spans="1:11" x14ac:dyDescent="0.2">
      <c r="A998" s="202" t="s">
        <v>666</v>
      </c>
      <c r="B998" s="209" t="s">
        <v>609</v>
      </c>
      <c r="C998" s="209" t="s">
        <v>531</v>
      </c>
      <c r="D998" s="209" t="s">
        <v>665</v>
      </c>
      <c r="E998" s="209"/>
      <c r="F998" s="215">
        <v>324809.40000000002</v>
      </c>
      <c r="G998" s="203">
        <v>0</v>
      </c>
      <c r="H998" s="215">
        <f>H999</f>
        <v>324809.40000000002</v>
      </c>
      <c r="I998" s="203">
        <f>I999</f>
        <v>0</v>
      </c>
      <c r="J998" s="216">
        <f t="shared" si="257"/>
        <v>0</v>
      </c>
      <c r="K998" s="204">
        <f t="shared" si="258"/>
        <v>0</v>
      </c>
    </row>
    <row r="999" spans="1:11" ht="22.5" x14ac:dyDescent="0.2">
      <c r="A999" s="202" t="s">
        <v>699</v>
      </c>
      <c r="B999" s="209" t="s">
        <v>609</v>
      </c>
      <c r="C999" s="209" t="s">
        <v>531</v>
      </c>
      <c r="D999" s="209" t="s">
        <v>698</v>
      </c>
      <c r="E999" s="209"/>
      <c r="F999" s="215">
        <v>324809.40000000002</v>
      </c>
      <c r="G999" s="203">
        <v>0</v>
      </c>
      <c r="H999" s="215">
        <f>H1000+H1005+H1010</f>
        <v>324809.40000000002</v>
      </c>
      <c r="I999" s="203">
        <f>I1000+I1005</f>
        <v>0</v>
      </c>
      <c r="J999" s="216">
        <f t="shared" si="257"/>
        <v>0</v>
      </c>
      <c r="K999" s="204">
        <f t="shared" si="258"/>
        <v>0</v>
      </c>
    </row>
    <row r="1000" spans="1:11" ht="22.5" x14ac:dyDescent="0.2">
      <c r="A1000" s="202" t="s">
        <v>697</v>
      </c>
      <c r="B1000" s="209" t="s">
        <v>609</v>
      </c>
      <c r="C1000" s="209" t="s">
        <v>531</v>
      </c>
      <c r="D1000" s="209" t="s">
        <v>696</v>
      </c>
      <c r="E1000" s="209"/>
      <c r="F1000" s="215">
        <v>308879</v>
      </c>
      <c r="G1000" s="203">
        <v>0</v>
      </c>
      <c r="H1000" s="215">
        <f>H1001</f>
        <v>300687.90000000002</v>
      </c>
      <c r="I1000" s="203">
        <f>I1001</f>
        <v>0</v>
      </c>
      <c r="J1000" s="216">
        <f t="shared" si="257"/>
        <v>-8191.0999999999767</v>
      </c>
      <c r="K1000" s="204">
        <f t="shared" si="258"/>
        <v>0</v>
      </c>
    </row>
    <row r="1001" spans="1:11" ht="22.5" x14ac:dyDescent="0.2">
      <c r="A1001" s="202" t="s">
        <v>695</v>
      </c>
      <c r="B1001" s="209" t="s">
        <v>609</v>
      </c>
      <c r="C1001" s="209" t="s">
        <v>531</v>
      </c>
      <c r="D1001" s="209" t="s">
        <v>694</v>
      </c>
      <c r="E1001" s="209"/>
      <c r="F1001" s="215">
        <v>308879</v>
      </c>
      <c r="G1001" s="203">
        <v>0</v>
      </c>
      <c r="H1001" s="215">
        <f>H1002</f>
        <v>300687.90000000002</v>
      </c>
      <c r="I1001" s="203">
        <f>I1002</f>
        <v>0</v>
      </c>
      <c r="J1001" s="216">
        <f t="shared" si="257"/>
        <v>-8191.0999999999767</v>
      </c>
      <c r="K1001" s="204">
        <f t="shared" si="258"/>
        <v>0</v>
      </c>
    </row>
    <row r="1002" spans="1:11" ht="22.5" x14ac:dyDescent="0.2">
      <c r="A1002" s="202" t="s">
        <v>547</v>
      </c>
      <c r="B1002" s="209" t="s">
        <v>609</v>
      </c>
      <c r="C1002" s="209" t="s">
        <v>531</v>
      </c>
      <c r="D1002" s="209" t="s">
        <v>694</v>
      </c>
      <c r="E1002" s="209" t="s">
        <v>519</v>
      </c>
      <c r="F1002" s="215">
        <v>308879</v>
      </c>
      <c r="G1002" s="203">
        <v>0</v>
      </c>
      <c r="H1002" s="215">
        <f>H1003+H1004</f>
        <v>300687.90000000002</v>
      </c>
      <c r="I1002" s="203">
        <f>I1003+I1004</f>
        <v>0</v>
      </c>
      <c r="J1002" s="216">
        <f t="shared" si="257"/>
        <v>-8191.0999999999767</v>
      </c>
      <c r="K1002" s="204">
        <f t="shared" si="258"/>
        <v>0</v>
      </c>
    </row>
    <row r="1003" spans="1:11" x14ac:dyDescent="0.2">
      <c r="A1003" s="202" t="s">
        <v>571</v>
      </c>
      <c r="B1003" s="209" t="s">
        <v>609</v>
      </c>
      <c r="C1003" s="209" t="s">
        <v>531</v>
      </c>
      <c r="D1003" s="209" t="s">
        <v>694</v>
      </c>
      <c r="E1003" s="209" t="s">
        <v>522</v>
      </c>
      <c r="F1003" s="215">
        <v>270190.40000000002</v>
      </c>
      <c r="G1003" s="203">
        <v>0</v>
      </c>
      <c r="H1003" s="215">
        <f>'Ведомственная 2020'!H1234</f>
        <v>261999.30000000002</v>
      </c>
      <c r="I1003" s="203">
        <v>0</v>
      </c>
      <c r="J1003" s="216">
        <f t="shared" si="257"/>
        <v>-8191.1000000000058</v>
      </c>
      <c r="K1003" s="204">
        <f t="shared" si="258"/>
        <v>0</v>
      </c>
    </row>
    <row r="1004" spans="1:11" x14ac:dyDescent="0.2">
      <c r="A1004" s="202" t="s">
        <v>546</v>
      </c>
      <c r="B1004" s="209" t="s">
        <v>609</v>
      </c>
      <c r="C1004" s="209" t="s">
        <v>531</v>
      </c>
      <c r="D1004" s="209" t="s">
        <v>694</v>
      </c>
      <c r="E1004" s="209" t="s">
        <v>544</v>
      </c>
      <c r="F1004" s="215">
        <v>38688.6</v>
      </c>
      <c r="G1004" s="203">
        <v>0</v>
      </c>
      <c r="H1004" s="215">
        <f>'Ведомственная 2020'!H1235</f>
        <v>38688.6</v>
      </c>
      <c r="I1004" s="203">
        <v>0</v>
      </c>
      <c r="J1004" s="216">
        <f t="shared" si="257"/>
        <v>0</v>
      </c>
      <c r="K1004" s="204">
        <f t="shared" si="258"/>
        <v>0</v>
      </c>
    </row>
    <row r="1005" spans="1:11" ht="22.5" x14ac:dyDescent="0.2">
      <c r="A1005" s="202" t="s">
        <v>693</v>
      </c>
      <c r="B1005" s="209" t="s">
        <v>609</v>
      </c>
      <c r="C1005" s="209" t="s">
        <v>531</v>
      </c>
      <c r="D1005" s="209" t="s">
        <v>692</v>
      </c>
      <c r="E1005" s="209"/>
      <c r="F1005" s="215">
        <v>15930.399999999998</v>
      </c>
      <c r="G1005" s="203">
        <v>0</v>
      </c>
      <c r="H1005" s="215">
        <f>H1006</f>
        <v>0</v>
      </c>
      <c r="I1005" s="203">
        <f>I1006</f>
        <v>0</v>
      </c>
      <c r="J1005" s="216">
        <f t="shared" si="257"/>
        <v>-15930.399999999998</v>
      </c>
      <c r="K1005" s="204">
        <f t="shared" si="258"/>
        <v>0</v>
      </c>
    </row>
    <row r="1006" spans="1:11" ht="22.5" x14ac:dyDescent="0.2">
      <c r="A1006" s="202" t="s">
        <v>691</v>
      </c>
      <c r="B1006" s="209" t="s">
        <v>609</v>
      </c>
      <c r="C1006" s="209" t="s">
        <v>531</v>
      </c>
      <c r="D1006" s="209" t="s">
        <v>690</v>
      </c>
      <c r="E1006" s="209"/>
      <c r="F1006" s="215">
        <v>15930.399999999998</v>
      </c>
      <c r="G1006" s="203">
        <v>0</v>
      </c>
      <c r="H1006" s="215">
        <f>H1007</f>
        <v>0</v>
      </c>
      <c r="I1006" s="203">
        <f>I1007</f>
        <v>0</v>
      </c>
      <c r="J1006" s="216">
        <f t="shared" si="257"/>
        <v>-15930.399999999998</v>
      </c>
      <c r="K1006" s="204">
        <f t="shared" si="258"/>
        <v>0</v>
      </c>
    </row>
    <row r="1007" spans="1:11" ht="22.5" x14ac:dyDescent="0.2">
      <c r="A1007" s="202" t="s">
        <v>547</v>
      </c>
      <c r="B1007" s="209" t="s">
        <v>609</v>
      </c>
      <c r="C1007" s="209" t="s">
        <v>531</v>
      </c>
      <c r="D1007" s="209" t="s">
        <v>690</v>
      </c>
      <c r="E1007" s="209" t="s">
        <v>519</v>
      </c>
      <c r="F1007" s="215">
        <v>15930.399999999998</v>
      </c>
      <c r="G1007" s="203">
        <v>0</v>
      </c>
      <c r="H1007" s="215">
        <f>H1008+H1009</f>
        <v>0</v>
      </c>
      <c r="I1007" s="203">
        <f>I1008+I1009</f>
        <v>0</v>
      </c>
      <c r="J1007" s="216">
        <f t="shared" si="257"/>
        <v>-15930.399999999998</v>
      </c>
      <c r="K1007" s="204">
        <f t="shared" si="258"/>
        <v>0</v>
      </c>
    </row>
    <row r="1008" spans="1:11" x14ac:dyDescent="0.2">
      <c r="A1008" s="202" t="s">
        <v>571</v>
      </c>
      <c r="B1008" s="209" t="s">
        <v>609</v>
      </c>
      <c r="C1008" s="209" t="s">
        <v>531</v>
      </c>
      <c r="D1008" s="209" t="s">
        <v>690</v>
      </c>
      <c r="E1008" s="209" t="s">
        <v>522</v>
      </c>
      <c r="F1008" s="215">
        <v>15197.199999999997</v>
      </c>
      <c r="G1008" s="203">
        <v>0</v>
      </c>
      <c r="H1008" s="215">
        <f>'Ведомственная 2020'!H1239</f>
        <v>0</v>
      </c>
      <c r="I1008" s="203">
        <v>0</v>
      </c>
      <c r="J1008" s="216">
        <f t="shared" si="257"/>
        <v>-15197.199999999997</v>
      </c>
      <c r="K1008" s="204">
        <f t="shared" si="258"/>
        <v>0</v>
      </c>
    </row>
    <row r="1009" spans="1:11" x14ac:dyDescent="0.2">
      <c r="A1009" s="202" t="s">
        <v>546</v>
      </c>
      <c r="B1009" s="209" t="s">
        <v>609</v>
      </c>
      <c r="C1009" s="209" t="s">
        <v>531</v>
      </c>
      <c r="D1009" s="209" t="s">
        <v>690</v>
      </c>
      <c r="E1009" s="209" t="s">
        <v>544</v>
      </c>
      <c r="F1009" s="215">
        <v>733.20000000000073</v>
      </c>
      <c r="G1009" s="203">
        <v>0</v>
      </c>
      <c r="H1009" s="215">
        <f>'Ведомственная 2020'!H1240</f>
        <v>0</v>
      </c>
      <c r="I1009" s="203">
        <v>0</v>
      </c>
      <c r="J1009" s="216">
        <f t="shared" si="257"/>
        <v>-733.20000000000073</v>
      </c>
      <c r="K1009" s="204">
        <f t="shared" si="258"/>
        <v>0</v>
      </c>
    </row>
    <row r="1010" spans="1:11" s="444" customFormat="1" ht="22.5" x14ac:dyDescent="0.2">
      <c r="A1010" s="202" t="s">
        <v>693</v>
      </c>
      <c r="B1010" s="209" t="s">
        <v>609</v>
      </c>
      <c r="C1010" s="209" t="s">
        <v>531</v>
      </c>
      <c r="D1010" s="209" t="s">
        <v>1656</v>
      </c>
      <c r="E1010" s="209"/>
      <c r="F1010" s="215">
        <f>F1011</f>
        <v>0</v>
      </c>
      <c r="G1010" s="203">
        <f t="shared" ref="G1010:I1011" si="286">G1011</f>
        <v>0</v>
      </c>
      <c r="H1010" s="215">
        <f t="shared" si="286"/>
        <v>24121.500000000004</v>
      </c>
      <c r="I1010" s="203">
        <f t="shared" si="286"/>
        <v>0</v>
      </c>
      <c r="J1010" s="216">
        <f t="shared" ref="J1010:J1014" si="287">H1010-F1010</f>
        <v>24121.500000000004</v>
      </c>
      <c r="K1010" s="204">
        <f t="shared" ref="K1010:K1014" si="288">I1010-G1010</f>
        <v>0</v>
      </c>
    </row>
    <row r="1011" spans="1:11" s="444" customFormat="1" ht="22.5" x14ac:dyDescent="0.2">
      <c r="A1011" s="202" t="s">
        <v>691</v>
      </c>
      <c r="B1011" s="209" t="s">
        <v>609</v>
      </c>
      <c r="C1011" s="209" t="s">
        <v>531</v>
      </c>
      <c r="D1011" s="209" t="s">
        <v>1657</v>
      </c>
      <c r="E1011" s="209"/>
      <c r="F1011" s="215">
        <f>F1012</f>
        <v>0</v>
      </c>
      <c r="G1011" s="203">
        <f t="shared" si="286"/>
        <v>0</v>
      </c>
      <c r="H1011" s="215">
        <f t="shared" si="286"/>
        <v>24121.500000000004</v>
      </c>
      <c r="I1011" s="203">
        <f t="shared" si="286"/>
        <v>0</v>
      </c>
      <c r="J1011" s="216">
        <f t="shared" si="287"/>
        <v>24121.500000000004</v>
      </c>
      <c r="K1011" s="204">
        <f t="shared" si="288"/>
        <v>0</v>
      </c>
    </row>
    <row r="1012" spans="1:11" s="444" customFormat="1" ht="22.5" x14ac:dyDescent="0.2">
      <c r="A1012" s="202" t="s">
        <v>547</v>
      </c>
      <c r="B1012" s="209" t="s">
        <v>609</v>
      </c>
      <c r="C1012" s="209" t="s">
        <v>531</v>
      </c>
      <c r="D1012" s="209" t="s">
        <v>1657</v>
      </c>
      <c r="E1012" s="209" t="s">
        <v>519</v>
      </c>
      <c r="F1012" s="215">
        <f>F1013+F1014</f>
        <v>0</v>
      </c>
      <c r="G1012" s="203">
        <f t="shared" ref="G1012:I1012" si="289">G1013+G1014</f>
        <v>0</v>
      </c>
      <c r="H1012" s="215">
        <f t="shared" si="289"/>
        <v>24121.500000000004</v>
      </c>
      <c r="I1012" s="203">
        <f t="shared" si="289"/>
        <v>0</v>
      </c>
      <c r="J1012" s="216">
        <f t="shared" si="287"/>
        <v>24121.500000000004</v>
      </c>
      <c r="K1012" s="204">
        <f t="shared" si="288"/>
        <v>0</v>
      </c>
    </row>
    <row r="1013" spans="1:11" s="444" customFormat="1" x14ac:dyDescent="0.2">
      <c r="A1013" s="202" t="s">
        <v>571</v>
      </c>
      <c r="B1013" s="209" t="s">
        <v>609</v>
      </c>
      <c r="C1013" s="209" t="s">
        <v>531</v>
      </c>
      <c r="D1013" s="209" t="s">
        <v>1657</v>
      </c>
      <c r="E1013" s="209" t="s">
        <v>522</v>
      </c>
      <c r="F1013" s="215">
        <v>0</v>
      </c>
      <c r="G1013" s="203">
        <v>0</v>
      </c>
      <c r="H1013" s="215">
        <f>'Ведомственная 2020'!H1244</f>
        <v>23388.300000000003</v>
      </c>
      <c r="I1013" s="203">
        <v>0</v>
      </c>
      <c r="J1013" s="216">
        <f t="shared" si="287"/>
        <v>23388.300000000003</v>
      </c>
      <c r="K1013" s="204">
        <f t="shared" si="288"/>
        <v>0</v>
      </c>
    </row>
    <row r="1014" spans="1:11" s="444" customFormat="1" x14ac:dyDescent="0.2">
      <c r="A1014" s="202" t="s">
        <v>546</v>
      </c>
      <c r="B1014" s="209" t="s">
        <v>609</v>
      </c>
      <c r="C1014" s="209" t="s">
        <v>531</v>
      </c>
      <c r="D1014" s="209" t="s">
        <v>1657</v>
      </c>
      <c r="E1014" s="209" t="s">
        <v>544</v>
      </c>
      <c r="F1014" s="215">
        <v>0</v>
      </c>
      <c r="G1014" s="203">
        <v>0</v>
      </c>
      <c r="H1014" s="215">
        <f>'Ведомственная 2020'!H1245</f>
        <v>733.2</v>
      </c>
      <c r="I1014" s="203">
        <v>0</v>
      </c>
      <c r="J1014" s="216">
        <f t="shared" si="287"/>
        <v>733.2</v>
      </c>
      <c r="K1014" s="204">
        <f t="shared" si="288"/>
        <v>0</v>
      </c>
    </row>
    <row r="1015" spans="1:11" x14ac:dyDescent="0.2">
      <c r="A1015" s="202" t="s">
        <v>568</v>
      </c>
      <c r="B1015" s="209" t="s">
        <v>609</v>
      </c>
      <c r="C1015" s="209" t="s">
        <v>531</v>
      </c>
      <c r="D1015" s="209" t="s">
        <v>567</v>
      </c>
      <c r="E1015" s="209"/>
      <c r="F1015" s="215">
        <v>665</v>
      </c>
      <c r="G1015" s="203">
        <v>0</v>
      </c>
      <c r="H1015" s="215">
        <f t="shared" ref="H1015:I1019" si="290">H1016</f>
        <v>665</v>
      </c>
      <c r="I1015" s="203">
        <f t="shared" si="290"/>
        <v>0</v>
      </c>
      <c r="J1015" s="216">
        <f t="shared" si="257"/>
        <v>0</v>
      </c>
      <c r="K1015" s="204">
        <f t="shared" si="258"/>
        <v>0</v>
      </c>
    </row>
    <row r="1016" spans="1:11" x14ac:dyDescent="0.2">
      <c r="A1016" s="202" t="s">
        <v>675</v>
      </c>
      <c r="B1016" s="209" t="s">
        <v>609</v>
      </c>
      <c r="C1016" s="209" t="s">
        <v>531</v>
      </c>
      <c r="D1016" s="209" t="s">
        <v>674</v>
      </c>
      <c r="E1016" s="209"/>
      <c r="F1016" s="215">
        <v>665</v>
      </c>
      <c r="G1016" s="203">
        <v>0</v>
      </c>
      <c r="H1016" s="215">
        <f t="shared" si="290"/>
        <v>665</v>
      </c>
      <c r="I1016" s="203">
        <f t="shared" si="290"/>
        <v>0</v>
      </c>
      <c r="J1016" s="216">
        <f t="shared" si="257"/>
        <v>0</v>
      </c>
      <c r="K1016" s="204">
        <f t="shared" si="258"/>
        <v>0</v>
      </c>
    </row>
    <row r="1017" spans="1:11" ht="22.5" x14ac:dyDescent="0.2">
      <c r="A1017" s="202" t="s">
        <v>673</v>
      </c>
      <c r="B1017" s="209" t="s">
        <v>609</v>
      </c>
      <c r="C1017" s="209" t="s">
        <v>531</v>
      </c>
      <c r="D1017" s="209" t="s">
        <v>672</v>
      </c>
      <c r="E1017" s="209"/>
      <c r="F1017" s="215">
        <v>665</v>
      </c>
      <c r="G1017" s="203">
        <v>0</v>
      </c>
      <c r="H1017" s="215">
        <f t="shared" si="290"/>
        <v>665</v>
      </c>
      <c r="I1017" s="203">
        <f t="shared" si="290"/>
        <v>0</v>
      </c>
      <c r="J1017" s="216">
        <f t="shared" si="257"/>
        <v>0</v>
      </c>
      <c r="K1017" s="204">
        <f t="shared" si="258"/>
        <v>0</v>
      </c>
    </row>
    <row r="1018" spans="1:11" x14ac:dyDescent="0.2">
      <c r="A1018" s="202" t="s">
        <v>671</v>
      </c>
      <c r="B1018" s="209" t="s">
        <v>609</v>
      </c>
      <c r="C1018" s="209" t="s">
        <v>531</v>
      </c>
      <c r="D1018" s="209" t="s">
        <v>669</v>
      </c>
      <c r="E1018" s="209"/>
      <c r="F1018" s="215">
        <v>665</v>
      </c>
      <c r="G1018" s="203">
        <v>0</v>
      </c>
      <c r="H1018" s="215">
        <f t="shared" si="290"/>
        <v>665</v>
      </c>
      <c r="I1018" s="203">
        <f t="shared" si="290"/>
        <v>0</v>
      </c>
      <c r="J1018" s="216">
        <f t="shared" si="257"/>
        <v>0</v>
      </c>
      <c r="K1018" s="204">
        <f t="shared" si="258"/>
        <v>0</v>
      </c>
    </row>
    <row r="1019" spans="1:11" ht="22.5" x14ac:dyDescent="0.2">
      <c r="A1019" s="202" t="s">
        <v>547</v>
      </c>
      <c r="B1019" s="209" t="s">
        <v>609</v>
      </c>
      <c r="C1019" s="209" t="s">
        <v>531</v>
      </c>
      <c r="D1019" s="209" t="s">
        <v>669</v>
      </c>
      <c r="E1019" s="209" t="s">
        <v>519</v>
      </c>
      <c r="F1019" s="215">
        <v>665</v>
      </c>
      <c r="G1019" s="203">
        <v>0</v>
      </c>
      <c r="H1019" s="215">
        <f t="shared" si="290"/>
        <v>665</v>
      </c>
      <c r="I1019" s="203">
        <f t="shared" si="290"/>
        <v>0</v>
      </c>
      <c r="J1019" s="216">
        <f t="shared" si="257"/>
        <v>0</v>
      </c>
      <c r="K1019" s="204">
        <f t="shared" si="258"/>
        <v>0</v>
      </c>
    </row>
    <row r="1020" spans="1:11" x14ac:dyDescent="0.2">
      <c r="A1020" s="202" t="s">
        <v>571</v>
      </c>
      <c r="B1020" s="209" t="s">
        <v>609</v>
      </c>
      <c r="C1020" s="209" t="s">
        <v>531</v>
      </c>
      <c r="D1020" s="209" t="s">
        <v>669</v>
      </c>
      <c r="E1020" s="209" t="s">
        <v>522</v>
      </c>
      <c r="F1020" s="215">
        <v>665</v>
      </c>
      <c r="G1020" s="203">
        <v>0</v>
      </c>
      <c r="H1020" s="215">
        <f>'Ведомственная 2020'!H1251</f>
        <v>665</v>
      </c>
      <c r="I1020" s="203">
        <v>0</v>
      </c>
      <c r="J1020" s="216">
        <f t="shared" si="257"/>
        <v>0</v>
      </c>
      <c r="K1020" s="204">
        <f t="shared" si="258"/>
        <v>0</v>
      </c>
    </row>
    <row r="1021" spans="1:11" x14ac:dyDescent="0.2">
      <c r="A1021" s="202" t="s">
        <v>894</v>
      </c>
      <c r="B1021" s="209" t="s">
        <v>609</v>
      </c>
      <c r="C1021" s="209" t="s">
        <v>512</v>
      </c>
      <c r="D1021" s="209"/>
      <c r="E1021" s="209"/>
      <c r="F1021" s="215">
        <v>250</v>
      </c>
      <c r="G1021" s="203">
        <v>0</v>
      </c>
      <c r="H1021" s="215">
        <f t="shared" ref="H1021:I1026" si="291">H1022</f>
        <v>250</v>
      </c>
      <c r="I1021" s="203">
        <f t="shared" si="291"/>
        <v>0</v>
      </c>
      <c r="J1021" s="216">
        <f t="shared" si="257"/>
        <v>0</v>
      </c>
      <c r="K1021" s="204">
        <f t="shared" si="258"/>
        <v>0</v>
      </c>
    </row>
    <row r="1022" spans="1:11" x14ac:dyDescent="0.2">
      <c r="A1022" s="202" t="s">
        <v>604</v>
      </c>
      <c r="B1022" s="209" t="s">
        <v>609</v>
      </c>
      <c r="C1022" s="209" t="s">
        <v>512</v>
      </c>
      <c r="D1022" s="209" t="s">
        <v>603</v>
      </c>
      <c r="E1022" s="209"/>
      <c r="F1022" s="215">
        <v>250</v>
      </c>
      <c r="G1022" s="203">
        <v>0</v>
      </c>
      <c r="H1022" s="215">
        <f t="shared" si="291"/>
        <v>250</v>
      </c>
      <c r="I1022" s="203">
        <f t="shared" si="291"/>
        <v>0</v>
      </c>
      <c r="J1022" s="216">
        <f t="shared" si="257"/>
        <v>0</v>
      </c>
      <c r="K1022" s="204">
        <f t="shared" si="258"/>
        <v>0</v>
      </c>
    </row>
    <row r="1023" spans="1:11" x14ac:dyDescent="0.2">
      <c r="A1023" s="202" t="s">
        <v>893</v>
      </c>
      <c r="B1023" s="209" t="s">
        <v>609</v>
      </c>
      <c r="C1023" s="209" t="s">
        <v>512</v>
      </c>
      <c r="D1023" s="209" t="s">
        <v>892</v>
      </c>
      <c r="E1023" s="209"/>
      <c r="F1023" s="215">
        <v>250</v>
      </c>
      <c r="G1023" s="203">
        <v>0</v>
      </c>
      <c r="H1023" s="215">
        <f t="shared" si="291"/>
        <v>250</v>
      </c>
      <c r="I1023" s="203">
        <f t="shared" si="291"/>
        <v>0</v>
      </c>
      <c r="J1023" s="216">
        <f t="shared" si="257"/>
        <v>0</v>
      </c>
      <c r="K1023" s="204">
        <f t="shared" si="258"/>
        <v>0</v>
      </c>
    </row>
    <row r="1024" spans="1:11" ht="22.5" x14ac:dyDescent="0.2">
      <c r="A1024" s="202" t="s">
        <v>891</v>
      </c>
      <c r="B1024" s="209" t="s">
        <v>609</v>
      </c>
      <c r="C1024" s="209" t="s">
        <v>512</v>
      </c>
      <c r="D1024" s="209" t="s">
        <v>890</v>
      </c>
      <c r="E1024" s="209"/>
      <c r="F1024" s="215">
        <v>250</v>
      </c>
      <c r="G1024" s="203">
        <v>0</v>
      </c>
      <c r="H1024" s="215">
        <f t="shared" si="291"/>
        <v>250</v>
      </c>
      <c r="I1024" s="203">
        <f t="shared" si="291"/>
        <v>0</v>
      </c>
      <c r="J1024" s="216">
        <f t="shared" si="257"/>
        <v>0</v>
      </c>
      <c r="K1024" s="204">
        <f t="shared" si="258"/>
        <v>0</v>
      </c>
    </row>
    <row r="1025" spans="1:11" ht="56.25" x14ac:dyDescent="0.2">
      <c r="A1025" s="202" t="s">
        <v>889</v>
      </c>
      <c r="B1025" s="209" t="s">
        <v>609</v>
      </c>
      <c r="C1025" s="209" t="s">
        <v>512</v>
      </c>
      <c r="D1025" s="209" t="s">
        <v>888</v>
      </c>
      <c r="E1025" s="209"/>
      <c r="F1025" s="215">
        <v>250</v>
      </c>
      <c r="G1025" s="203">
        <v>0</v>
      </c>
      <c r="H1025" s="215">
        <f t="shared" si="291"/>
        <v>250</v>
      </c>
      <c r="I1025" s="203">
        <f t="shared" si="291"/>
        <v>0</v>
      </c>
      <c r="J1025" s="216">
        <f t="shared" si="257"/>
        <v>0</v>
      </c>
      <c r="K1025" s="204">
        <f t="shared" si="258"/>
        <v>0</v>
      </c>
    </row>
    <row r="1026" spans="1:11" x14ac:dyDescent="0.2">
      <c r="A1026" s="202" t="s">
        <v>1347</v>
      </c>
      <c r="B1026" s="209" t="s">
        <v>609</v>
      </c>
      <c r="C1026" s="209" t="s">
        <v>512</v>
      </c>
      <c r="D1026" s="209" t="s">
        <v>888</v>
      </c>
      <c r="E1026" s="209" t="s">
        <v>535</v>
      </c>
      <c r="F1026" s="215">
        <v>250</v>
      </c>
      <c r="G1026" s="203">
        <v>0</v>
      </c>
      <c r="H1026" s="215">
        <f t="shared" si="291"/>
        <v>250</v>
      </c>
      <c r="I1026" s="203">
        <f t="shared" si="291"/>
        <v>0</v>
      </c>
      <c r="J1026" s="216">
        <f t="shared" si="257"/>
        <v>0</v>
      </c>
      <c r="K1026" s="204">
        <f t="shared" si="258"/>
        <v>0</v>
      </c>
    </row>
    <row r="1027" spans="1:11" ht="22.5" x14ac:dyDescent="0.2">
      <c r="A1027" s="202" t="s">
        <v>534</v>
      </c>
      <c r="B1027" s="209" t="s">
        <v>609</v>
      </c>
      <c r="C1027" s="209" t="s">
        <v>512</v>
      </c>
      <c r="D1027" s="209" t="s">
        <v>888</v>
      </c>
      <c r="E1027" s="209" t="s">
        <v>529</v>
      </c>
      <c r="F1027" s="215">
        <v>250</v>
      </c>
      <c r="G1027" s="203">
        <v>0</v>
      </c>
      <c r="H1027" s="215">
        <f>'Ведомственная 2020'!H887</f>
        <v>250</v>
      </c>
      <c r="I1027" s="203">
        <v>0</v>
      </c>
      <c r="J1027" s="216">
        <f t="shared" ref="J1027:J1090" si="292">H1027-F1027</f>
        <v>0</v>
      </c>
      <c r="K1027" s="204">
        <f t="shared" ref="K1027:K1090" si="293">I1027-G1027</f>
        <v>0</v>
      </c>
    </row>
    <row r="1028" spans="1:11" x14ac:dyDescent="0.2">
      <c r="A1028" s="202" t="s">
        <v>1356</v>
      </c>
      <c r="B1028" s="209" t="s">
        <v>609</v>
      </c>
      <c r="C1028" s="209" t="s">
        <v>609</v>
      </c>
      <c r="D1028" s="209"/>
      <c r="E1028" s="209"/>
      <c r="F1028" s="215">
        <v>72094.7</v>
      </c>
      <c r="G1028" s="203">
        <v>0</v>
      </c>
      <c r="H1028" s="215">
        <f>H1029+H1035</f>
        <v>72094.7</v>
      </c>
      <c r="I1028" s="203">
        <f>I1029+I1035</f>
        <v>0</v>
      </c>
      <c r="J1028" s="216">
        <f t="shared" si="292"/>
        <v>0</v>
      </c>
      <c r="K1028" s="204">
        <f t="shared" si="293"/>
        <v>0</v>
      </c>
    </row>
    <row r="1029" spans="1:11" x14ac:dyDescent="0.2">
      <c r="A1029" s="202" t="s">
        <v>568</v>
      </c>
      <c r="B1029" s="209" t="s">
        <v>609</v>
      </c>
      <c r="C1029" s="209" t="s">
        <v>609</v>
      </c>
      <c r="D1029" s="209" t="s">
        <v>567</v>
      </c>
      <c r="E1029" s="209"/>
      <c r="F1029" s="215">
        <v>57</v>
      </c>
      <c r="G1029" s="203">
        <v>0</v>
      </c>
      <c r="H1029" s="215">
        <f t="shared" ref="H1029:I1033" si="294">H1030</f>
        <v>57</v>
      </c>
      <c r="I1029" s="203">
        <f t="shared" si="294"/>
        <v>0</v>
      </c>
      <c r="J1029" s="216">
        <f t="shared" si="292"/>
        <v>0</v>
      </c>
      <c r="K1029" s="204">
        <f t="shared" si="293"/>
        <v>0</v>
      </c>
    </row>
    <row r="1030" spans="1:11" x14ac:dyDescent="0.2">
      <c r="A1030" s="202" t="s">
        <v>566</v>
      </c>
      <c r="B1030" s="209" t="s">
        <v>609</v>
      </c>
      <c r="C1030" s="209" t="s">
        <v>609</v>
      </c>
      <c r="D1030" s="209" t="s">
        <v>565</v>
      </c>
      <c r="E1030" s="209"/>
      <c r="F1030" s="215">
        <v>57</v>
      </c>
      <c r="G1030" s="203">
        <v>0</v>
      </c>
      <c r="H1030" s="215">
        <f t="shared" si="294"/>
        <v>57</v>
      </c>
      <c r="I1030" s="203">
        <f t="shared" si="294"/>
        <v>0</v>
      </c>
      <c r="J1030" s="216">
        <f t="shared" si="292"/>
        <v>0</v>
      </c>
      <c r="K1030" s="204">
        <f t="shared" si="293"/>
        <v>0</v>
      </c>
    </row>
    <row r="1031" spans="1:11" ht="22.5" x14ac:dyDescent="0.2">
      <c r="A1031" s="202" t="s">
        <v>1387</v>
      </c>
      <c r="B1031" s="209" t="s">
        <v>609</v>
      </c>
      <c r="C1031" s="209" t="s">
        <v>609</v>
      </c>
      <c r="D1031" s="209" t="s">
        <v>578</v>
      </c>
      <c r="E1031" s="209"/>
      <c r="F1031" s="215">
        <v>57</v>
      </c>
      <c r="G1031" s="203">
        <v>0</v>
      </c>
      <c r="H1031" s="215">
        <f t="shared" si="294"/>
        <v>57</v>
      </c>
      <c r="I1031" s="203">
        <f t="shared" si="294"/>
        <v>0</v>
      </c>
      <c r="J1031" s="216">
        <f t="shared" si="292"/>
        <v>0</v>
      </c>
      <c r="K1031" s="204">
        <f t="shared" si="293"/>
        <v>0</v>
      </c>
    </row>
    <row r="1032" spans="1:11" ht="33.75" x14ac:dyDescent="0.2">
      <c r="A1032" s="202" t="s">
        <v>1388</v>
      </c>
      <c r="B1032" s="209" t="s">
        <v>609</v>
      </c>
      <c r="C1032" s="209" t="s">
        <v>609</v>
      </c>
      <c r="D1032" s="209" t="s">
        <v>577</v>
      </c>
      <c r="E1032" s="209"/>
      <c r="F1032" s="215">
        <v>57</v>
      </c>
      <c r="G1032" s="203">
        <v>0</v>
      </c>
      <c r="H1032" s="215">
        <f t="shared" si="294"/>
        <v>57</v>
      </c>
      <c r="I1032" s="203">
        <f t="shared" si="294"/>
        <v>0</v>
      </c>
      <c r="J1032" s="216">
        <f t="shared" si="292"/>
        <v>0</v>
      </c>
      <c r="K1032" s="204">
        <f t="shared" si="293"/>
        <v>0</v>
      </c>
    </row>
    <row r="1033" spans="1:11" ht="22.5" x14ac:dyDescent="0.2">
      <c r="A1033" s="202" t="s">
        <v>547</v>
      </c>
      <c r="B1033" s="209" t="s">
        <v>609</v>
      </c>
      <c r="C1033" s="209" t="s">
        <v>609</v>
      </c>
      <c r="D1033" s="209" t="s">
        <v>577</v>
      </c>
      <c r="E1033" s="209" t="s">
        <v>519</v>
      </c>
      <c r="F1033" s="215">
        <v>57</v>
      </c>
      <c r="G1033" s="203">
        <v>0</v>
      </c>
      <c r="H1033" s="215">
        <f t="shared" si="294"/>
        <v>57</v>
      </c>
      <c r="I1033" s="203">
        <f t="shared" si="294"/>
        <v>0</v>
      </c>
      <c r="J1033" s="216">
        <f t="shared" si="292"/>
        <v>0</v>
      </c>
      <c r="K1033" s="204">
        <f t="shared" si="293"/>
        <v>0</v>
      </c>
    </row>
    <row r="1034" spans="1:11" x14ac:dyDescent="0.2">
      <c r="A1034" s="202" t="s">
        <v>571</v>
      </c>
      <c r="B1034" s="209" t="s">
        <v>609</v>
      </c>
      <c r="C1034" s="209" t="s">
        <v>609</v>
      </c>
      <c r="D1034" s="209" t="s">
        <v>577</v>
      </c>
      <c r="E1034" s="209" t="s">
        <v>522</v>
      </c>
      <c r="F1034" s="215">
        <v>57</v>
      </c>
      <c r="G1034" s="203">
        <v>0</v>
      </c>
      <c r="H1034" s="215">
        <f>'Ведомственная 2020'!H1394</f>
        <v>57</v>
      </c>
      <c r="I1034" s="203">
        <v>0</v>
      </c>
      <c r="J1034" s="216">
        <f t="shared" si="292"/>
        <v>0</v>
      </c>
      <c r="K1034" s="204">
        <f t="shared" si="293"/>
        <v>0</v>
      </c>
    </row>
    <row r="1035" spans="1:11" ht="22.5" x14ac:dyDescent="0.2">
      <c r="A1035" s="202" t="s">
        <v>588</v>
      </c>
      <c r="B1035" s="209" t="s">
        <v>609</v>
      </c>
      <c r="C1035" s="209" t="s">
        <v>609</v>
      </c>
      <c r="D1035" s="209" t="s">
        <v>587</v>
      </c>
      <c r="E1035" s="209"/>
      <c r="F1035" s="215">
        <v>72037.7</v>
      </c>
      <c r="G1035" s="203">
        <v>0</v>
      </c>
      <c r="H1035" s="215">
        <f>H1036</f>
        <v>72037.7</v>
      </c>
      <c r="I1035" s="203">
        <f>I1036</f>
        <v>0</v>
      </c>
      <c r="J1035" s="216">
        <f t="shared" si="292"/>
        <v>0</v>
      </c>
      <c r="K1035" s="204">
        <f t="shared" si="293"/>
        <v>0</v>
      </c>
    </row>
    <row r="1036" spans="1:11" x14ac:dyDescent="0.2">
      <c r="A1036" s="202" t="s">
        <v>586</v>
      </c>
      <c r="B1036" s="209" t="s">
        <v>609</v>
      </c>
      <c r="C1036" s="209" t="s">
        <v>609</v>
      </c>
      <c r="D1036" s="209" t="s">
        <v>585</v>
      </c>
      <c r="E1036" s="209"/>
      <c r="F1036" s="215">
        <v>72037.7</v>
      </c>
      <c r="G1036" s="203">
        <v>0</v>
      </c>
      <c r="H1036" s="215">
        <f>H1037</f>
        <v>72037.7</v>
      </c>
      <c r="I1036" s="203">
        <f>I1037</f>
        <v>0</v>
      </c>
      <c r="J1036" s="216">
        <f t="shared" si="292"/>
        <v>0</v>
      </c>
      <c r="K1036" s="204">
        <f t="shared" si="293"/>
        <v>0</v>
      </c>
    </row>
    <row r="1037" spans="1:11" ht="33.75" x14ac:dyDescent="0.2">
      <c r="A1037" s="202" t="s">
        <v>584</v>
      </c>
      <c r="B1037" s="209" t="s">
        <v>609</v>
      </c>
      <c r="C1037" s="209" t="s">
        <v>609</v>
      </c>
      <c r="D1037" s="209" t="s">
        <v>583</v>
      </c>
      <c r="E1037" s="209"/>
      <c r="F1037" s="215">
        <v>72037.7</v>
      </c>
      <c r="G1037" s="203">
        <v>0</v>
      </c>
      <c r="H1037" s="215">
        <f>H1038+H1043+H1046</f>
        <v>72037.7</v>
      </c>
      <c r="I1037" s="203">
        <f>I1038+I1043+I1046</f>
        <v>0</v>
      </c>
      <c r="J1037" s="216">
        <f t="shared" si="292"/>
        <v>0</v>
      </c>
      <c r="K1037" s="204">
        <f t="shared" si="293"/>
        <v>0</v>
      </c>
    </row>
    <row r="1038" spans="1:11" ht="22.5" x14ac:dyDescent="0.2">
      <c r="A1038" s="202" t="s">
        <v>582</v>
      </c>
      <c r="B1038" s="209" t="s">
        <v>609</v>
      </c>
      <c r="C1038" s="209" t="s">
        <v>609</v>
      </c>
      <c r="D1038" s="209" t="s">
        <v>581</v>
      </c>
      <c r="E1038" s="209"/>
      <c r="F1038" s="215">
        <v>1882.9</v>
      </c>
      <c r="G1038" s="203">
        <v>0</v>
      </c>
      <c r="H1038" s="215">
        <f>H1039+H1041</f>
        <v>1882.9</v>
      </c>
      <c r="I1038" s="203">
        <f>I1039+I1041</f>
        <v>0</v>
      </c>
      <c r="J1038" s="216">
        <f t="shared" si="292"/>
        <v>0</v>
      </c>
      <c r="K1038" s="204">
        <f t="shared" si="293"/>
        <v>0</v>
      </c>
    </row>
    <row r="1039" spans="1:11" x14ac:dyDescent="0.2">
      <c r="A1039" s="202" t="s">
        <v>1347</v>
      </c>
      <c r="B1039" s="209" t="s">
        <v>609</v>
      </c>
      <c r="C1039" s="209" t="s">
        <v>609</v>
      </c>
      <c r="D1039" s="209" t="s">
        <v>581</v>
      </c>
      <c r="E1039" s="209" t="s">
        <v>535</v>
      </c>
      <c r="F1039" s="215">
        <v>1392.9</v>
      </c>
      <c r="G1039" s="203">
        <v>0</v>
      </c>
      <c r="H1039" s="215">
        <f>H1040</f>
        <v>1392.9</v>
      </c>
      <c r="I1039" s="203">
        <f>I1040</f>
        <v>0</v>
      </c>
      <c r="J1039" s="216">
        <f t="shared" si="292"/>
        <v>0</v>
      </c>
      <c r="K1039" s="204">
        <f t="shared" si="293"/>
        <v>0</v>
      </c>
    </row>
    <row r="1040" spans="1:11" ht="22.5" x14ac:dyDescent="0.2">
      <c r="A1040" s="202" t="s">
        <v>534</v>
      </c>
      <c r="B1040" s="209" t="s">
        <v>609</v>
      </c>
      <c r="C1040" s="209" t="s">
        <v>609</v>
      </c>
      <c r="D1040" s="209" t="s">
        <v>581</v>
      </c>
      <c r="E1040" s="209" t="s">
        <v>529</v>
      </c>
      <c r="F1040" s="215">
        <v>1392.9</v>
      </c>
      <c r="G1040" s="203">
        <v>0</v>
      </c>
      <c r="H1040" s="215">
        <f>'Ведомственная 2020'!H1400</f>
        <v>1392.9</v>
      </c>
      <c r="I1040" s="203">
        <v>0</v>
      </c>
      <c r="J1040" s="216">
        <f t="shared" si="292"/>
        <v>0</v>
      </c>
      <c r="K1040" s="204">
        <f t="shared" si="293"/>
        <v>0</v>
      </c>
    </row>
    <row r="1041" spans="1:11" ht="22.5" x14ac:dyDescent="0.2">
      <c r="A1041" s="202" t="s">
        <v>547</v>
      </c>
      <c r="B1041" s="209" t="s">
        <v>609</v>
      </c>
      <c r="C1041" s="209" t="s">
        <v>609</v>
      </c>
      <c r="D1041" s="209" t="s">
        <v>581</v>
      </c>
      <c r="E1041" s="209" t="s">
        <v>519</v>
      </c>
      <c r="F1041" s="215">
        <v>490</v>
      </c>
      <c r="G1041" s="203">
        <v>0</v>
      </c>
      <c r="H1041" s="215">
        <f>H1042</f>
        <v>490</v>
      </c>
      <c r="I1041" s="203">
        <f>I1042</f>
        <v>0</v>
      </c>
      <c r="J1041" s="216">
        <f t="shared" si="292"/>
        <v>0</v>
      </c>
      <c r="K1041" s="204">
        <f t="shared" si="293"/>
        <v>0</v>
      </c>
    </row>
    <row r="1042" spans="1:11" x14ac:dyDescent="0.2">
      <c r="A1042" s="202" t="s">
        <v>571</v>
      </c>
      <c r="B1042" s="209" t="s">
        <v>609</v>
      </c>
      <c r="C1042" s="209" t="s">
        <v>609</v>
      </c>
      <c r="D1042" s="209" t="s">
        <v>581</v>
      </c>
      <c r="E1042" s="209" t="s">
        <v>522</v>
      </c>
      <c r="F1042" s="215">
        <v>490</v>
      </c>
      <c r="G1042" s="203">
        <v>0</v>
      </c>
      <c r="H1042" s="215">
        <f>'Ведомственная 2020'!H1402</f>
        <v>490</v>
      </c>
      <c r="I1042" s="203">
        <v>0</v>
      </c>
      <c r="J1042" s="216">
        <f t="shared" si="292"/>
        <v>0</v>
      </c>
      <c r="K1042" s="204">
        <f t="shared" si="293"/>
        <v>0</v>
      </c>
    </row>
    <row r="1043" spans="1:11" ht="22.5" x14ac:dyDescent="0.2">
      <c r="A1043" s="202" t="s">
        <v>887</v>
      </c>
      <c r="B1043" s="209" t="s">
        <v>609</v>
      </c>
      <c r="C1043" s="209" t="s">
        <v>609</v>
      </c>
      <c r="D1043" s="209" t="s">
        <v>886</v>
      </c>
      <c r="E1043" s="209"/>
      <c r="F1043" s="215">
        <v>950</v>
      </c>
      <c r="G1043" s="203">
        <v>0</v>
      </c>
      <c r="H1043" s="215">
        <f>H1044</f>
        <v>950</v>
      </c>
      <c r="I1043" s="203">
        <f>I1044</f>
        <v>0</v>
      </c>
      <c r="J1043" s="216">
        <f t="shared" si="292"/>
        <v>0</v>
      </c>
      <c r="K1043" s="204">
        <f t="shared" si="293"/>
        <v>0</v>
      </c>
    </row>
    <row r="1044" spans="1:11" x14ac:dyDescent="0.2">
      <c r="A1044" s="202" t="s">
        <v>1347</v>
      </c>
      <c r="B1044" s="209" t="s">
        <v>609</v>
      </c>
      <c r="C1044" s="209" t="s">
        <v>609</v>
      </c>
      <c r="D1044" s="209" t="s">
        <v>886</v>
      </c>
      <c r="E1044" s="209" t="s">
        <v>535</v>
      </c>
      <c r="F1044" s="215">
        <v>950</v>
      </c>
      <c r="G1044" s="203">
        <v>0</v>
      </c>
      <c r="H1044" s="215">
        <f>H1045</f>
        <v>950</v>
      </c>
      <c r="I1044" s="203">
        <f>I1045</f>
        <v>0</v>
      </c>
      <c r="J1044" s="216">
        <f t="shared" si="292"/>
        <v>0</v>
      </c>
      <c r="K1044" s="204">
        <f t="shared" si="293"/>
        <v>0</v>
      </c>
    </row>
    <row r="1045" spans="1:11" ht="22.5" x14ac:dyDescent="0.2">
      <c r="A1045" s="202" t="s">
        <v>534</v>
      </c>
      <c r="B1045" s="209" t="s">
        <v>609</v>
      </c>
      <c r="C1045" s="209" t="s">
        <v>609</v>
      </c>
      <c r="D1045" s="209" t="s">
        <v>886</v>
      </c>
      <c r="E1045" s="209" t="s">
        <v>529</v>
      </c>
      <c r="F1045" s="215">
        <v>950</v>
      </c>
      <c r="G1045" s="203">
        <v>0</v>
      </c>
      <c r="H1045" s="215">
        <f>'Ведомственная 2020'!H894</f>
        <v>950</v>
      </c>
      <c r="I1045" s="203">
        <v>0</v>
      </c>
      <c r="J1045" s="216">
        <f t="shared" si="292"/>
        <v>0</v>
      </c>
      <c r="K1045" s="204">
        <f t="shared" si="293"/>
        <v>0</v>
      </c>
    </row>
    <row r="1046" spans="1:11" ht="22.5" x14ac:dyDescent="0.2">
      <c r="A1046" s="202" t="s">
        <v>611</v>
      </c>
      <c r="B1046" s="209" t="s">
        <v>609</v>
      </c>
      <c r="C1046" s="209" t="s">
        <v>609</v>
      </c>
      <c r="D1046" s="209" t="s">
        <v>608</v>
      </c>
      <c r="E1046" s="209"/>
      <c r="F1046" s="215">
        <v>69204.800000000003</v>
      </c>
      <c r="G1046" s="203">
        <v>0</v>
      </c>
      <c r="H1046" s="215">
        <f>H1047</f>
        <v>69204.800000000003</v>
      </c>
      <c r="I1046" s="203">
        <f>I1047</f>
        <v>0</v>
      </c>
      <c r="J1046" s="216">
        <f t="shared" si="292"/>
        <v>0</v>
      </c>
      <c r="K1046" s="204">
        <f t="shared" si="293"/>
        <v>0</v>
      </c>
    </row>
    <row r="1047" spans="1:11" ht="22.5" x14ac:dyDescent="0.2">
      <c r="A1047" s="202" t="s">
        <v>547</v>
      </c>
      <c r="B1047" s="209" t="s">
        <v>609</v>
      </c>
      <c r="C1047" s="209" t="s">
        <v>609</v>
      </c>
      <c r="D1047" s="209" t="s">
        <v>608</v>
      </c>
      <c r="E1047" s="209" t="s">
        <v>519</v>
      </c>
      <c r="F1047" s="215">
        <v>69204.800000000003</v>
      </c>
      <c r="G1047" s="203">
        <v>0</v>
      </c>
      <c r="H1047" s="215">
        <f>H1048+H1049</f>
        <v>69204.800000000003</v>
      </c>
      <c r="I1047" s="203">
        <f>I1048+I1049</f>
        <v>0</v>
      </c>
      <c r="J1047" s="216">
        <f t="shared" si="292"/>
        <v>0</v>
      </c>
      <c r="K1047" s="204">
        <f t="shared" si="293"/>
        <v>0</v>
      </c>
    </row>
    <row r="1048" spans="1:11" x14ac:dyDescent="0.2">
      <c r="A1048" s="202" t="s">
        <v>571</v>
      </c>
      <c r="B1048" s="209" t="s">
        <v>609</v>
      </c>
      <c r="C1048" s="209" t="s">
        <v>609</v>
      </c>
      <c r="D1048" s="209" t="s">
        <v>608</v>
      </c>
      <c r="E1048" s="209" t="s">
        <v>522</v>
      </c>
      <c r="F1048" s="215">
        <v>63085.600000000006</v>
      </c>
      <c r="G1048" s="203">
        <v>0</v>
      </c>
      <c r="H1048" s="215">
        <f>'Ведомственная 2020'!H1406</f>
        <v>63085.600000000006</v>
      </c>
      <c r="I1048" s="203">
        <v>0</v>
      </c>
      <c r="J1048" s="216">
        <f t="shared" si="292"/>
        <v>0</v>
      </c>
      <c r="K1048" s="204">
        <f t="shared" si="293"/>
        <v>0</v>
      </c>
    </row>
    <row r="1049" spans="1:11" x14ac:dyDescent="0.2">
      <c r="A1049" s="202" t="s">
        <v>546</v>
      </c>
      <c r="B1049" s="209" t="s">
        <v>609</v>
      </c>
      <c r="C1049" s="209" t="s">
        <v>609</v>
      </c>
      <c r="D1049" s="209" t="s">
        <v>608</v>
      </c>
      <c r="E1049" s="209" t="s">
        <v>544</v>
      </c>
      <c r="F1049" s="215">
        <v>6119.2000000000007</v>
      </c>
      <c r="G1049" s="203">
        <v>0</v>
      </c>
      <c r="H1049" s="215">
        <f>'Ведомственная 2020'!H1407</f>
        <v>6119.2000000000007</v>
      </c>
      <c r="I1049" s="203">
        <v>0</v>
      </c>
      <c r="J1049" s="216">
        <f t="shared" si="292"/>
        <v>0</v>
      </c>
      <c r="K1049" s="204">
        <f t="shared" si="293"/>
        <v>0</v>
      </c>
    </row>
    <row r="1050" spans="1:11" x14ac:dyDescent="0.2">
      <c r="A1050" s="202" t="s">
        <v>689</v>
      </c>
      <c r="B1050" s="209" t="s">
        <v>609</v>
      </c>
      <c r="C1050" s="209" t="s">
        <v>670</v>
      </c>
      <c r="D1050" s="209"/>
      <c r="E1050" s="209"/>
      <c r="F1050" s="215">
        <v>97087.8</v>
      </c>
      <c r="G1050" s="203">
        <v>0</v>
      </c>
      <c r="H1050" s="215">
        <f>H1051+H1067+H1076</f>
        <v>105333.40000000001</v>
      </c>
      <c r="I1050" s="203">
        <f>I1051+I1067+I1076</f>
        <v>0</v>
      </c>
      <c r="J1050" s="216">
        <f t="shared" si="292"/>
        <v>8245.6000000000058</v>
      </c>
      <c r="K1050" s="204">
        <f t="shared" si="293"/>
        <v>0</v>
      </c>
    </row>
    <row r="1051" spans="1:11" x14ac:dyDescent="0.2">
      <c r="A1051" s="202" t="s">
        <v>666</v>
      </c>
      <c r="B1051" s="209" t="s">
        <v>609</v>
      </c>
      <c r="C1051" s="209" t="s">
        <v>670</v>
      </c>
      <c r="D1051" s="209" t="s">
        <v>665</v>
      </c>
      <c r="E1051" s="209"/>
      <c r="F1051" s="215">
        <v>45856.2</v>
      </c>
      <c r="G1051" s="203">
        <v>0</v>
      </c>
      <c r="H1051" s="215">
        <f>H1052+H1059</f>
        <v>54101.8</v>
      </c>
      <c r="I1051" s="203">
        <f>I1052+I1059</f>
        <v>0</v>
      </c>
      <c r="J1051" s="216">
        <f t="shared" si="292"/>
        <v>8245.6000000000058</v>
      </c>
      <c r="K1051" s="204">
        <f t="shared" si="293"/>
        <v>0</v>
      </c>
    </row>
    <row r="1052" spans="1:11" x14ac:dyDescent="0.2">
      <c r="A1052" s="202" t="s">
        <v>688</v>
      </c>
      <c r="B1052" s="209" t="s">
        <v>609</v>
      </c>
      <c r="C1052" s="209" t="s">
        <v>670</v>
      </c>
      <c r="D1052" s="209" t="s">
        <v>687</v>
      </c>
      <c r="E1052" s="209"/>
      <c r="F1052" s="215">
        <v>25786.399999999998</v>
      </c>
      <c r="G1052" s="203">
        <v>0</v>
      </c>
      <c r="H1052" s="215">
        <f>H1053</f>
        <v>34532</v>
      </c>
      <c r="I1052" s="203">
        <f>I1053</f>
        <v>0</v>
      </c>
      <c r="J1052" s="216">
        <f t="shared" si="292"/>
        <v>8745.6000000000022</v>
      </c>
      <c r="K1052" s="204">
        <f t="shared" si="293"/>
        <v>0</v>
      </c>
    </row>
    <row r="1053" spans="1:11" ht="22.5" x14ac:dyDescent="0.2">
      <c r="A1053" s="202" t="s">
        <v>686</v>
      </c>
      <c r="B1053" s="209" t="s">
        <v>609</v>
      </c>
      <c r="C1053" s="209" t="s">
        <v>670</v>
      </c>
      <c r="D1053" s="209" t="s">
        <v>685</v>
      </c>
      <c r="E1053" s="209"/>
      <c r="F1053" s="215">
        <v>25786.399999999998</v>
      </c>
      <c r="G1053" s="203">
        <v>0</v>
      </c>
      <c r="H1053" s="215">
        <f>H1054</f>
        <v>34532</v>
      </c>
      <c r="I1053" s="203">
        <f>I1054</f>
        <v>0</v>
      </c>
      <c r="J1053" s="216">
        <f t="shared" si="292"/>
        <v>8745.6000000000022</v>
      </c>
      <c r="K1053" s="204">
        <f t="shared" si="293"/>
        <v>0</v>
      </c>
    </row>
    <row r="1054" spans="1:11" ht="22.5" x14ac:dyDescent="0.2">
      <c r="A1054" s="202" t="s">
        <v>684</v>
      </c>
      <c r="B1054" s="209" t="s">
        <v>609</v>
      </c>
      <c r="C1054" s="209" t="s">
        <v>670</v>
      </c>
      <c r="D1054" s="209" t="s">
        <v>683</v>
      </c>
      <c r="E1054" s="209"/>
      <c r="F1054" s="215">
        <v>25786.399999999998</v>
      </c>
      <c r="G1054" s="203">
        <v>0</v>
      </c>
      <c r="H1054" s="215">
        <f>H1055+H1057</f>
        <v>34532</v>
      </c>
      <c r="I1054" s="203">
        <f>I1055+I1057</f>
        <v>0</v>
      </c>
      <c r="J1054" s="216">
        <f t="shared" si="292"/>
        <v>8745.6000000000022</v>
      </c>
      <c r="K1054" s="204">
        <f t="shared" si="293"/>
        <v>0</v>
      </c>
    </row>
    <row r="1055" spans="1:11" x14ac:dyDescent="0.2">
      <c r="A1055" s="202" t="s">
        <v>1347</v>
      </c>
      <c r="B1055" s="209" t="s">
        <v>609</v>
      </c>
      <c r="C1055" s="209" t="s">
        <v>670</v>
      </c>
      <c r="D1055" s="209" t="s">
        <v>683</v>
      </c>
      <c r="E1055" s="209" t="s">
        <v>535</v>
      </c>
      <c r="F1055" s="215">
        <v>2809.3</v>
      </c>
      <c r="G1055" s="203">
        <v>0</v>
      </c>
      <c r="H1055" s="215">
        <f>H1056</f>
        <v>2809.3</v>
      </c>
      <c r="I1055" s="203">
        <f>I1056</f>
        <v>0</v>
      </c>
      <c r="J1055" s="216">
        <f t="shared" si="292"/>
        <v>0</v>
      </c>
      <c r="K1055" s="204">
        <f t="shared" si="293"/>
        <v>0</v>
      </c>
    </row>
    <row r="1056" spans="1:11" ht="22.5" x14ac:dyDescent="0.2">
      <c r="A1056" s="202" t="s">
        <v>534</v>
      </c>
      <c r="B1056" s="209" t="s">
        <v>609</v>
      </c>
      <c r="C1056" s="209" t="s">
        <v>670</v>
      </c>
      <c r="D1056" s="209" t="s">
        <v>683</v>
      </c>
      <c r="E1056" s="209" t="s">
        <v>529</v>
      </c>
      <c r="F1056" s="215">
        <v>2809.3</v>
      </c>
      <c r="G1056" s="203">
        <v>0</v>
      </c>
      <c r="H1056" s="215">
        <f>'Ведомственная 2020'!H1258</f>
        <v>2809.3</v>
      </c>
      <c r="I1056" s="203">
        <v>0</v>
      </c>
      <c r="J1056" s="216">
        <f t="shared" si="292"/>
        <v>0</v>
      </c>
      <c r="K1056" s="204">
        <f t="shared" si="293"/>
        <v>0</v>
      </c>
    </row>
    <row r="1057" spans="1:11" ht="22.5" x14ac:dyDescent="0.2">
      <c r="A1057" s="202" t="s">
        <v>547</v>
      </c>
      <c r="B1057" s="209" t="s">
        <v>609</v>
      </c>
      <c r="C1057" s="209" t="s">
        <v>670</v>
      </c>
      <c r="D1057" s="209" t="s">
        <v>683</v>
      </c>
      <c r="E1057" s="209" t="s">
        <v>519</v>
      </c>
      <c r="F1057" s="215">
        <v>22977.1</v>
      </c>
      <c r="G1057" s="203">
        <v>0</v>
      </c>
      <c r="H1057" s="215">
        <f>H1058</f>
        <v>31722.699999999997</v>
      </c>
      <c r="I1057" s="203">
        <f>I1058</f>
        <v>0</v>
      </c>
      <c r="J1057" s="216">
        <f t="shared" si="292"/>
        <v>8745.5999999999985</v>
      </c>
      <c r="K1057" s="204">
        <f t="shared" si="293"/>
        <v>0</v>
      </c>
    </row>
    <row r="1058" spans="1:11" x14ac:dyDescent="0.2">
      <c r="A1058" s="202" t="s">
        <v>571</v>
      </c>
      <c r="B1058" s="209" t="s">
        <v>609</v>
      </c>
      <c r="C1058" s="209" t="s">
        <v>670</v>
      </c>
      <c r="D1058" s="209" t="s">
        <v>683</v>
      </c>
      <c r="E1058" s="209" t="s">
        <v>522</v>
      </c>
      <c r="F1058" s="215">
        <v>22977.1</v>
      </c>
      <c r="G1058" s="203">
        <v>0</v>
      </c>
      <c r="H1058" s="215">
        <f>'Ведомственная 2020'!H1260</f>
        <v>31722.699999999997</v>
      </c>
      <c r="I1058" s="203">
        <v>0</v>
      </c>
      <c r="J1058" s="216">
        <f t="shared" si="292"/>
        <v>8745.5999999999985</v>
      </c>
      <c r="K1058" s="204">
        <f t="shared" si="293"/>
        <v>0</v>
      </c>
    </row>
    <row r="1059" spans="1:11" x14ac:dyDescent="0.2">
      <c r="A1059" s="202" t="s">
        <v>682</v>
      </c>
      <c r="B1059" s="209" t="s">
        <v>609</v>
      </c>
      <c r="C1059" s="209" t="s">
        <v>670</v>
      </c>
      <c r="D1059" s="209" t="s">
        <v>681</v>
      </c>
      <c r="E1059" s="209"/>
      <c r="F1059" s="215">
        <v>20069.8</v>
      </c>
      <c r="G1059" s="203">
        <v>0</v>
      </c>
      <c r="H1059" s="215">
        <f>H1060</f>
        <v>19569.8</v>
      </c>
      <c r="I1059" s="203">
        <f>I1060</f>
        <v>0</v>
      </c>
      <c r="J1059" s="216">
        <f t="shared" si="292"/>
        <v>-500</v>
      </c>
      <c r="K1059" s="204">
        <f t="shared" si="293"/>
        <v>0</v>
      </c>
    </row>
    <row r="1060" spans="1:11" ht="22.5" x14ac:dyDescent="0.2">
      <c r="A1060" s="202" t="s">
        <v>600</v>
      </c>
      <c r="B1060" s="209" t="s">
        <v>609</v>
      </c>
      <c r="C1060" s="209" t="s">
        <v>670</v>
      </c>
      <c r="D1060" s="209" t="s">
        <v>680</v>
      </c>
      <c r="E1060" s="209"/>
      <c r="F1060" s="215">
        <v>20069.8</v>
      </c>
      <c r="G1060" s="203">
        <v>0</v>
      </c>
      <c r="H1060" s="215">
        <f>H1061+H1064</f>
        <v>19569.8</v>
      </c>
      <c r="I1060" s="203">
        <f>I1061+I1064</f>
        <v>0</v>
      </c>
      <c r="J1060" s="216">
        <f t="shared" si="292"/>
        <v>-500</v>
      </c>
      <c r="K1060" s="204">
        <f t="shared" si="293"/>
        <v>0</v>
      </c>
    </row>
    <row r="1061" spans="1:11" x14ac:dyDescent="0.2">
      <c r="A1061" s="202" t="s">
        <v>679</v>
      </c>
      <c r="B1061" s="209" t="s">
        <v>609</v>
      </c>
      <c r="C1061" s="209" t="s">
        <v>670</v>
      </c>
      <c r="D1061" s="209" t="s">
        <v>678</v>
      </c>
      <c r="E1061" s="209"/>
      <c r="F1061" s="215">
        <v>1850</v>
      </c>
      <c r="G1061" s="203">
        <v>0</v>
      </c>
      <c r="H1061" s="215">
        <f>H1062</f>
        <v>1850</v>
      </c>
      <c r="I1061" s="203">
        <f>I1062</f>
        <v>0</v>
      </c>
      <c r="J1061" s="216">
        <f t="shared" si="292"/>
        <v>0</v>
      </c>
      <c r="K1061" s="204">
        <f t="shared" si="293"/>
        <v>0</v>
      </c>
    </row>
    <row r="1062" spans="1:11" ht="22.5" x14ac:dyDescent="0.2">
      <c r="A1062" s="202" t="s">
        <v>547</v>
      </c>
      <c r="B1062" s="209" t="s">
        <v>609</v>
      </c>
      <c r="C1062" s="209" t="s">
        <v>670</v>
      </c>
      <c r="D1062" s="209" t="s">
        <v>678</v>
      </c>
      <c r="E1062" s="209" t="s">
        <v>519</v>
      </c>
      <c r="F1062" s="215">
        <v>1850</v>
      </c>
      <c r="G1062" s="203">
        <v>0</v>
      </c>
      <c r="H1062" s="215">
        <f>H1063</f>
        <v>1850</v>
      </c>
      <c r="I1062" s="203">
        <f>I1063</f>
        <v>0</v>
      </c>
      <c r="J1062" s="216">
        <f t="shared" si="292"/>
        <v>0</v>
      </c>
      <c r="K1062" s="204">
        <f t="shared" si="293"/>
        <v>0</v>
      </c>
    </row>
    <row r="1063" spans="1:11" x14ac:dyDescent="0.2">
      <c r="A1063" s="202" t="s">
        <v>571</v>
      </c>
      <c r="B1063" s="209" t="s">
        <v>609</v>
      </c>
      <c r="C1063" s="209" t="s">
        <v>670</v>
      </c>
      <c r="D1063" s="209" t="s">
        <v>678</v>
      </c>
      <c r="E1063" s="209" t="s">
        <v>522</v>
      </c>
      <c r="F1063" s="215">
        <v>1850</v>
      </c>
      <c r="G1063" s="203">
        <v>0</v>
      </c>
      <c r="H1063" s="215">
        <f>'Ведомственная 2020'!H1265</f>
        <v>1850</v>
      </c>
      <c r="I1063" s="203">
        <v>0</v>
      </c>
      <c r="J1063" s="216">
        <f t="shared" si="292"/>
        <v>0</v>
      </c>
      <c r="K1063" s="204">
        <f t="shared" si="293"/>
        <v>0</v>
      </c>
    </row>
    <row r="1064" spans="1:11" x14ac:dyDescent="0.2">
      <c r="A1064" s="202" t="s">
        <v>677</v>
      </c>
      <c r="B1064" s="209" t="s">
        <v>609</v>
      </c>
      <c r="C1064" s="209" t="s">
        <v>670</v>
      </c>
      <c r="D1064" s="209" t="s">
        <v>676</v>
      </c>
      <c r="E1064" s="209"/>
      <c r="F1064" s="215">
        <v>18219.8</v>
      </c>
      <c r="G1064" s="203">
        <v>0</v>
      </c>
      <c r="H1064" s="215">
        <f>H1065</f>
        <v>17719.8</v>
      </c>
      <c r="I1064" s="203">
        <f>I1065</f>
        <v>0</v>
      </c>
      <c r="J1064" s="216">
        <f t="shared" si="292"/>
        <v>-500</v>
      </c>
      <c r="K1064" s="204">
        <f t="shared" si="293"/>
        <v>0</v>
      </c>
    </row>
    <row r="1065" spans="1:11" ht="22.5" x14ac:dyDescent="0.2">
      <c r="A1065" s="202" t="s">
        <v>547</v>
      </c>
      <c r="B1065" s="209" t="s">
        <v>609</v>
      </c>
      <c r="C1065" s="209" t="s">
        <v>670</v>
      </c>
      <c r="D1065" s="209" t="s">
        <v>676</v>
      </c>
      <c r="E1065" s="209" t="s">
        <v>519</v>
      </c>
      <c r="F1065" s="215">
        <v>18219.8</v>
      </c>
      <c r="G1065" s="203">
        <v>0</v>
      </c>
      <c r="H1065" s="215">
        <f>H1066</f>
        <v>17719.8</v>
      </c>
      <c r="I1065" s="203">
        <f>I1066</f>
        <v>0</v>
      </c>
      <c r="J1065" s="216">
        <f t="shared" si="292"/>
        <v>-500</v>
      </c>
      <c r="K1065" s="204">
        <f t="shared" si="293"/>
        <v>0</v>
      </c>
    </row>
    <row r="1066" spans="1:11" x14ac:dyDescent="0.2">
      <c r="A1066" s="202" t="s">
        <v>571</v>
      </c>
      <c r="B1066" s="209" t="s">
        <v>609</v>
      </c>
      <c r="C1066" s="209" t="s">
        <v>670</v>
      </c>
      <c r="D1066" s="209" t="s">
        <v>676</v>
      </c>
      <c r="E1066" s="209" t="s">
        <v>522</v>
      </c>
      <c r="F1066" s="215">
        <v>18219.8</v>
      </c>
      <c r="G1066" s="203">
        <v>0</v>
      </c>
      <c r="H1066" s="215">
        <f>'Ведомственная 2020'!H1268</f>
        <v>17719.8</v>
      </c>
      <c r="I1066" s="203">
        <v>0</v>
      </c>
      <c r="J1066" s="216">
        <f t="shared" si="292"/>
        <v>-500</v>
      </c>
      <c r="K1066" s="204">
        <f t="shared" si="293"/>
        <v>0</v>
      </c>
    </row>
    <row r="1067" spans="1:11" x14ac:dyDescent="0.2">
      <c r="A1067" s="202" t="s">
        <v>568</v>
      </c>
      <c r="B1067" s="209" t="s">
        <v>609</v>
      </c>
      <c r="C1067" s="209" t="s">
        <v>670</v>
      </c>
      <c r="D1067" s="209" t="s">
        <v>567</v>
      </c>
      <c r="E1067" s="209"/>
      <c r="F1067" s="215">
        <v>25703.9</v>
      </c>
      <c r="G1067" s="203">
        <v>0</v>
      </c>
      <c r="H1067" s="215">
        <f t="shared" ref="H1067:I1069" si="295">H1068</f>
        <v>25703.9</v>
      </c>
      <c r="I1067" s="203">
        <f t="shared" si="295"/>
        <v>0</v>
      </c>
      <c r="J1067" s="216">
        <f t="shared" si="292"/>
        <v>0</v>
      </c>
      <c r="K1067" s="204">
        <f t="shared" si="293"/>
        <v>0</v>
      </c>
    </row>
    <row r="1068" spans="1:11" x14ac:dyDescent="0.2">
      <c r="A1068" s="202" t="s">
        <v>675</v>
      </c>
      <c r="B1068" s="209" t="s">
        <v>609</v>
      </c>
      <c r="C1068" s="209" t="s">
        <v>670</v>
      </c>
      <c r="D1068" s="209" t="s">
        <v>674</v>
      </c>
      <c r="E1068" s="209"/>
      <c r="F1068" s="215">
        <v>25703.9</v>
      </c>
      <c r="G1068" s="203">
        <v>0</v>
      </c>
      <c r="H1068" s="215">
        <f t="shared" si="295"/>
        <v>25703.9</v>
      </c>
      <c r="I1068" s="203">
        <f t="shared" si="295"/>
        <v>0</v>
      </c>
      <c r="J1068" s="216">
        <f t="shared" si="292"/>
        <v>0</v>
      </c>
      <c r="K1068" s="204">
        <f t="shared" si="293"/>
        <v>0</v>
      </c>
    </row>
    <row r="1069" spans="1:11" ht="22.5" x14ac:dyDescent="0.2">
      <c r="A1069" s="202" t="s">
        <v>673</v>
      </c>
      <c r="B1069" s="209" t="s">
        <v>609</v>
      </c>
      <c r="C1069" s="209" t="s">
        <v>670</v>
      </c>
      <c r="D1069" s="209" t="s">
        <v>672</v>
      </c>
      <c r="E1069" s="209"/>
      <c r="F1069" s="215">
        <v>25703.9</v>
      </c>
      <c r="G1069" s="203">
        <v>0</v>
      </c>
      <c r="H1069" s="215">
        <f t="shared" si="295"/>
        <v>25703.9</v>
      </c>
      <c r="I1069" s="203">
        <f t="shared" si="295"/>
        <v>0</v>
      </c>
      <c r="J1069" s="216">
        <f t="shared" si="292"/>
        <v>0</v>
      </c>
      <c r="K1069" s="204">
        <f t="shared" si="293"/>
        <v>0</v>
      </c>
    </row>
    <row r="1070" spans="1:11" x14ac:dyDescent="0.2">
      <c r="A1070" s="202" t="s">
        <v>671</v>
      </c>
      <c r="B1070" s="209" t="s">
        <v>609</v>
      </c>
      <c r="C1070" s="209" t="s">
        <v>670</v>
      </c>
      <c r="D1070" s="209" t="s">
        <v>669</v>
      </c>
      <c r="E1070" s="209"/>
      <c r="F1070" s="215">
        <v>25703.9</v>
      </c>
      <c r="G1070" s="203">
        <v>0</v>
      </c>
      <c r="H1070" s="215">
        <f>H1071+H1073</f>
        <v>25703.9</v>
      </c>
      <c r="I1070" s="203">
        <f>I1071+I1073</f>
        <v>0</v>
      </c>
      <c r="J1070" s="216">
        <f t="shared" si="292"/>
        <v>0</v>
      </c>
      <c r="K1070" s="204">
        <f t="shared" si="293"/>
        <v>0</v>
      </c>
    </row>
    <row r="1071" spans="1:11" x14ac:dyDescent="0.2">
      <c r="A1071" s="202" t="s">
        <v>553</v>
      </c>
      <c r="B1071" s="209" t="s">
        <v>609</v>
      </c>
      <c r="C1071" s="209" t="s">
        <v>670</v>
      </c>
      <c r="D1071" s="209" t="s">
        <v>669</v>
      </c>
      <c r="E1071" s="209" t="s">
        <v>552</v>
      </c>
      <c r="F1071" s="215">
        <v>14536.3</v>
      </c>
      <c r="G1071" s="203">
        <v>0</v>
      </c>
      <c r="H1071" s="215">
        <f>H1072</f>
        <v>14536.3</v>
      </c>
      <c r="I1071" s="203">
        <f>I1072</f>
        <v>0</v>
      </c>
      <c r="J1071" s="216">
        <f t="shared" si="292"/>
        <v>0</v>
      </c>
      <c r="K1071" s="204">
        <f t="shared" si="293"/>
        <v>0</v>
      </c>
    </row>
    <row r="1072" spans="1:11" x14ac:dyDescent="0.2">
      <c r="A1072" s="202" t="s">
        <v>832</v>
      </c>
      <c r="B1072" s="209" t="s">
        <v>609</v>
      </c>
      <c r="C1072" s="209" t="s">
        <v>670</v>
      </c>
      <c r="D1072" s="209" t="s">
        <v>669</v>
      </c>
      <c r="E1072" s="209" t="s">
        <v>830</v>
      </c>
      <c r="F1072" s="215">
        <v>14536.3</v>
      </c>
      <c r="G1072" s="203">
        <v>0</v>
      </c>
      <c r="H1072" s="215">
        <f>'Ведомственная 2020'!H901</f>
        <v>14536.3</v>
      </c>
      <c r="I1072" s="203">
        <v>0</v>
      </c>
      <c r="J1072" s="216">
        <f t="shared" si="292"/>
        <v>0</v>
      </c>
      <c r="K1072" s="204">
        <f t="shared" si="293"/>
        <v>0</v>
      </c>
    </row>
    <row r="1073" spans="1:11" ht="22.5" x14ac:dyDescent="0.2">
      <c r="A1073" s="202" t="s">
        <v>547</v>
      </c>
      <c r="B1073" s="209" t="s">
        <v>609</v>
      </c>
      <c r="C1073" s="209" t="s">
        <v>670</v>
      </c>
      <c r="D1073" s="209" t="s">
        <v>669</v>
      </c>
      <c r="E1073" s="209" t="s">
        <v>519</v>
      </c>
      <c r="F1073" s="215">
        <v>11167.600000000002</v>
      </c>
      <c r="G1073" s="203">
        <v>0</v>
      </c>
      <c r="H1073" s="215">
        <f>H1074+H1075</f>
        <v>11167.600000000002</v>
      </c>
      <c r="I1073" s="203">
        <f>I1074+I1075</f>
        <v>0</v>
      </c>
      <c r="J1073" s="216">
        <f t="shared" si="292"/>
        <v>0</v>
      </c>
      <c r="K1073" s="204">
        <f t="shared" si="293"/>
        <v>0</v>
      </c>
    </row>
    <row r="1074" spans="1:11" x14ac:dyDescent="0.2">
      <c r="A1074" s="202" t="s">
        <v>571</v>
      </c>
      <c r="B1074" s="209" t="s">
        <v>609</v>
      </c>
      <c r="C1074" s="209" t="s">
        <v>670</v>
      </c>
      <c r="D1074" s="209" t="s">
        <v>669</v>
      </c>
      <c r="E1074" s="209" t="s">
        <v>522</v>
      </c>
      <c r="F1074" s="215">
        <v>9779.9000000000015</v>
      </c>
      <c r="G1074" s="203">
        <v>0</v>
      </c>
      <c r="H1074" s="215">
        <f>'Ведомственная 2020'!H1274</f>
        <v>9779.9000000000015</v>
      </c>
      <c r="I1074" s="203">
        <v>0</v>
      </c>
      <c r="J1074" s="216">
        <f t="shared" si="292"/>
        <v>0</v>
      </c>
      <c r="K1074" s="204">
        <f t="shared" si="293"/>
        <v>0</v>
      </c>
    </row>
    <row r="1075" spans="1:11" s="304" customFormat="1" x14ac:dyDescent="0.2">
      <c r="A1075" s="202" t="s">
        <v>546</v>
      </c>
      <c r="B1075" s="209" t="s">
        <v>609</v>
      </c>
      <c r="C1075" s="209" t="s">
        <v>670</v>
      </c>
      <c r="D1075" s="209" t="s">
        <v>669</v>
      </c>
      <c r="E1075" s="209">
        <v>620</v>
      </c>
      <c r="F1075" s="215">
        <v>1387.7</v>
      </c>
      <c r="G1075" s="203">
        <v>0</v>
      </c>
      <c r="H1075" s="215">
        <f>'Ведомственная 2020'!H1275</f>
        <v>1387.7</v>
      </c>
      <c r="I1075" s="203">
        <v>0</v>
      </c>
      <c r="J1075" s="216">
        <f t="shared" ref="J1075" si="296">H1075-F1075</f>
        <v>0</v>
      </c>
      <c r="K1075" s="204">
        <f t="shared" ref="K1075" si="297">I1075-G1075</f>
        <v>0</v>
      </c>
    </row>
    <row r="1076" spans="1:11" x14ac:dyDescent="0.2">
      <c r="A1076" s="202" t="s">
        <v>604</v>
      </c>
      <c r="B1076" s="209" t="s">
        <v>609</v>
      </c>
      <c r="C1076" s="209" t="s">
        <v>670</v>
      </c>
      <c r="D1076" s="209" t="s">
        <v>603</v>
      </c>
      <c r="E1076" s="209"/>
      <c r="F1076" s="215">
        <v>25527.699999999997</v>
      </c>
      <c r="G1076" s="203">
        <v>0</v>
      </c>
      <c r="H1076" s="215">
        <f>H1077</f>
        <v>25527.699999999997</v>
      </c>
      <c r="I1076" s="203">
        <f>I1077</f>
        <v>0</v>
      </c>
      <c r="J1076" s="216">
        <f t="shared" si="292"/>
        <v>0</v>
      </c>
      <c r="K1076" s="204">
        <f t="shared" si="293"/>
        <v>0</v>
      </c>
    </row>
    <row r="1077" spans="1:11" x14ac:dyDescent="0.2">
      <c r="A1077" s="202" t="s">
        <v>602</v>
      </c>
      <c r="B1077" s="209" t="s">
        <v>609</v>
      </c>
      <c r="C1077" s="209" t="s">
        <v>670</v>
      </c>
      <c r="D1077" s="209" t="s">
        <v>601</v>
      </c>
      <c r="E1077" s="209"/>
      <c r="F1077" s="215">
        <v>25527.699999999997</v>
      </c>
      <c r="G1077" s="203">
        <v>0</v>
      </c>
      <c r="H1077" s="215">
        <f>H1078</f>
        <v>25527.699999999997</v>
      </c>
      <c r="I1077" s="203">
        <f>I1078</f>
        <v>0</v>
      </c>
      <c r="J1077" s="216">
        <f t="shared" si="292"/>
        <v>0</v>
      </c>
      <c r="K1077" s="204">
        <f t="shared" si="293"/>
        <v>0</v>
      </c>
    </row>
    <row r="1078" spans="1:11" ht="22.5" x14ac:dyDescent="0.2">
      <c r="A1078" s="202" t="s">
        <v>600</v>
      </c>
      <c r="B1078" s="209" t="s">
        <v>609</v>
      </c>
      <c r="C1078" s="209" t="s">
        <v>670</v>
      </c>
      <c r="D1078" s="209" t="s">
        <v>599</v>
      </c>
      <c r="E1078" s="209"/>
      <c r="F1078" s="215">
        <v>25527.699999999997</v>
      </c>
      <c r="G1078" s="203">
        <v>0</v>
      </c>
      <c r="H1078" s="215">
        <f>H1079+H1082</f>
        <v>25527.699999999997</v>
      </c>
      <c r="I1078" s="203">
        <f>I1079+I1082</f>
        <v>0</v>
      </c>
      <c r="J1078" s="216">
        <f t="shared" si="292"/>
        <v>0</v>
      </c>
      <c r="K1078" s="204">
        <f t="shared" si="293"/>
        <v>0</v>
      </c>
    </row>
    <row r="1079" spans="1:11" ht="22.5" x14ac:dyDescent="0.2">
      <c r="A1079" s="202" t="s">
        <v>885</v>
      </c>
      <c r="B1079" s="209" t="s">
        <v>609</v>
      </c>
      <c r="C1079" s="209" t="s">
        <v>670</v>
      </c>
      <c r="D1079" s="209" t="s">
        <v>884</v>
      </c>
      <c r="E1079" s="209"/>
      <c r="F1079" s="215">
        <v>14448.599999999999</v>
      </c>
      <c r="G1079" s="203">
        <v>0</v>
      </c>
      <c r="H1079" s="215">
        <f>H1080</f>
        <v>14448.599999999999</v>
      </c>
      <c r="I1079" s="203">
        <f>I1080</f>
        <v>0</v>
      </c>
      <c r="J1079" s="216">
        <f t="shared" si="292"/>
        <v>0</v>
      </c>
      <c r="K1079" s="204">
        <f t="shared" si="293"/>
        <v>0</v>
      </c>
    </row>
    <row r="1080" spans="1:11" ht="22.5" x14ac:dyDescent="0.2">
      <c r="A1080" s="202" t="s">
        <v>547</v>
      </c>
      <c r="B1080" s="209" t="s">
        <v>609</v>
      </c>
      <c r="C1080" s="209" t="s">
        <v>670</v>
      </c>
      <c r="D1080" s="209" t="s">
        <v>884</v>
      </c>
      <c r="E1080" s="209" t="s">
        <v>519</v>
      </c>
      <c r="F1080" s="215">
        <v>14448.599999999999</v>
      </c>
      <c r="G1080" s="203">
        <v>0</v>
      </c>
      <c r="H1080" s="215">
        <f>H1081</f>
        <v>14448.599999999999</v>
      </c>
      <c r="I1080" s="203">
        <f>I1081</f>
        <v>0</v>
      </c>
      <c r="J1080" s="216">
        <f t="shared" si="292"/>
        <v>0</v>
      </c>
      <c r="K1080" s="204">
        <f t="shared" si="293"/>
        <v>0</v>
      </c>
    </row>
    <row r="1081" spans="1:11" x14ac:dyDescent="0.2">
      <c r="A1081" s="202" t="s">
        <v>571</v>
      </c>
      <c r="B1081" s="209" t="s">
        <v>609</v>
      </c>
      <c r="C1081" s="209" t="s">
        <v>670</v>
      </c>
      <c r="D1081" s="209" t="s">
        <v>884</v>
      </c>
      <c r="E1081" s="209" t="s">
        <v>522</v>
      </c>
      <c r="F1081" s="215">
        <v>14448.599999999999</v>
      </c>
      <c r="G1081" s="203">
        <v>0</v>
      </c>
      <c r="H1081" s="215">
        <f>'Ведомственная 2020'!H907</f>
        <v>14448.599999999999</v>
      </c>
      <c r="I1081" s="203">
        <v>0</v>
      </c>
      <c r="J1081" s="216">
        <f t="shared" si="292"/>
        <v>0</v>
      </c>
      <c r="K1081" s="204">
        <f t="shared" si="293"/>
        <v>0</v>
      </c>
    </row>
    <row r="1082" spans="1:11" ht="22.5" x14ac:dyDescent="0.2">
      <c r="A1082" s="202" t="s">
        <v>883</v>
      </c>
      <c r="B1082" s="209" t="s">
        <v>609</v>
      </c>
      <c r="C1082" s="209" t="s">
        <v>670</v>
      </c>
      <c r="D1082" s="209" t="s">
        <v>882</v>
      </c>
      <c r="E1082" s="209"/>
      <c r="F1082" s="215">
        <v>11079.1</v>
      </c>
      <c r="G1082" s="203">
        <v>0</v>
      </c>
      <c r="H1082" s="215">
        <f>H1083</f>
        <v>11079.1</v>
      </c>
      <c r="I1082" s="203">
        <f>I1083</f>
        <v>0</v>
      </c>
      <c r="J1082" s="216">
        <f t="shared" si="292"/>
        <v>0</v>
      </c>
      <c r="K1082" s="204">
        <f t="shared" si="293"/>
        <v>0</v>
      </c>
    </row>
    <row r="1083" spans="1:11" ht="22.5" x14ac:dyDescent="0.2">
      <c r="A1083" s="202" t="s">
        <v>547</v>
      </c>
      <c r="B1083" s="209" t="s">
        <v>609</v>
      </c>
      <c r="C1083" s="209" t="s">
        <v>670</v>
      </c>
      <c r="D1083" s="209" t="s">
        <v>882</v>
      </c>
      <c r="E1083" s="209" t="s">
        <v>519</v>
      </c>
      <c r="F1083" s="215">
        <v>11079.1</v>
      </c>
      <c r="G1083" s="203">
        <v>0</v>
      </c>
      <c r="H1083" s="215">
        <f>H1084</f>
        <v>11079.1</v>
      </c>
      <c r="I1083" s="203">
        <f>I1084</f>
        <v>0</v>
      </c>
      <c r="J1083" s="216">
        <f t="shared" si="292"/>
        <v>0</v>
      </c>
      <c r="K1083" s="204">
        <f t="shared" si="293"/>
        <v>0</v>
      </c>
    </row>
    <row r="1084" spans="1:11" x14ac:dyDescent="0.2">
      <c r="A1084" s="202" t="s">
        <v>571</v>
      </c>
      <c r="B1084" s="209" t="s">
        <v>609</v>
      </c>
      <c r="C1084" s="209" t="s">
        <v>670</v>
      </c>
      <c r="D1084" s="209" t="s">
        <v>882</v>
      </c>
      <c r="E1084" s="209" t="s">
        <v>522</v>
      </c>
      <c r="F1084" s="215">
        <v>11079.1</v>
      </c>
      <c r="G1084" s="203">
        <v>0</v>
      </c>
      <c r="H1084" s="215">
        <f>'Ведомственная 2020'!H910</f>
        <v>11079.1</v>
      </c>
      <c r="I1084" s="203">
        <v>0</v>
      </c>
      <c r="J1084" s="216">
        <f t="shared" si="292"/>
        <v>0</v>
      </c>
      <c r="K1084" s="204">
        <f t="shared" si="293"/>
        <v>0</v>
      </c>
    </row>
    <row r="1085" spans="1:11" s="97" customFormat="1" x14ac:dyDescent="0.2">
      <c r="A1085" s="199" t="s">
        <v>1345</v>
      </c>
      <c r="B1085" s="212" t="s">
        <v>617</v>
      </c>
      <c r="C1085" s="212"/>
      <c r="D1085" s="212"/>
      <c r="E1085" s="212"/>
      <c r="F1085" s="213">
        <v>515659.4</v>
      </c>
      <c r="G1085" s="200">
        <v>0</v>
      </c>
      <c r="H1085" s="213">
        <f>H1086</f>
        <v>517695.80000000005</v>
      </c>
      <c r="I1085" s="200">
        <f>I1086</f>
        <v>0</v>
      </c>
      <c r="J1085" s="214">
        <f t="shared" si="292"/>
        <v>2036.4000000000233</v>
      </c>
      <c r="K1085" s="201">
        <f t="shared" si="293"/>
        <v>0</v>
      </c>
    </row>
    <row r="1086" spans="1:11" x14ac:dyDescent="0.2">
      <c r="A1086" s="202" t="s">
        <v>654</v>
      </c>
      <c r="B1086" s="209" t="s">
        <v>617</v>
      </c>
      <c r="C1086" s="209" t="s">
        <v>498</v>
      </c>
      <c r="D1086" s="209"/>
      <c r="E1086" s="209"/>
      <c r="F1086" s="215">
        <v>515659.4</v>
      </c>
      <c r="G1086" s="203">
        <v>0</v>
      </c>
      <c r="H1086" s="215">
        <f>H1087+H1136+H1151+H1157</f>
        <v>517695.80000000005</v>
      </c>
      <c r="I1086" s="203">
        <f>I1087+I1136+I1151+I1157</f>
        <v>0</v>
      </c>
      <c r="J1086" s="216">
        <f t="shared" si="292"/>
        <v>2036.4000000000233</v>
      </c>
      <c r="K1086" s="204">
        <f t="shared" si="293"/>
        <v>0</v>
      </c>
    </row>
    <row r="1087" spans="1:11" x14ac:dyDescent="0.2">
      <c r="A1087" s="202" t="s">
        <v>653</v>
      </c>
      <c r="B1087" s="209" t="s">
        <v>617</v>
      </c>
      <c r="C1087" s="209" t="s">
        <v>498</v>
      </c>
      <c r="D1087" s="209" t="s">
        <v>652</v>
      </c>
      <c r="E1087" s="209"/>
      <c r="F1087" s="215">
        <v>509333.10000000003</v>
      </c>
      <c r="G1087" s="203">
        <v>0</v>
      </c>
      <c r="H1087" s="215">
        <f>H1088+H1093+H1104+H1129</f>
        <v>510482.80000000005</v>
      </c>
      <c r="I1087" s="203">
        <f>I1088+I1093+I1104</f>
        <v>0</v>
      </c>
      <c r="J1087" s="216">
        <f t="shared" si="292"/>
        <v>1149.7000000000116</v>
      </c>
      <c r="K1087" s="204">
        <f t="shared" si="293"/>
        <v>0</v>
      </c>
    </row>
    <row r="1088" spans="1:11" x14ac:dyDescent="0.2">
      <c r="A1088" s="202" t="s">
        <v>651</v>
      </c>
      <c r="B1088" s="209" t="s">
        <v>617</v>
      </c>
      <c r="C1088" s="209" t="s">
        <v>498</v>
      </c>
      <c r="D1088" s="209" t="s">
        <v>650</v>
      </c>
      <c r="E1088" s="209"/>
      <c r="F1088" s="215">
        <v>26119.8</v>
      </c>
      <c r="G1088" s="203">
        <v>0</v>
      </c>
      <c r="H1088" s="215">
        <f t="shared" ref="H1088:I1091" si="298">H1089</f>
        <v>26119.8</v>
      </c>
      <c r="I1088" s="203">
        <f t="shared" si="298"/>
        <v>0</v>
      </c>
      <c r="J1088" s="216">
        <f t="shared" si="292"/>
        <v>0</v>
      </c>
      <c r="K1088" s="204">
        <f t="shared" si="293"/>
        <v>0</v>
      </c>
    </row>
    <row r="1089" spans="1:11" x14ac:dyDescent="0.2">
      <c r="A1089" s="202" t="s">
        <v>649</v>
      </c>
      <c r="B1089" s="209" t="s">
        <v>617</v>
      </c>
      <c r="C1089" s="209" t="s">
        <v>498</v>
      </c>
      <c r="D1089" s="209" t="s">
        <v>648</v>
      </c>
      <c r="E1089" s="209"/>
      <c r="F1089" s="215">
        <v>26119.8</v>
      </c>
      <c r="G1089" s="203">
        <v>0</v>
      </c>
      <c r="H1089" s="215">
        <f t="shared" si="298"/>
        <v>26119.8</v>
      </c>
      <c r="I1089" s="203">
        <f t="shared" si="298"/>
        <v>0</v>
      </c>
      <c r="J1089" s="216">
        <f t="shared" si="292"/>
        <v>0</v>
      </c>
      <c r="K1089" s="204">
        <f t="shared" si="293"/>
        <v>0</v>
      </c>
    </row>
    <row r="1090" spans="1:11" ht="22.5" x14ac:dyDescent="0.2">
      <c r="A1090" s="202" t="s">
        <v>647</v>
      </c>
      <c r="B1090" s="209" t="s">
        <v>617</v>
      </c>
      <c r="C1090" s="209" t="s">
        <v>498</v>
      </c>
      <c r="D1090" s="209" t="s">
        <v>646</v>
      </c>
      <c r="E1090" s="209"/>
      <c r="F1090" s="215">
        <v>26119.8</v>
      </c>
      <c r="G1090" s="203">
        <v>0</v>
      </c>
      <c r="H1090" s="215">
        <f t="shared" si="298"/>
        <v>26119.8</v>
      </c>
      <c r="I1090" s="203">
        <f t="shared" si="298"/>
        <v>0</v>
      </c>
      <c r="J1090" s="216">
        <f t="shared" si="292"/>
        <v>0</v>
      </c>
      <c r="K1090" s="204">
        <f t="shared" si="293"/>
        <v>0</v>
      </c>
    </row>
    <row r="1091" spans="1:11" ht="22.5" x14ac:dyDescent="0.2">
      <c r="A1091" s="202" t="s">
        <v>547</v>
      </c>
      <c r="B1091" s="209" t="s">
        <v>617</v>
      </c>
      <c r="C1091" s="209" t="s">
        <v>498</v>
      </c>
      <c r="D1091" s="209" t="s">
        <v>646</v>
      </c>
      <c r="E1091" s="209" t="s">
        <v>519</v>
      </c>
      <c r="F1091" s="215">
        <v>26119.8</v>
      </c>
      <c r="G1091" s="203">
        <v>0</v>
      </c>
      <c r="H1091" s="215">
        <f t="shared" si="298"/>
        <v>26119.8</v>
      </c>
      <c r="I1091" s="203">
        <f t="shared" si="298"/>
        <v>0</v>
      </c>
      <c r="J1091" s="216">
        <f t="shared" ref="J1091:J1158" si="299">H1091-F1091</f>
        <v>0</v>
      </c>
      <c r="K1091" s="204">
        <f t="shared" ref="K1091:K1158" si="300">I1091-G1091</f>
        <v>0</v>
      </c>
    </row>
    <row r="1092" spans="1:11" x14ac:dyDescent="0.2">
      <c r="A1092" s="202" t="s">
        <v>571</v>
      </c>
      <c r="B1092" s="209" t="s">
        <v>617</v>
      </c>
      <c r="C1092" s="209" t="s">
        <v>498</v>
      </c>
      <c r="D1092" s="209" t="s">
        <v>646</v>
      </c>
      <c r="E1092" s="209" t="s">
        <v>522</v>
      </c>
      <c r="F1092" s="215">
        <v>26119.8</v>
      </c>
      <c r="G1092" s="203">
        <v>0</v>
      </c>
      <c r="H1092" s="215">
        <f>'Ведомственная 2020'!H1307</f>
        <v>26119.8</v>
      </c>
      <c r="I1092" s="203">
        <v>0</v>
      </c>
      <c r="J1092" s="216">
        <f t="shared" si="299"/>
        <v>0</v>
      </c>
      <c r="K1092" s="204">
        <f t="shared" si="300"/>
        <v>0</v>
      </c>
    </row>
    <row r="1093" spans="1:11" x14ac:dyDescent="0.2">
      <c r="A1093" s="202" t="s">
        <v>645</v>
      </c>
      <c r="B1093" s="209" t="s">
        <v>617</v>
      </c>
      <c r="C1093" s="209" t="s">
        <v>498</v>
      </c>
      <c r="D1093" s="209" t="s">
        <v>644</v>
      </c>
      <c r="E1093" s="209"/>
      <c r="F1093" s="215">
        <v>90085.2</v>
      </c>
      <c r="G1093" s="203">
        <v>0</v>
      </c>
      <c r="H1093" s="215">
        <f>H1094</f>
        <v>91610.3</v>
      </c>
      <c r="I1093" s="203">
        <f>I1094</f>
        <v>0</v>
      </c>
      <c r="J1093" s="216">
        <f t="shared" si="299"/>
        <v>1525.1000000000058</v>
      </c>
      <c r="K1093" s="204">
        <f t="shared" si="300"/>
        <v>0</v>
      </c>
    </row>
    <row r="1094" spans="1:11" ht="22.5" x14ac:dyDescent="0.2">
      <c r="A1094" s="202" t="s">
        <v>643</v>
      </c>
      <c r="B1094" s="209" t="s">
        <v>617</v>
      </c>
      <c r="C1094" s="209" t="s">
        <v>498</v>
      </c>
      <c r="D1094" s="209" t="s">
        <v>642</v>
      </c>
      <c r="E1094" s="209"/>
      <c r="F1094" s="215">
        <v>90085.2</v>
      </c>
      <c r="G1094" s="203">
        <v>0</v>
      </c>
      <c r="H1094" s="215">
        <f>H1095+H1100</f>
        <v>91610.3</v>
      </c>
      <c r="I1094" s="203">
        <f>I1095+I1100</f>
        <v>0</v>
      </c>
      <c r="J1094" s="216">
        <f t="shared" si="299"/>
        <v>1525.1000000000058</v>
      </c>
      <c r="K1094" s="204">
        <f t="shared" si="300"/>
        <v>0</v>
      </c>
    </row>
    <row r="1095" spans="1:11" ht="22.5" x14ac:dyDescent="0.2">
      <c r="A1095" s="202" t="s">
        <v>881</v>
      </c>
      <c r="B1095" s="209" t="s">
        <v>617</v>
      </c>
      <c r="C1095" s="209" t="s">
        <v>498</v>
      </c>
      <c r="D1095" s="209" t="s">
        <v>880</v>
      </c>
      <c r="E1095" s="209"/>
      <c r="F1095" s="215">
        <v>3107.4</v>
      </c>
      <c r="G1095" s="203">
        <v>0</v>
      </c>
      <c r="H1095" s="215">
        <f>H1096+H1098</f>
        <v>4632.5</v>
      </c>
      <c r="I1095" s="203">
        <f>I1096</f>
        <v>0</v>
      </c>
      <c r="J1095" s="216">
        <f t="shared" si="299"/>
        <v>1525.1</v>
      </c>
      <c r="K1095" s="204">
        <f t="shared" si="300"/>
        <v>0</v>
      </c>
    </row>
    <row r="1096" spans="1:11" x14ac:dyDescent="0.2">
      <c r="A1096" s="202" t="s">
        <v>1347</v>
      </c>
      <c r="B1096" s="209" t="s">
        <v>617</v>
      </c>
      <c r="C1096" s="209" t="s">
        <v>498</v>
      </c>
      <c r="D1096" s="209" t="s">
        <v>880</v>
      </c>
      <c r="E1096" s="209" t="s">
        <v>535</v>
      </c>
      <c r="F1096" s="215">
        <v>3107.4</v>
      </c>
      <c r="G1096" s="203">
        <v>0</v>
      </c>
      <c r="H1096" s="215">
        <f>H1097</f>
        <v>3107.4</v>
      </c>
      <c r="I1096" s="203">
        <f>I1097</f>
        <v>0</v>
      </c>
      <c r="J1096" s="216">
        <f t="shared" si="299"/>
        <v>0</v>
      </c>
      <c r="K1096" s="204">
        <f t="shared" si="300"/>
        <v>0</v>
      </c>
    </row>
    <row r="1097" spans="1:11" ht="22.5" x14ac:dyDescent="0.2">
      <c r="A1097" s="202" t="s">
        <v>534</v>
      </c>
      <c r="B1097" s="209" t="s">
        <v>617</v>
      </c>
      <c r="C1097" s="209" t="s">
        <v>498</v>
      </c>
      <c r="D1097" s="209" t="s">
        <v>880</v>
      </c>
      <c r="E1097" s="209" t="s">
        <v>529</v>
      </c>
      <c r="F1097" s="215">
        <v>3107.4</v>
      </c>
      <c r="G1097" s="203">
        <v>0</v>
      </c>
      <c r="H1097" s="215">
        <f>'Ведомственная 2020'!H918</f>
        <v>3107.4</v>
      </c>
      <c r="I1097" s="203">
        <v>0</v>
      </c>
      <c r="J1097" s="216">
        <f t="shared" si="299"/>
        <v>0</v>
      </c>
      <c r="K1097" s="204">
        <f t="shared" si="300"/>
        <v>0</v>
      </c>
    </row>
    <row r="1098" spans="1:11" s="426" customFormat="1" ht="22.5" x14ac:dyDescent="0.2">
      <c r="A1098" s="202" t="s">
        <v>547</v>
      </c>
      <c r="B1098" s="209" t="s">
        <v>617</v>
      </c>
      <c r="C1098" s="209" t="s">
        <v>498</v>
      </c>
      <c r="D1098" s="209" t="s">
        <v>880</v>
      </c>
      <c r="E1098" s="209" t="s">
        <v>519</v>
      </c>
      <c r="F1098" s="215">
        <f>F1099</f>
        <v>0</v>
      </c>
      <c r="G1098" s="203">
        <f>G1099</f>
        <v>0</v>
      </c>
      <c r="H1098" s="215">
        <f>H1099</f>
        <v>1525.1</v>
      </c>
      <c r="I1098" s="203">
        <f>I1099</f>
        <v>0</v>
      </c>
      <c r="J1098" s="216">
        <f t="shared" ref="J1098:J1099" si="301">H1098-F1098</f>
        <v>1525.1</v>
      </c>
      <c r="K1098" s="204">
        <f t="shared" ref="K1098:K1099" si="302">I1098-G1098</f>
        <v>0</v>
      </c>
    </row>
    <row r="1099" spans="1:11" s="426" customFormat="1" x14ac:dyDescent="0.2">
      <c r="A1099" s="202" t="s">
        <v>546</v>
      </c>
      <c r="B1099" s="209" t="s">
        <v>617</v>
      </c>
      <c r="C1099" s="209" t="s">
        <v>498</v>
      </c>
      <c r="D1099" s="209" t="s">
        <v>880</v>
      </c>
      <c r="E1099" s="209">
        <v>620</v>
      </c>
      <c r="F1099" s="215">
        <v>0</v>
      </c>
      <c r="G1099" s="203">
        <v>0</v>
      </c>
      <c r="H1099" s="215">
        <f>'Ведомственная 2020'!H1312</f>
        <v>1525.1</v>
      </c>
      <c r="I1099" s="203">
        <v>0</v>
      </c>
      <c r="J1099" s="216">
        <f t="shared" si="301"/>
        <v>1525.1</v>
      </c>
      <c r="K1099" s="204">
        <f t="shared" si="302"/>
        <v>0</v>
      </c>
    </row>
    <row r="1100" spans="1:11" ht="22.5" x14ac:dyDescent="0.2">
      <c r="A1100" s="202" t="s">
        <v>641</v>
      </c>
      <c r="B1100" s="209" t="s">
        <v>617</v>
      </c>
      <c r="C1100" s="209" t="s">
        <v>498</v>
      </c>
      <c r="D1100" s="209" t="s">
        <v>640</v>
      </c>
      <c r="E1100" s="209"/>
      <c r="F1100" s="215">
        <v>86977.8</v>
      </c>
      <c r="G1100" s="203">
        <v>0</v>
      </c>
      <c r="H1100" s="215">
        <f>H1101</f>
        <v>86977.8</v>
      </c>
      <c r="I1100" s="203">
        <f>I1101</f>
        <v>0</v>
      </c>
      <c r="J1100" s="216">
        <f t="shared" si="299"/>
        <v>0</v>
      </c>
      <c r="K1100" s="204">
        <f t="shared" si="300"/>
        <v>0</v>
      </c>
    </row>
    <row r="1101" spans="1:11" ht="22.5" x14ac:dyDescent="0.2">
      <c r="A1101" s="202" t="s">
        <v>547</v>
      </c>
      <c r="B1101" s="209" t="s">
        <v>617</v>
      </c>
      <c r="C1101" s="209" t="s">
        <v>498</v>
      </c>
      <c r="D1101" s="209" t="s">
        <v>640</v>
      </c>
      <c r="E1101" s="209" t="s">
        <v>519</v>
      </c>
      <c r="F1101" s="215">
        <v>86977.8</v>
      </c>
      <c r="G1101" s="203">
        <v>0</v>
      </c>
      <c r="H1101" s="215">
        <f>H1102+H1103</f>
        <v>86977.8</v>
      </c>
      <c r="I1101" s="203">
        <f>I1102+I1103</f>
        <v>0</v>
      </c>
      <c r="J1101" s="216">
        <f t="shared" si="299"/>
        <v>0</v>
      </c>
      <c r="K1101" s="204">
        <f t="shared" si="300"/>
        <v>0</v>
      </c>
    </row>
    <row r="1102" spans="1:11" x14ac:dyDescent="0.2">
      <c r="A1102" s="202" t="s">
        <v>571</v>
      </c>
      <c r="B1102" s="209" t="s">
        <v>617</v>
      </c>
      <c r="C1102" s="209" t="s">
        <v>498</v>
      </c>
      <c r="D1102" s="209" t="s">
        <v>640</v>
      </c>
      <c r="E1102" s="209" t="s">
        <v>522</v>
      </c>
      <c r="F1102" s="215">
        <v>1174.3999999999996</v>
      </c>
      <c r="G1102" s="203">
        <v>0</v>
      </c>
      <c r="H1102" s="215">
        <f>'Ведомственная 2020'!H1315</f>
        <v>1174.3999999999996</v>
      </c>
      <c r="I1102" s="203">
        <v>0</v>
      </c>
      <c r="J1102" s="216">
        <f t="shared" si="299"/>
        <v>0</v>
      </c>
      <c r="K1102" s="204">
        <f t="shared" si="300"/>
        <v>0</v>
      </c>
    </row>
    <row r="1103" spans="1:11" x14ac:dyDescent="0.2">
      <c r="A1103" s="202" t="s">
        <v>546</v>
      </c>
      <c r="B1103" s="209" t="s">
        <v>617</v>
      </c>
      <c r="C1103" s="209" t="s">
        <v>498</v>
      </c>
      <c r="D1103" s="209" t="s">
        <v>640</v>
      </c>
      <c r="E1103" s="209" t="s">
        <v>544</v>
      </c>
      <c r="F1103" s="215">
        <v>85803.400000000009</v>
      </c>
      <c r="G1103" s="203">
        <v>0</v>
      </c>
      <c r="H1103" s="215">
        <f>'Ведомственная 2020'!H1316</f>
        <v>85803.400000000009</v>
      </c>
      <c r="I1103" s="203">
        <v>0</v>
      </c>
      <c r="J1103" s="216">
        <f t="shared" si="299"/>
        <v>0</v>
      </c>
      <c r="K1103" s="204">
        <f t="shared" si="300"/>
        <v>0</v>
      </c>
    </row>
    <row r="1104" spans="1:11" ht="22.5" x14ac:dyDescent="0.2">
      <c r="A1104" s="202" t="s">
        <v>639</v>
      </c>
      <c r="B1104" s="209" t="s">
        <v>617</v>
      </c>
      <c r="C1104" s="209" t="s">
        <v>498</v>
      </c>
      <c r="D1104" s="209" t="s">
        <v>638</v>
      </c>
      <c r="E1104" s="209"/>
      <c r="F1104" s="215">
        <v>389049.9</v>
      </c>
      <c r="G1104" s="203">
        <v>0</v>
      </c>
      <c r="H1104" s="215">
        <f>H1105+H1116+H1122</f>
        <v>389088.7</v>
      </c>
      <c r="I1104" s="203">
        <f>I1105</f>
        <v>0</v>
      </c>
      <c r="J1104" s="216">
        <f t="shared" si="299"/>
        <v>38.799999999988358</v>
      </c>
      <c r="K1104" s="204">
        <f t="shared" si="300"/>
        <v>0</v>
      </c>
    </row>
    <row r="1105" spans="1:11" x14ac:dyDescent="0.2">
      <c r="A1105" s="202" t="s">
        <v>637</v>
      </c>
      <c r="B1105" s="209" t="s">
        <v>617</v>
      </c>
      <c r="C1105" s="209" t="s">
        <v>498</v>
      </c>
      <c r="D1105" s="209" t="s">
        <v>636</v>
      </c>
      <c r="E1105" s="209"/>
      <c r="F1105" s="215">
        <v>129764</v>
      </c>
      <c r="G1105" s="203">
        <v>0</v>
      </c>
      <c r="H1105" s="215">
        <f>H1106+H1110+H1113</f>
        <v>127797.8</v>
      </c>
      <c r="I1105" s="203">
        <f>I1106+I1110+I1113</f>
        <v>0</v>
      </c>
      <c r="J1105" s="216">
        <f t="shared" si="299"/>
        <v>-1966.1999999999971</v>
      </c>
      <c r="K1105" s="204">
        <f t="shared" si="300"/>
        <v>0</v>
      </c>
    </row>
    <row r="1106" spans="1:11" x14ac:dyDescent="0.2">
      <c r="A1106" s="202" t="s">
        <v>622</v>
      </c>
      <c r="B1106" s="209" t="s">
        <v>617</v>
      </c>
      <c r="C1106" s="209" t="s">
        <v>498</v>
      </c>
      <c r="D1106" s="209" t="s">
        <v>635</v>
      </c>
      <c r="E1106" s="209"/>
      <c r="F1106" s="215">
        <v>13787.8</v>
      </c>
      <c r="G1106" s="203">
        <v>0</v>
      </c>
      <c r="H1106" s="215">
        <f>H1107</f>
        <v>11821.599999999999</v>
      </c>
      <c r="I1106" s="203">
        <f>I1107</f>
        <v>0</v>
      </c>
      <c r="J1106" s="216">
        <f t="shared" si="299"/>
        <v>-1966.2000000000007</v>
      </c>
      <c r="K1106" s="204">
        <f t="shared" si="300"/>
        <v>0</v>
      </c>
    </row>
    <row r="1107" spans="1:11" ht="22.5" x14ac:dyDescent="0.2">
      <c r="A1107" s="202" t="s">
        <v>547</v>
      </c>
      <c r="B1107" s="209" t="s">
        <v>617</v>
      </c>
      <c r="C1107" s="209" t="s">
        <v>498</v>
      </c>
      <c r="D1107" s="209" t="s">
        <v>635</v>
      </c>
      <c r="E1107" s="209" t="s">
        <v>519</v>
      </c>
      <c r="F1107" s="215">
        <v>13787.8</v>
      </c>
      <c r="G1107" s="203">
        <v>0</v>
      </c>
      <c r="H1107" s="215">
        <f>H1108+H1109</f>
        <v>11821.599999999999</v>
      </c>
      <c r="I1107" s="203">
        <f>I1108+I1109</f>
        <v>0</v>
      </c>
      <c r="J1107" s="216">
        <f t="shared" si="299"/>
        <v>-1966.2000000000007</v>
      </c>
      <c r="K1107" s="204">
        <f t="shared" si="300"/>
        <v>0</v>
      </c>
    </row>
    <row r="1108" spans="1:11" x14ac:dyDescent="0.2">
      <c r="A1108" s="202" t="s">
        <v>571</v>
      </c>
      <c r="B1108" s="209" t="s">
        <v>617</v>
      </c>
      <c r="C1108" s="209" t="s">
        <v>498</v>
      </c>
      <c r="D1108" s="209" t="s">
        <v>635</v>
      </c>
      <c r="E1108" s="209" t="s">
        <v>522</v>
      </c>
      <c r="F1108" s="215">
        <v>10577.8</v>
      </c>
      <c r="G1108" s="203">
        <v>0</v>
      </c>
      <c r="H1108" s="215">
        <f>'Ведомственная 2020'!H1321</f>
        <v>8596.5999999999985</v>
      </c>
      <c r="I1108" s="203">
        <v>0</v>
      </c>
      <c r="J1108" s="216">
        <f t="shared" si="299"/>
        <v>-1981.2000000000007</v>
      </c>
      <c r="K1108" s="204">
        <f t="shared" si="300"/>
        <v>0</v>
      </c>
    </row>
    <row r="1109" spans="1:11" x14ac:dyDescent="0.2">
      <c r="A1109" s="202" t="s">
        <v>546</v>
      </c>
      <c r="B1109" s="209" t="s">
        <v>617</v>
      </c>
      <c r="C1109" s="209" t="s">
        <v>498</v>
      </c>
      <c r="D1109" s="209" t="s">
        <v>635</v>
      </c>
      <c r="E1109" s="209" t="s">
        <v>544</v>
      </c>
      <c r="F1109" s="215">
        <v>3210</v>
      </c>
      <c r="G1109" s="203">
        <v>0</v>
      </c>
      <c r="H1109" s="215">
        <f>'Ведомственная 2020'!H1322</f>
        <v>3225</v>
      </c>
      <c r="I1109" s="203">
        <v>0</v>
      </c>
      <c r="J1109" s="216">
        <f t="shared" si="299"/>
        <v>15</v>
      </c>
      <c r="K1109" s="204">
        <f t="shared" si="300"/>
        <v>0</v>
      </c>
    </row>
    <row r="1110" spans="1:11" ht="22.5" x14ac:dyDescent="0.2">
      <c r="A1110" s="202" t="s">
        <v>634</v>
      </c>
      <c r="B1110" s="209" t="s">
        <v>617</v>
      </c>
      <c r="C1110" s="209" t="s">
        <v>498</v>
      </c>
      <c r="D1110" s="209" t="s">
        <v>633</v>
      </c>
      <c r="E1110" s="209"/>
      <c r="F1110" s="215">
        <v>109258.4</v>
      </c>
      <c r="G1110" s="203">
        <v>0</v>
      </c>
      <c r="H1110" s="215">
        <f>H1111</f>
        <v>109258.4</v>
      </c>
      <c r="I1110" s="203">
        <f>I1111</f>
        <v>0</v>
      </c>
      <c r="J1110" s="216">
        <f t="shared" si="299"/>
        <v>0</v>
      </c>
      <c r="K1110" s="204">
        <f t="shared" si="300"/>
        <v>0</v>
      </c>
    </row>
    <row r="1111" spans="1:11" ht="22.5" x14ac:dyDescent="0.2">
      <c r="A1111" s="202" t="s">
        <v>547</v>
      </c>
      <c r="B1111" s="209" t="s">
        <v>617</v>
      </c>
      <c r="C1111" s="209" t="s">
        <v>498</v>
      </c>
      <c r="D1111" s="209" t="s">
        <v>633</v>
      </c>
      <c r="E1111" s="209" t="s">
        <v>519</v>
      </c>
      <c r="F1111" s="215">
        <v>109258.4</v>
      </c>
      <c r="G1111" s="203">
        <v>0</v>
      </c>
      <c r="H1111" s="215">
        <f>H1112</f>
        <v>109258.4</v>
      </c>
      <c r="I1111" s="203">
        <f>I1112</f>
        <v>0</v>
      </c>
      <c r="J1111" s="216">
        <f t="shared" si="299"/>
        <v>0</v>
      </c>
      <c r="K1111" s="204">
        <f t="shared" si="300"/>
        <v>0</v>
      </c>
    </row>
    <row r="1112" spans="1:11" x14ac:dyDescent="0.2">
      <c r="A1112" s="202" t="s">
        <v>571</v>
      </c>
      <c r="B1112" s="209" t="s">
        <v>617</v>
      </c>
      <c r="C1112" s="209" t="s">
        <v>498</v>
      </c>
      <c r="D1112" s="209" t="s">
        <v>633</v>
      </c>
      <c r="E1112" s="209" t="s">
        <v>522</v>
      </c>
      <c r="F1112" s="215">
        <v>109258.4</v>
      </c>
      <c r="G1112" s="203">
        <v>0</v>
      </c>
      <c r="H1112" s="215">
        <f>'Ведомственная 2020'!H1325</f>
        <v>109258.4</v>
      </c>
      <c r="I1112" s="203">
        <v>0</v>
      </c>
      <c r="J1112" s="216">
        <f t="shared" si="299"/>
        <v>0</v>
      </c>
      <c r="K1112" s="204">
        <f t="shared" si="300"/>
        <v>0</v>
      </c>
    </row>
    <row r="1113" spans="1:11" ht="33.75" x14ac:dyDescent="0.2">
      <c r="A1113" s="202" t="s">
        <v>632</v>
      </c>
      <c r="B1113" s="209" t="s">
        <v>617</v>
      </c>
      <c r="C1113" s="209" t="s">
        <v>498</v>
      </c>
      <c r="D1113" s="209" t="s">
        <v>631</v>
      </c>
      <c r="E1113" s="209"/>
      <c r="F1113" s="215">
        <v>6717.8</v>
      </c>
      <c r="G1113" s="203">
        <v>0</v>
      </c>
      <c r="H1113" s="215">
        <f>H1114</f>
        <v>6717.8</v>
      </c>
      <c r="I1113" s="203">
        <f>I1114</f>
        <v>0</v>
      </c>
      <c r="J1113" s="216">
        <f t="shared" si="299"/>
        <v>0</v>
      </c>
      <c r="K1113" s="204">
        <f t="shared" si="300"/>
        <v>0</v>
      </c>
    </row>
    <row r="1114" spans="1:11" ht="22.5" x14ac:dyDescent="0.2">
      <c r="A1114" s="202" t="s">
        <v>547</v>
      </c>
      <c r="B1114" s="209" t="s">
        <v>617</v>
      </c>
      <c r="C1114" s="209" t="s">
        <v>498</v>
      </c>
      <c r="D1114" s="209" t="s">
        <v>631</v>
      </c>
      <c r="E1114" s="209" t="s">
        <v>519</v>
      </c>
      <c r="F1114" s="215">
        <v>6717.8</v>
      </c>
      <c r="G1114" s="203">
        <v>0</v>
      </c>
      <c r="H1114" s="215">
        <f>H1115</f>
        <v>6717.8</v>
      </c>
      <c r="I1114" s="203">
        <f>I1115</f>
        <v>0</v>
      </c>
      <c r="J1114" s="216">
        <f t="shared" si="299"/>
        <v>0</v>
      </c>
      <c r="K1114" s="204">
        <f t="shared" si="300"/>
        <v>0</v>
      </c>
    </row>
    <row r="1115" spans="1:11" x14ac:dyDescent="0.2">
      <c r="A1115" s="202" t="s">
        <v>571</v>
      </c>
      <c r="B1115" s="209" t="s">
        <v>617</v>
      </c>
      <c r="C1115" s="209" t="s">
        <v>498</v>
      </c>
      <c r="D1115" s="209" t="s">
        <v>631</v>
      </c>
      <c r="E1115" s="209" t="s">
        <v>522</v>
      </c>
      <c r="F1115" s="215">
        <v>6717.8</v>
      </c>
      <c r="G1115" s="203">
        <v>0</v>
      </c>
      <c r="H1115" s="215">
        <f>'Ведомственная 2020'!H1328</f>
        <v>6717.8</v>
      </c>
      <c r="I1115" s="203">
        <v>0</v>
      </c>
      <c r="J1115" s="216">
        <f t="shared" si="299"/>
        <v>0</v>
      </c>
      <c r="K1115" s="204">
        <f t="shared" si="300"/>
        <v>0</v>
      </c>
    </row>
    <row r="1116" spans="1:11" ht="22.5" x14ac:dyDescent="0.2">
      <c r="A1116" s="202" t="s">
        <v>630</v>
      </c>
      <c r="B1116" s="209" t="s">
        <v>617</v>
      </c>
      <c r="C1116" s="209" t="s">
        <v>498</v>
      </c>
      <c r="D1116" s="209" t="s">
        <v>629</v>
      </c>
      <c r="E1116" s="209"/>
      <c r="F1116" s="215">
        <v>290</v>
      </c>
      <c r="G1116" s="203">
        <v>0</v>
      </c>
      <c r="H1116" s="215">
        <f>H1117</f>
        <v>290</v>
      </c>
      <c r="I1116" s="203">
        <f>I1117</f>
        <v>0</v>
      </c>
      <c r="J1116" s="216">
        <f t="shared" si="299"/>
        <v>0</v>
      </c>
      <c r="K1116" s="204">
        <f t="shared" si="300"/>
        <v>0</v>
      </c>
    </row>
    <row r="1117" spans="1:11" x14ac:dyDescent="0.2">
      <c r="A1117" s="202" t="s">
        <v>628</v>
      </c>
      <c r="B1117" s="209" t="s">
        <v>617</v>
      </c>
      <c r="C1117" s="209" t="s">
        <v>498</v>
      </c>
      <c r="D1117" s="209" t="s">
        <v>627</v>
      </c>
      <c r="E1117" s="209"/>
      <c r="F1117" s="215">
        <v>290</v>
      </c>
      <c r="G1117" s="203">
        <v>0</v>
      </c>
      <c r="H1117" s="215">
        <f>H1118+H1120</f>
        <v>290</v>
      </c>
      <c r="I1117" s="203">
        <f>I1118+I1120</f>
        <v>0</v>
      </c>
      <c r="J1117" s="216">
        <f t="shared" si="299"/>
        <v>0</v>
      </c>
      <c r="K1117" s="204">
        <f t="shared" si="300"/>
        <v>0</v>
      </c>
    </row>
    <row r="1118" spans="1:11" x14ac:dyDescent="0.2">
      <c r="A1118" s="202" t="s">
        <v>1347</v>
      </c>
      <c r="B1118" s="209" t="s">
        <v>617</v>
      </c>
      <c r="C1118" s="209" t="s">
        <v>498</v>
      </c>
      <c r="D1118" s="209" t="s">
        <v>627</v>
      </c>
      <c r="E1118" s="209" t="s">
        <v>535</v>
      </c>
      <c r="F1118" s="215">
        <v>25</v>
      </c>
      <c r="G1118" s="203">
        <v>0</v>
      </c>
      <c r="H1118" s="215">
        <f>H1119</f>
        <v>25</v>
      </c>
      <c r="I1118" s="203">
        <f>I1119</f>
        <v>0</v>
      </c>
      <c r="J1118" s="216">
        <f t="shared" si="299"/>
        <v>0</v>
      </c>
      <c r="K1118" s="204">
        <f t="shared" si="300"/>
        <v>0</v>
      </c>
    </row>
    <row r="1119" spans="1:11" ht="22.5" x14ac:dyDescent="0.2">
      <c r="A1119" s="202" t="s">
        <v>534</v>
      </c>
      <c r="B1119" s="209" t="s">
        <v>617</v>
      </c>
      <c r="C1119" s="209" t="s">
        <v>498</v>
      </c>
      <c r="D1119" s="209" t="s">
        <v>627</v>
      </c>
      <c r="E1119" s="209" t="s">
        <v>529</v>
      </c>
      <c r="F1119" s="215">
        <v>25</v>
      </c>
      <c r="G1119" s="203">
        <v>0</v>
      </c>
      <c r="H1119" s="215">
        <f>'Ведомственная 2020'!H1332</f>
        <v>25</v>
      </c>
      <c r="I1119" s="203">
        <v>0</v>
      </c>
      <c r="J1119" s="216">
        <f t="shared" si="299"/>
        <v>0</v>
      </c>
      <c r="K1119" s="204">
        <f t="shared" si="300"/>
        <v>0</v>
      </c>
    </row>
    <row r="1120" spans="1:11" x14ac:dyDescent="0.2">
      <c r="A1120" s="202" t="s">
        <v>553</v>
      </c>
      <c r="B1120" s="209" t="s">
        <v>617</v>
      </c>
      <c r="C1120" s="209" t="s">
        <v>498</v>
      </c>
      <c r="D1120" s="209" t="s">
        <v>627</v>
      </c>
      <c r="E1120" s="209" t="s">
        <v>552</v>
      </c>
      <c r="F1120" s="215">
        <v>265</v>
      </c>
      <c r="G1120" s="203">
        <v>0</v>
      </c>
      <c r="H1120" s="215">
        <f>H1121</f>
        <v>265</v>
      </c>
      <c r="I1120" s="203">
        <f>I1121</f>
        <v>0</v>
      </c>
      <c r="J1120" s="216">
        <f t="shared" si="299"/>
        <v>0</v>
      </c>
      <c r="K1120" s="204">
        <f t="shared" si="300"/>
        <v>0</v>
      </c>
    </row>
    <row r="1121" spans="1:11" x14ac:dyDescent="0.2">
      <c r="A1121" s="202" t="s">
        <v>621</v>
      </c>
      <c r="B1121" s="209" t="s">
        <v>617</v>
      </c>
      <c r="C1121" s="209" t="s">
        <v>498</v>
      </c>
      <c r="D1121" s="209" t="s">
        <v>627</v>
      </c>
      <c r="E1121" s="209" t="s">
        <v>619</v>
      </c>
      <c r="F1121" s="215">
        <v>265</v>
      </c>
      <c r="G1121" s="203">
        <v>0</v>
      </c>
      <c r="H1121" s="215">
        <f>'Ведомственная 2020'!H1334</f>
        <v>265</v>
      </c>
      <c r="I1121" s="203">
        <v>0</v>
      </c>
      <c r="J1121" s="216">
        <f t="shared" si="299"/>
        <v>0</v>
      </c>
      <c r="K1121" s="204">
        <f t="shared" si="300"/>
        <v>0</v>
      </c>
    </row>
    <row r="1122" spans="1:11" x14ac:dyDescent="0.2">
      <c r="A1122" s="202" t="s">
        <v>1357</v>
      </c>
      <c r="B1122" s="209" t="s">
        <v>617</v>
      </c>
      <c r="C1122" s="209" t="s">
        <v>498</v>
      </c>
      <c r="D1122" s="209" t="s">
        <v>1358</v>
      </c>
      <c r="E1122" s="209"/>
      <c r="F1122" s="215">
        <v>258995.9</v>
      </c>
      <c r="G1122" s="203">
        <v>0</v>
      </c>
      <c r="H1122" s="215">
        <f>H1123</f>
        <v>261000.9</v>
      </c>
      <c r="I1122" s="203">
        <f>I1123</f>
        <v>0</v>
      </c>
      <c r="J1122" s="216">
        <f t="shared" si="299"/>
        <v>2005</v>
      </c>
      <c r="K1122" s="204">
        <f t="shared" si="300"/>
        <v>0</v>
      </c>
    </row>
    <row r="1123" spans="1:11" ht="22.5" x14ac:dyDescent="0.2">
      <c r="A1123" s="202" t="s">
        <v>625</v>
      </c>
      <c r="B1123" s="209" t="s">
        <v>617</v>
      </c>
      <c r="C1123" s="209" t="s">
        <v>498</v>
      </c>
      <c r="D1123" s="209" t="s">
        <v>1359</v>
      </c>
      <c r="E1123" s="209"/>
      <c r="F1123" s="215">
        <v>258995.9</v>
      </c>
      <c r="G1123" s="203">
        <v>0</v>
      </c>
      <c r="H1123" s="215">
        <f>H1124+H1126</f>
        <v>261000.9</v>
      </c>
      <c r="I1123" s="203">
        <f>I1124</f>
        <v>0</v>
      </c>
      <c r="J1123" s="216">
        <f t="shared" si="299"/>
        <v>2005</v>
      </c>
      <c r="K1123" s="204">
        <f t="shared" si="300"/>
        <v>0</v>
      </c>
    </row>
    <row r="1124" spans="1:11" x14ac:dyDescent="0.2">
      <c r="A1124" s="202" t="s">
        <v>1347</v>
      </c>
      <c r="B1124" s="209" t="s">
        <v>617</v>
      </c>
      <c r="C1124" s="209" t="s">
        <v>498</v>
      </c>
      <c r="D1124" s="209" t="s">
        <v>1359</v>
      </c>
      <c r="E1124" s="209" t="s">
        <v>535</v>
      </c>
      <c r="F1124" s="215">
        <v>1708.1</v>
      </c>
      <c r="G1124" s="203">
        <v>0</v>
      </c>
      <c r="H1124" s="215">
        <f>H1125</f>
        <v>1708.1</v>
      </c>
      <c r="I1124" s="203">
        <f>I1125</f>
        <v>0</v>
      </c>
      <c r="J1124" s="216">
        <f t="shared" si="299"/>
        <v>0</v>
      </c>
      <c r="K1124" s="204">
        <f t="shared" si="300"/>
        <v>0</v>
      </c>
    </row>
    <row r="1125" spans="1:11" ht="22.5" x14ac:dyDescent="0.2">
      <c r="A1125" s="202" t="s">
        <v>534</v>
      </c>
      <c r="B1125" s="209" t="s">
        <v>617</v>
      </c>
      <c r="C1125" s="209" t="s">
        <v>498</v>
      </c>
      <c r="D1125" s="209" t="s">
        <v>1359</v>
      </c>
      <c r="E1125" s="209" t="s">
        <v>529</v>
      </c>
      <c r="F1125" s="215">
        <v>1708.1</v>
      </c>
      <c r="G1125" s="203">
        <v>0</v>
      </c>
      <c r="H1125" s="215">
        <f>'Ведомственная 2020'!H923</f>
        <v>1708.1</v>
      </c>
      <c r="I1125" s="203">
        <v>0</v>
      </c>
      <c r="J1125" s="216">
        <f t="shared" si="299"/>
        <v>0</v>
      </c>
      <c r="K1125" s="204">
        <f t="shared" si="300"/>
        <v>0</v>
      </c>
    </row>
    <row r="1126" spans="1:11" ht="22.5" x14ac:dyDescent="0.2">
      <c r="A1126" s="202" t="s">
        <v>547</v>
      </c>
      <c r="B1126" s="209" t="s">
        <v>617</v>
      </c>
      <c r="C1126" s="209" t="s">
        <v>498</v>
      </c>
      <c r="D1126" s="209" t="s">
        <v>1359</v>
      </c>
      <c r="E1126" s="209" t="s">
        <v>519</v>
      </c>
      <c r="F1126" s="215">
        <v>257287.8</v>
      </c>
      <c r="G1126" s="203">
        <v>0</v>
      </c>
      <c r="H1126" s="215">
        <f>H1127+H1128</f>
        <v>259292.79999999999</v>
      </c>
      <c r="I1126" s="203">
        <f>I1127+I1128</f>
        <v>0</v>
      </c>
      <c r="J1126" s="216">
        <f t="shared" si="299"/>
        <v>2005</v>
      </c>
      <c r="K1126" s="204">
        <f t="shared" si="300"/>
        <v>0</v>
      </c>
    </row>
    <row r="1127" spans="1:11" x14ac:dyDescent="0.2">
      <c r="A1127" s="202" t="s">
        <v>571</v>
      </c>
      <c r="B1127" s="209" t="s">
        <v>617</v>
      </c>
      <c r="C1127" s="209" t="s">
        <v>498</v>
      </c>
      <c r="D1127" s="209" t="s">
        <v>1359</v>
      </c>
      <c r="E1127" s="209" t="s">
        <v>522</v>
      </c>
      <c r="F1127" s="215">
        <v>178810.3</v>
      </c>
      <c r="G1127" s="203">
        <v>0</v>
      </c>
      <c r="H1127" s="215">
        <f>'Ведомственная 2020'!H1338</f>
        <v>164187.69999999998</v>
      </c>
      <c r="I1127" s="203">
        <v>0</v>
      </c>
      <c r="J1127" s="216">
        <f t="shared" si="299"/>
        <v>-14622.600000000006</v>
      </c>
      <c r="K1127" s="204">
        <f t="shared" si="300"/>
        <v>0</v>
      </c>
    </row>
    <row r="1128" spans="1:11" x14ac:dyDescent="0.2">
      <c r="A1128" s="202" t="s">
        <v>546</v>
      </c>
      <c r="B1128" s="209" t="s">
        <v>617</v>
      </c>
      <c r="C1128" s="209" t="s">
        <v>498</v>
      </c>
      <c r="D1128" s="209" t="s">
        <v>1359</v>
      </c>
      <c r="E1128" s="209" t="s">
        <v>544</v>
      </c>
      <c r="F1128" s="215">
        <v>78477.5</v>
      </c>
      <c r="G1128" s="203">
        <v>0</v>
      </c>
      <c r="H1128" s="215">
        <f>'Ведомственная 2020'!H1339</f>
        <v>95105.1</v>
      </c>
      <c r="I1128" s="203">
        <v>0</v>
      </c>
      <c r="J1128" s="216">
        <f t="shared" si="299"/>
        <v>16627.600000000006</v>
      </c>
      <c r="K1128" s="204">
        <f t="shared" si="300"/>
        <v>0</v>
      </c>
    </row>
    <row r="1129" spans="1:11" x14ac:dyDescent="0.2">
      <c r="A1129" s="202" t="s">
        <v>602</v>
      </c>
      <c r="B1129" s="209" t="s">
        <v>617</v>
      </c>
      <c r="C1129" s="209" t="s">
        <v>498</v>
      </c>
      <c r="D1129" s="209" t="s">
        <v>624</v>
      </c>
      <c r="E1129" s="209"/>
      <c r="F1129" s="215">
        <v>4078.2</v>
      </c>
      <c r="G1129" s="203">
        <v>0</v>
      </c>
      <c r="H1129" s="215">
        <f>H1130</f>
        <v>3664</v>
      </c>
      <c r="I1129" s="203">
        <f>I1130</f>
        <v>0</v>
      </c>
      <c r="J1129" s="216">
        <f t="shared" si="299"/>
        <v>-414.19999999999982</v>
      </c>
      <c r="K1129" s="204">
        <f t="shared" si="300"/>
        <v>0</v>
      </c>
    </row>
    <row r="1130" spans="1:11" ht="22.5" x14ac:dyDescent="0.2">
      <c r="A1130" s="202" t="s">
        <v>600</v>
      </c>
      <c r="B1130" s="209" t="s">
        <v>617</v>
      </c>
      <c r="C1130" s="209" t="s">
        <v>498</v>
      </c>
      <c r="D1130" s="209" t="s">
        <v>623</v>
      </c>
      <c r="E1130" s="209"/>
      <c r="F1130" s="215">
        <v>4078.2</v>
      </c>
      <c r="G1130" s="203">
        <v>0</v>
      </c>
      <c r="H1130" s="215">
        <f>H1131</f>
        <v>3664</v>
      </c>
      <c r="I1130" s="203">
        <f>I1131</f>
        <v>0</v>
      </c>
      <c r="J1130" s="216">
        <f t="shared" si="299"/>
        <v>-414.19999999999982</v>
      </c>
      <c r="K1130" s="204">
        <f t="shared" si="300"/>
        <v>0</v>
      </c>
    </row>
    <row r="1131" spans="1:11" x14ac:dyDescent="0.2">
      <c r="A1131" s="202" t="s">
        <v>622</v>
      </c>
      <c r="B1131" s="209" t="s">
        <v>617</v>
      </c>
      <c r="C1131" s="209" t="s">
        <v>498</v>
      </c>
      <c r="D1131" s="209" t="s">
        <v>620</v>
      </c>
      <c r="E1131" s="209"/>
      <c r="F1131" s="215">
        <v>4078.2</v>
      </c>
      <c r="G1131" s="203">
        <v>0</v>
      </c>
      <c r="H1131" s="215">
        <f>H1132+H1134</f>
        <v>3664</v>
      </c>
      <c r="I1131" s="203">
        <f>I1132+I1134</f>
        <v>0</v>
      </c>
      <c r="J1131" s="216">
        <f t="shared" si="299"/>
        <v>-414.19999999999982</v>
      </c>
      <c r="K1131" s="204">
        <f t="shared" si="300"/>
        <v>0</v>
      </c>
    </row>
    <row r="1132" spans="1:11" x14ac:dyDescent="0.2">
      <c r="A1132" s="202" t="s">
        <v>1347</v>
      </c>
      <c r="B1132" s="209" t="s">
        <v>617</v>
      </c>
      <c r="C1132" s="209" t="s">
        <v>498</v>
      </c>
      <c r="D1132" s="209" t="s">
        <v>620</v>
      </c>
      <c r="E1132" s="209" t="s">
        <v>535</v>
      </c>
      <c r="F1132" s="215">
        <v>1718.2</v>
      </c>
      <c r="G1132" s="203">
        <v>0</v>
      </c>
      <c r="H1132" s="215">
        <f>H1133</f>
        <v>1288.2</v>
      </c>
      <c r="I1132" s="203">
        <f>I1133</f>
        <v>0</v>
      </c>
      <c r="J1132" s="216">
        <f t="shared" si="299"/>
        <v>-430</v>
      </c>
      <c r="K1132" s="204">
        <f t="shared" si="300"/>
        <v>0</v>
      </c>
    </row>
    <row r="1133" spans="1:11" ht="22.5" x14ac:dyDescent="0.2">
      <c r="A1133" s="202" t="s">
        <v>534</v>
      </c>
      <c r="B1133" s="209" t="s">
        <v>617</v>
      </c>
      <c r="C1133" s="209" t="s">
        <v>498</v>
      </c>
      <c r="D1133" s="209" t="s">
        <v>620</v>
      </c>
      <c r="E1133" s="209" t="s">
        <v>529</v>
      </c>
      <c r="F1133" s="215">
        <v>1718.2</v>
      </c>
      <c r="G1133" s="203">
        <v>0</v>
      </c>
      <c r="H1133" s="215">
        <f>'Ведомственная 2020'!H1344</f>
        <v>1288.2</v>
      </c>
      <c r="I1133" s="203">
        <v>0</v>
      </c>
      <c r="J1133" s="216">
        <f t="shared" si="299"/>
        <v>-430</v>
      </c>
      <c r="K1133" s="204">
        <f t="shared" si="300"/>
        <v>0</v>
      </c>
    </row>
    <row r="1134" spans="1:11" x14ac:dyDescent="0.2">
      <c r="A1134" s="202" t="s">
        <v>553</v>
      </c>
      <c r="B1134" s="209" t="s">
        <v>617</v>
      </c>
      <c r="C1134" s="209" t="s">
        <v>498</v>
      </c>
      <c r="D1134" s="209" t="s">
        <v>620</v>
      </c>
      <c r="E1134" s="209" t="s">
        <v>552</v>
      </c>
      <c r="F1134" s="215">
        <v>2360</v>
      </c>
      <c r="G1134" s="203">
        <v>0</v>
      </c>
      <c r="H1134" s="215">
        <f>H1135</f>
        <v>2375.8000000000002</v>
      </c>
      <c r="I1134" s="203">
        <f>I1135</f>
        <v>0</v>
      </c>
      <c r="J1134" s="216">
        <f t="shared" si="299"/>
        <v>15.800000000000182</v>
      </c>
      <c r="K1134" s="204">
        <f t="shared" si="300"/>
        <v>0</v>
      </c>
    </row>
    <row r="1135" spans="1:11" x14ac:dyDescent="0.2">
      <c r="A1135" s="202" t="s">
        <v>621</v>
      </c>
      <c r="B1135" s="209" t="s">
        <v>617</v>
      </c>
      <c r="C1135" s="209" t="s">
        <v>498</v>
      </c>
      <c r="D1135" s="209" t="s">
        <v>620</v>
      </c>
      <c r="E1135" s="209" t="s">
        <v>619</v>
      </c>
      <c r="F1135" s="215">
        <v>2360</v>
      </c>
      <c r="G1135" s="203">
        <v>0</v>
      </c>
      <c r="H1135" s="215">
        <f>'Ведомственная 2020'!H1346</f>
        <v>2375.8000000000002</v>
      </c>
      <c r="I1135" s="203">
        <v>0</v>
      </c>
      <c r="J1135" s="216">
        <f t="shared" si="299"/>
        <v>15.800000000000182</v>
      </c>
      <c r="K1135" s="204">
        <f t="shared" si="300"/>
        <v>0</v>
      </c>
    </row>
    <row r="1136" spans="1:11" x14ac:dyDescent="0.2">
      <c r="A1136" s="202" t="s">
        <v>568</v>
      </c>
      <c r="B1136" s="209" t="s">
        <v>617</v>
      </c>
      <c r="C1136" s="209" t="s">
        <v>498</v>
      </c>
      <c r="D1136" s="209" t="s">
        <v>567</v>
      </c>
      <c r="E1136" s="209"/>
      <c r="F1136" s="215">
        <v>332.5</v>
      </c>
      <c r="G1136" s="203">
        <v>0</v>
      </c>
      <c r="H1136" s="215">
        <f>H1142+H1137</f>
        <v>1369.2</v>
      </c>
      <c r="I1136" s="203">
        <f>I1142</f>
        <v>0</v>
      </c>
      <c r="J1136" s="216">
        <f t="shared" si="299"/>
        <v>1036.7</v>
      </c>
      <c r="K1136" s="204">
        <f t="shared" si="300"/>
        <v>0</v>
      </c>
    </row>
    <row r="1137" spans="1:11" s="419" customFormat="1" x14ac:dyDescent="0.2">
      <c r="A1137" s="202" t="s">
        <v>855</v>
      </c>
      <c r="B1137" s="209" t="s">
        <v>617</v>
      </c>
      <c r="C1137" s="209" t="s">
        <v>498</v>
      </c>
      <c r="D1137" s="209" t="s">
        <v>854</v>
      </c>
      <c r="E1137" s="209"/>
      <c r="F1137" s="215">
        <f>F1138</f>
        <v>0</v>
      </c>
      <c r="G1137" s="203">
        <f t="shared" ref="G1137:I1140" si="303">G1138</f>
        <v>0</v>
      </c>
      <c r="H1137" s="215">
        <f t="shared" si="303"/>
        <v>1036.7</v>
      </c>
      <c r="I1137" s="203">
        <f t="shared" si="303"/>
        <v>0</v>
      </c>
      <c r="J1137" s="216">
        <f t="shared" ref="J1137:J1141" si="304">H1137-F1137</f>
        <v>1036.7</v>
      </c>
      <c r="K1137" s="204">
        <f t="shared" ref="K1137:K1141" si="305">I1137-G1137</f>
        <v>0</v>
      </c>
    </row>
    <row r="1138" spans="1:11" s="419" customFormat="1" x14ac:dyDescent="0.2">
      <c r="A1138" s="202" t="s">
        <v>1617</v>
      </c>
      <c r="B1138" s="209" t="s">
        <v>617</v>
      </c>
      <c r="C1138" s="209" t="s">
        <v>498</v>
      </c>
      <c r="D1138" s="209" t="s">
        <v>1618</v>
      </c>
      <c r="E1138" s="209"/>
      <c r="F1138" s="215">
        <f>F1139</f>
        <v>0</v>
      </c>
      <c r="G1138" s="203">
        <f t="shared" si="303"/>
        <v>0</v>
      </c>
      <c r="H1138" s="215">
        <f t="shared" si="303"/>
        <v>1036.7</v>
      </c>
      <c r="I1138" s="203">
        <f t="shared" si="303"/>
        <v>0</v>
      </c>
      <c r="J1138" s="216">
        <f t="shared" si="304"/>
        <v>1036.7</v>
      </c>
      <c r="K1138" s="204">
        <f t="shared" si="305"/>
        <v>0</v>
      </c>
    </row>
    <row r="1139" spans="1:11" s="419" customFormat="1" ht="22.5" x14ac:dyDescent="0.2">
      <c r="A1139" s="202" t="s">
        <v>1619</v>
      </c>
      <c r="B1139" s="209" t="s">
        <v>617</v>
      </c>
      <c r="C1139" s="209" t="s">
        <v>498</v>
      </c>
      <c r="D1139" s="209" t="s">
        <v>1620</v>
      </c>
      <c r="E1139" s="209"/>
      <c r="F1139" s="215">
        <f>F1140</f>
        <v>0</v>
      </c>
      <c r="G1139" s="203">
        <f t="shared" si="303"/>
        <v>0</v>
      </c>
      <c r="H1139" s="215">
        <f t="shared" si="303"/>
        <v>1036.7</v>
      </c>
      <c r="I1139" s="203">
        <f t="shared" si="303"/>
        <v>0</v>
      </c>
      <c r="J1139" s="216">
        <f t="shared" si="304"/>
        <v>1036.7</v>
      </c>
      <c r="K1139" s="204">
        <f t="shared" si="305"/>
        <v>0</v>
      </c>
    </row>
    <row r="1140" spans="1:11" s="419" customFormat="1" ht="22.5" x14ac:dyDescent="0.2">
      <c r="A1140" s="202" t="s">
        <v>547</v>
      </c>
      <c r="B1140" s="209" t="s">
        <v>617</v>
      </c>
      <c r="C1140" s="209" t="s">
        <v>498</v>
      </c>
      <c r="D1140" s="209" t="s">
        <v>1620</v>
      </c>
      <c r="E1140" s="209" t="s">
        <v>519</v>
      </c>
      <c r="F1140" s="215">
        <f>F1141</f>
        <v>0</v>
      </c>
      <c r="G1140" s="203">
        <f t="shared" si="303"/>
        <v>0</v>
      </c>
      <c r="H1140" s="215">
        <f t="shared" si="303"/>
        <v>1036.7</v>
      </c>
      <c r="I1140" s="203">
        <f t="shared" si="303"/>
        <v>0</v>
      </c>
      <c r="J1140" s="216">
        <f t="shared" si="304"/>
        <v>1036.7</v>
      </c>
      <c r="K1140" s="204">
        <f t="shared" si="305"/>
        <v>0</v>
      </c>
    </row>
    <row r="1141" spans="1:11" s="419" customFormat="1" x14ac:dyDescent="0.2">
      <c r="A1141" s="202" t="s">
        <v>571</v>
      </c>
      <c r="B1141" s="209" t="s">
        <v>617</v>
      </c>
      <c r="C1141" s="209" t="s">
        <v>498</v>
      </c>
      <c r="D1141" s="209" t="s">
        <v>1620</v>
      </c>
      <c r="E1141" s="209" t="s">
        <v>522</v>
      </c>
      <c r="F1141" s="215">
        <v>0</v>
      </c>
      <c r="G1141" s="203">
        <v>0</v>
      </c>
      <c r="H1141" s="215">
        <f>'Ведомственная 2020'!H1352</f>
        <v>1036.7</v>
      </c>
      <c r="I1141" s="203">
        <v>0</v>
      </c>
      <c r="J1141" s="216">
        <f t="shared" si="304"/>
        <v>1036.7</v>
      </c>
      <c r="K1141" s="204">
        <f t="shared" si="305"/>
        <v>0</v>
      </c>
    </row>
    <row r="1142" spans="1:11" x14ac:dyDescent="0.2">
      <c r="A1142" s="202" t="s">
        <v>566</v>
      </c>
      <c r="B1142" s="209" t="s">
        <v>617</v>
      </c>
      <c r="C1142" s="209" t="s">
        <v>498</v>
      </c>
      <c r="D1142" s="209" t="s">
        <v>565</v>
      </c>
      <c r="E1142" s="209"/>
      <c r="F1142" s="215">
        <v>332.5</v>
      </c>
      <c r="G1142" s="203">
        <v>0</v>
      </c>
      <c r="H1142" s="215">
        <f>H1143+H1147</f>
        <v>332.5</v>
      </c>
      <c r="I1142" s="203">
        <f>I1143+I1147</f>
        <v>0</v>
      </c>
      <c r="J1142" s="216">
        <f t="shared" si="299"/>
        <v>0</v>
      </c>
      <c r="K1142" s="204">
        <f t="shared" si="300"/>
        <v>0</v>
      </c>
    </row>
    <row r="1143" spans="1:11" ht="22.5" x14ac:dyDescent="0.2">
      <c r="A1143" s="202" t="s">
        <v>1387</v>
      </c>
      <c r="B1143" s="209" t="s">
        <v>617</v>
      </c>
      <c r="C1143" s="209" t="s">
        <v>498</v>
      </c>
      <c r="D1143" s="209" t="s">
        <v>578</v>
      </c>
      <c r="E1143" s="209"/>
      <c r="F1143" s="215">
        <v>285</v>
      </c>
      <c r="G1143" s="203">
        <v>0</v>
      </c>
      <c r="H1143" s="215">
        <f t="shared" ref="H1143:I1144" si="306">H1144</f>
        <v>285</v>
      </c>
      <c r="I1143" s="203">
        <f t="shared" si="306"/>
        <v>0</v>
      </c>
      <c r="J1143" s="216">
        <f t="shared" si="299"/>
        <v>0</v>
      </c>
      <c r="K1143" s="204">
        <f t="shared" si="300"/>
        <v>0</v>
      </c>
    </row>
    <row r="1144" spans="1:11" ht="35.25" customHeight="1" x14ac:dyDescent="0.2">
      <c r="A1144" s="202" t="s">
        <v>1388</v>
      </c>
      <c r="B1144" s="209" t="s">
        <v>617</v>
      </c>
      <c r="C1144" s="209" t="s">
        <v>498</v>
      </c>
      <c r="D1144" s="209" t="s">
        <v>577</v>
      </c>
      <c r="E1144" s="209"/>
      <c r="F1144" s="215">
        <v>285</v>
      </c>
      <c r="G1144" s="203">
        <v>0</v>
      </c>
      <c r="H1144" s="215">
        <f t="shared" si="306"/>
        <v>285</v>
      </c>
      <c r="I1144" s="203">
        <f t="shared" si="306"/>
        <v>0</v>
      </c>
      <c r="J1144" s="216">
        <f t="shared" si="299"/>
        <v>0</v>
      </c>
      <c r="K1144" s="204">
        <f t="shared" si="300"/>
        <v>0</v>
      </c>
    </row>
    <row r="1145" spans="1:11" ht="22.5" x14ac:dyDescent="0.2">
      <c r="A1145" s="202" t="s">
        <v>547</v>
      </c>
      <c r="B1145" s="209" t="s">
        <v>617</v>
      </c>
      <c r="C1145" s="209" t="s">
        <v>498</v>
      </c>
      <c r="D1145" s="209" t="s">
        <v>577</v>
      </c>
      <c r="E1145" s="209" t="s">
        <v>519</v>
      </c>
      <c r="F1145" s="215">
        <v>285</v>
      </c>
      <c r="G1145" s="203">
        <v>0</v>
      </c>
      <c r="H1145" s="215">
        <f>H1146</f>
        <v>285</v>
      </c>
      <c r="I1145" s="203">
        <f>I1146</f>
        <v>0</v>
      </c>
      <c r="J1145" s="216">
        <f t="shared" si="299"/>
        <v>0</v>
      </c>
      <c r="K1145" s="204">
        <f t="shared" si="300"/>
        <v>0</v>
      </c>
    </row>
    <row r="1146" spans="1:11" s="304" customFormat="1" x14ac:dyDescent="0.2">
      <c r="A1146" s="202" t="s">
        <v>546</v>
      </c>
      <c r="B1146" s="209" t="s">
        <v>617</v>
      </c>
      <c r="C1146" s="209" t="s">
        <v>498</v>
      </c>
      <c r="D1146" s="209" t="s">
        <v>577</v>
      </c>
      <c r="E1146" s="209">
        <v>620</v>
      </c>
      <c r="F1146" s="215">
        <v>285</v>
      </c>
      <c r="G1146" s="203">
        <v>0</v>
      </c>
      <c r="H1146" s="215">
        <f>'Ведомственная 2020'!H1357</f>
        <v>285</v>
      </c>
      <c r="I1146" s="203">
        <v>0</v>
      </c>
      <c r="J1146" s="216">
        <f t="shared" ref="J1146" si="307">H1146-F1146</f>
        <v>0</v>
      </c>
      <c r="K1146" s="204">
        <f t="shared" ref="K1146" si="308">I1146-G1146</f>
        <v>0</v>
      </c>
    </row>
    <row r="1147" spans="1:11" ht="22.5" x14ac:dyDescent="0.2">
      <c r="A1147" s="202" t="s">
        <v>564</v>
      </c>
      <c r="B1147" s="209" t="s">
        <v>617</v>
      </c>
      <c r="C1147" s="209" t="s">
        <v>498</v>
      </c>
      <c r="D1147" s="209" t="s">
        <v>563</v>
      </c>
      <c r="E1147" s="209"/>
      <c r="F1147" s="215">
        <v>47.5</v>
      </c>
      <c r="G1147" s="203">
        <v>0</v>
      </c>
      <c r="H1147" s="215">
        <f t="shared" ref="H1147:I1148" si="309">H1148</f>
        <v>47.5</v>
      </c>
      <c r="I1147" s="203">
        <f t="shared" si="309"/>
        <v>0</v>
      </c>
      <c r="J1147" s="216">
        <f t="shared" si="299"/>
        <v>0</v>
      </c>
      <c r="K1147" s="204">
        <f t="shared" si="300"/>
        <v>0</v>
      </c>
    </row>
    <row r="1148" spans="1:11" ht="33.75" x14ac:dyDescent="0.2">
      <c r="A1148" s="202" t="s">
        <v>562</v>
      </c>
      <c r="B1148" s="209" t="s">
        <v>617</v>
      </c>
      <c r="C1148" s="209" t="s">
        <v>498</v>
      </c>
      <c r="D1148" s="209" t="s">
        <v>561</v>
      </c>
      <c r="E1148" s="209"/>
      <c r="F1148" s="215">
        <v>47.5</v>
      </c>
      <c r="G1148" s="203">
        <v>0</v>
      </c>
      <c r="H1148" s="215">
        <f t="shared" si="309"/>
        <v>47.5</v>
      </c>
      <c r="I1148" s="203">
        <f t="shared" si="309"/>
        <v>0</v>
      </c>
      <c r="J1148" s="216">
        <f t="shared" si="299"/>
        <v>0</v>
      </c>
      <c r="K1148" s="204">
        <f t="shared" si="300"/>
        <v>0</v>
      </c>
    </row>
    <row r="1149" spans="1:11" ht="22.5" x14ac:dyDescent="0.2">
      <c r="A1149" s="202" t="s">
        <v>547</v>
      </c>
      <c r="B1149" s="209" t="s">
        <v>617</v>
      </c>
      <c r="C1149" s="209" t="s">
        <v>498</v>
      </c>
      <c r="D1149" s="209" t="s">
        <v>561</v>
      </c>
      <c r="E1149" s="209" t="s">
        <v>519</v>
      </c>
      <c r="F1149" s="215">
        <v>47.5</v>
      </c>
      <c r="G1149" s="203">
        <v>0</v>
      </c>
      <c r="H1149" s="215">
        <f>H1150</f>
        <v>47.5</v>
      </c>
      <c r="I1149" s="203">
        <f>I1150</f>
        <v>0</v>
      </c>
      <c r="J1149" s="216">
        <f t="shared" si="299"/>
        <v>0</v>
      </c>
      <c r="K1149" s="204">
        <f t="shared" si="300"/>
        <v>0</v>
      </c>
    </row>
    <row r="1150" spans="1:11" s="304" customFormat="1" x14ac:dyDescent="0.2">
      <c r="A1150" s="202" t="s">
        <v>546</v>
      </c>
      <c r="B1150" s="209" t="s">
        <v>617</v>
      </c>
      <c r="C1150" s="209" t="s">
        <v>498</v>
      </c>
      <c r="D1150" s="209" t="s">
        <v>561</v>
      </c>
      <c r="E1150" s="209">
        <v>620</v>
      </c>
      <c r="F1150" s="215">
        <v>47.5</v>
      </c>
      <c r="G1150" s="203">
        <v>0</v>
      </c>
      <c r="H1150" s="215">
        <f>'Ведомственная 2020'!H1361</f>
        <v>47.5</v>
      </c>
      <c r="I1150" s="203">
        <v>0</v>
      </c>
      <c r="J1150" s="216">
        <f t="shared" ref="J1150" si="310">H1150-F1150</f>
        <v>0</v>
      </c>
      <c r="K1150" s="204">
        <f t="shared" ref="K1150" si="311">I1150-G1150</f>
        <v>0</v>
      </c>
    </row>
    <row r="1151" spans="1:11" x14ac:dyDescent="0.2">
      <c r="A1151" s="202" t="s">
        <v>879</v>
      </c>
      <c r="B1151" s="209" t="s">
        <v>617</v>
      </c>
      <c r="C1151" s="209" t="s">
        <v>498</v>
      </c>
      <c r="D1151" s="209" t="s">
        <v>878</v>
      </c>
      <c r="E1151" s="209"/>
      <c r="F1151" s="215">
        <v>3178.6000000000004</v>
      </c>
      <c r="G1151" s="203">
        <v>0</v>
      </c>
      <c r="H1151" s="215">
        <f t="shared" ref="H1151:I1155" si="312">H1152</f>
        <v>3178.6000000000004</v>
      </c>
      <c r="I1151" s="203">
        <f t="shared" si="312"/>
        <v>0</v>
      </c>
      <c r="J1151" s="216">
        <f t="shared" si="299"/>
        <v>0</v>
      </c>
      <c r="K1151" s="204">
        <f t="shared" si="300"/>
        <v>0</v>
      </c>
    </row>
    <row r="1152" spans="1:11" x14ac:dyDescent="0.2">
      <c r="A1152" s="202" t="s">
        <v>877</v>
      </c>
      <c r="B1152" s="209" t="s">
        <v>617</v>
      </c>
      <c r="C1152" s="209" t="s">
        <v>498</v>
      </c>
      <c r="D1152" s="209" t="s">
        <v>876</v>
      </c>
      <c r="E1152" s="209"/>
      <c r="F1152" s="215">
        <v>3178.6000000000004</v>
      </c>
      <c r="G1152" s="203">
        <v>0</v>
      </c>
      <c r="H1152" s="215">
        <f t="shared" si="312"/>
        <v>3178.6000000000004</v>
      </c>
      <c r="I1152" s="203">
        <f t="shared" si="312"/>
        <v>0</v>
      </c>
      <c r="J1152" s="216">
        <f t="shared" si="299"/>
        <v>0</v>
      </c>
      <c r="K1152" s="204">
        <f t="shared" si="300"/>
        <v>0</v>
      </c>
    </row>
    <row r="1153" spans="1:11" x14ac:dyDescent="0.2">
      <c r="A1153" s="202" t="s">
        <v>875</v>
      </c>
      <c r="B1153" s="209" t="s">
        <v>617</v>
      </c>
      <c r="C1153" s="209" t="s">
        <v>498</v>
      </c>
      <c r="D1153" s="209" t="s">
        <v>874</v>
      </c>
      <c r="E1153" s="209"/>
      <c r="F1153" s="215">
        <v>3178.6000000000004</v>
      </c>
      <c r="G1153" s="203">
        <v>0</v>
      </c>
      <c r="H1153" s="215">
        <f t="shared" si="312"/>
        <v>3178.6000000000004</v>
      </c>
      <c r="I1153" s="203">
        <f t="shared" si="312"/>
        <v>0</v>
      </c>
      <c r="J1153" s="216">
        <f t="shared" si="299"/>
        <v>0</v>
      </c>
      <c r="K1153" s="204">
        <f t="shared" si="300"/>
        <v>0</v>
      </c>
    </row>
    <row r="1154" spans="1:11" ht="22.5" x14ac:dyDescent="0.2">
      <c r="A1154" s="202" t="s">
        <v>873</v>
      </c>
      <c r="B1154" s="209" t="s">
        <v>617</v>
      </c>
      <c r="C1154" s="209" t="s">
        <v>498</v>
      </c>
      <c r="D1154" s="209" t="s">
        <v>872</v>
      </c>
      <c r="E1154" s="209"/>
      <c r="F1154" s="215">
        <v>3178.6000000000004</v>
      </c>
      <c r="G1154" s="203">
        <v>0</v>
      </c>
      <c r="H1154" s="215">
        <f t="shared" si="312"/>
        <v>3178.6000000000004</v>
      </c>
      <c r="I1154" s="203">
        <f t="shared" si="312"/>
        <v>0</v>
      </c>
      <c r="J1154" s="216">
        <f t="shared" si="299"/>
        <v>0</v>
      </c>
      <c r="K1154" s="204">
        <f t="shared" si="300"/>
        <v>0</v>
      </c>
    </row>
    <row r="1155" spans="1:11" x14ac:dyDescent="0.2">
      <c r="A1155" s="202" t="s">
        <v>1347</v>
      </c>
      <c r="B1155" s="209" t="s">
        <v>617</v>
      </c>
      <c r="C1155" s="209" t="s">
        <v>498</v>
      </c>
      <c r="D1155" s="209" t="s">
        <v>872</v>
      </c>
      <c r="E1155" s="209" t="s">
        <v>535</v>
      </c>
      <c r="F1155" s="215">
        <v>3178.6000000000004</v>
      </c>
      <c r="G1155" s="203">
        <v>0</v>
      </c>
      <c r="H1155" s="215">
        <f t="shared" si="312"/>
        <v>3178.6000000000004</v>
      </c>
      <c r="I1155" s="203">
        <f t="shared" si="312"/>
        <v>0</v>
      </c>
      <c r="J1155" s="216">
        <f t="shared" si="299"/>
        <v>0</v>
      </c>
      <c r="K1155" s="204">
        <f t="shared" si="300"/>
        <v>0</v>
      </c>
    </row>
    <row r="1156" spans="1:11" ht="22.5" x14ac:dyDescent="0.2">
      <c r="A1156" s="202" t="s">
        <v>534</v>
      </c>
      <c r="B1156" s="209" t="s">
        <v>617</v>
      </c>
      <c r="C1156" s="209" t="s">
        <v>498</v>
      </c>
      <c r="D1156" s="209" t="s">
        <v>872</v>
      </c>
      <c r="E1156" s="209" t="s">
        <v>529</v>
      </c>
      <c r="F1156" s="215">
        <v>3178.6000000000004</v>
      </c>
      <c r="G1156" s="203">
        <v>0</v>
      </c>
      <c r="H1156" s="215">
        <f>'Ведомственная 2020'!H929</f>
        <v>3178.6000000000004</v>
      </c>
      <c r="I1156" s="203">
        <v>0</v>
      </c>
      <c r="J1156" s="216">
        <f t="shared" si="299"/>
        <v>0</v>
      </c>
      <c r="K1156" s="204">
        <f t="shared" si="300"/>
        <v>0</v>
      </c>
    </row>
    <row r="1157" spans="1:11" x14ac:dyDescent="0.2">
      <c r="A1157" s="202" t="s">
        <v>595</v>
      </c>
      <c r="B1157" s="209" t="s">
        <v>617</v>
      </c>
      <c r="C1157" s="209" t="s">
        <v>498</v>
      </c>
      <c r="D1157" s="209" t="s">
        <v>594</v>
      </c>
      <c r="E1157" s="209"/>
      <c r="F1157" s="215">
        <v>2815.2</v>
      </c>
      <c r="G1157" s="203">
        <v>0</v>
      </c>
      <c r="H1157" s="215">
        <f t="shared" ref="H1157:I1159" si="313">H1158</f>
        <v>2665.2</v>
      </c>
      <c r="I1157" s="203">
        <f t="shared" si="313"/>
        <v>0</v>
      </c>
      <c r="J1157" s="216">
        <f t="shared" si="299"/>
        <v>-150</v>
      </c>
      <c r="K1157" s="204">
        <f t="shared" si="300"/>
        <v>0</v>
      </c>
    </row>
    <row r="1158" spans="1:11" x14ac:dyDescent="0.2">
      <c r="A1158" s="202" t="s">
        <v>871</v>
      </c>
      <c r="B1158" s="209" t="s">
        <v>617</v>
      </c>
      <c r="C1158" s="209" t="s">
        <v>498</v>
      </c>
      <c r="D1158" s="209" t="s">
        <v>870</v>
      </c>
      <c r="E1158" s="209"/>
      <c r="F1158" s="215">
        <v>2815.2</v>
      </c>
      <c r="G1158" s="203">
        <v>0</v>
      </c>
      <c r="H1158" s="215">
        <f t="shared" si="313"/>
        <v>2665.2</v>
      </c>
      <c r="I1158" s="203">
        <f t="shared" si="313"/>
        <v>0</v>
      </c>
      <c r="J1158" s="216">
        <f t="shared" si="299"/>
        <v>-150</v>
      </c>
      <c r="K1158" s="204">
        <f t="shared" si="300"/>
        <v>0</v>
      </c>
    </row>
    <row r="1159" spans="1:11" x14ac:dyDescent="0.2">
      <c r="A1159" s="202" t="s">
        <v>1347</v>
      </c>
      <c r="B1159" s="209" t="s">
        <v>617</v>
      </c>
      <c r="C1159" s="209" t="s">
        <v>498</v>
      </c>
      <c r="D1159" s="209" t="s">
        <v>870</v>
      </c>
      <c r="E1159" s="209" t="s">
        <v>535</v>
      </c>
      <c r="F1159" s="215">
        <v>2815.2</v>
      </c>
      <c r="G1159" s="203">
        <v>0</v>
      </c>
      <c r="H1159" s="215">
        <f t="shared" si="313"/>
        <v>2665.2</v>
      </c>
      <c r="I1159" s="203">
        <f t="shared" si="313"/>
        <v>0</v>
      </c>
      <c r="J1159" s="216">
        <f t="shared" ref="J1159:J1222" si="314">H1159-F1159</f>
        <v>-150</v>
      </c>
      <c r="K1159" s="204">
        <f t="shared" ref="K1159:K1222" si="315">I1159-G1159</f>
        <v>0</v>
      </c>
    </row>
    <row r="1160" spans="1:11" ht="22.5" x14ac:dyDescent="0.2">
      <c r="A1160" s="202" t="s">
        <v>534</v>
      </c>
      <c r="B1160" s="209" t="s">
        <v>617</v>
      </c>
      <c r="C1160" s="209" t="s">
        <v>498</v>
      </c>
      <c r="D1160" s="209" t="s">
        <v>870</v>
      </c>
      <c r="E1160" s="209" t="s">
        <v>529</v>
      </c>
      <c r="F1160" s="215">
        <v>2815.2</v>
      </c>
      <c r="G1160" s="203">
        <v>0</v>
      </c>
      <c r="H1160" s="215">
        <f>'Ведомственная 2020'!H933</f>
        <v>2665.2</v>
      </c>
      <c r="I1160" s="203">
        <v>0</v>
      </c>
      <c r="J1160" s="216">
        <f t="shared" si="314"/>
        <v>-150</v>
      </c>
      <c r="K1160" s="204">
        <f t="shared" si="315"/>
        <v>0</v>
      </c>
    </row>
    <row r="1161" spans="1:11" s="97" customFormat="1" x14ac:dyDescent="0.2">
      <c r="A1161" s="199" t="s">
        <v>668</v>
      </c>
      <c r="B1161" s="212" t="s">
        <v>657</v>
      </c>
      <c r="C1161" s="212"/>
      <c r="D1161" s="212"/>
      <c r="E1161" s="212"/>
      <c r="F1161" s="213">
        <v>321216.09999999998</v>
      </c>
      <c r="G1161" s="200">
        <v>267683</v>
      </c>
      <c r="H1161" s="213">
        <f>H1162+H1169+H1197+H1217</f>
        <v>288816.5</v>
      </c>
      <c r="I1161" s="200">
        <f>I1162+I1169+I1197+I1217</f>
        <v>237992</v>
      </c>
      <c r="J1161" s="214">
        <f t="shared" si="314"/>
        <v>-32399.599999999977</v>
      </c>
      <c r="K1161" s="201">
        <f t="shared" si="315"/>
        <v>-29691</v>
      </c>
    </row>
    <row r="1162" spans="1:11" s="97" customFormat="1" x14ac:dyDescent="0.2">
      <c r="A1162" s="202" t="s">
        <v>869</v>
      </c>
      <c r="B1162" s="209" t="s">
        <v>657</v>
      </c>
      <c r="C1162" s="209" t="s">
        <v>498</v>
      </c>
      <c r="D1162" s="209"/>
      <c r="E1162" s="209"/>
      <c r="F1162" s="215">
        <v>27100</v>
      </c>
      <c r="G1162" s="203">
        <v>0</v>
      </c>
      <c r="H1162" s="215">
        <f t="shared" ref="H1162:I1167" si="316">H1163</f>
        <v>27100</v>
      </c>
      <c r="I1162" s="203">
        <f t="shared" si="316"/>
        <v>0</v>
      </c>
      <c r="J1162" s="216">
        <f t="shared" si="314"/>
        <v>0</v>
      </c>
      <c r="K1162" s="204">
        <f t="shared" si="315"/>
        <v>0</v>
      </c>
    </row>
    <row r="1163" spans="1:11" x14ac:dyDescent="0.2">
      <c r="A1163" s="202" t="s">
        <v>568</v>
      </c>
      <c r="B1163" s="209" t="s">
        <v>657</v>
      </c>
      <c r="C1163" s="209" t="s">
        <v>498</v>
      </c>
      <c r="D1163" s="209" t="s">
        <v>567</v>
      </c>
      <c r="E1163" s="209"/>
      <c r="F1163" s="215">
        <v>27100</v>
      </c>
      <c r="G1163" s="203">
        <v>0</v>
      </c>
      <c r="H1163" s="215">
        <f t="shared" si="316"/>
        <v>27100</v>
      </c>
      <c r="I1163" s="203">
        <f t="shared" si="316"/>
        <v>0</v>
      </c>
      <c r="J1163" s="216">
        <f t="shared" si="314"/>
        <v>0</v>
      </c>
      <c r="K1163" s="204">
        <f t="shared" si="315"/>
        <v>0</v>
      </c>
    </row>
    <row r="1164" spans="1:11" x14ac:dyDescent="0.2">
      <c r="A1164" s="202" t="s">
        <v>855</v>
      </c>
      <c r="B1164" s="209" t="s">
        <v>657</v>
      </c>
      <c r="C1164" s="209" t="s">
        <v>498</v>
      </c>
      <c r="D1164" s="209" t="s">
        <v>854</v>
      </c>
      <c r="E1164" s="209"/>
      <c r="F1164" s="215">
        <v>27100</v>
      </c>
      <c r="G1164" s="203">
        <v>0</v>
      </c>
      <c r="H1164" s="215">
        <f t="shared" si="316"/>
        <v>27100</v>
      </c>
      <c r="I1164" s="203">
        <f t="shared" si="316"/>
        <v>0</v>
      </c>
      <c r="J1164" s="216">
        <f t="shared" si="314"/>
        <v>0</v>
      </c>
      <c r="K1164" s="204">
        <f t="shared" si="315"/>
        <v>0</v>
      </c>
    </row>
    <row r="1165" spans="1:11" ht="22.5" x14ac:dyDescent="0.2">
      <c r="A1165" s="202" t="s">
        <v>868</v>
      </c>
      <c r="B1165" s="209" t="s">
        <v>657</v>
      </c>
      <c r="C1165" s="209" t="s">
        <v>498</v>
      </c>
      <c r="D1165" s="209" t="s">
        <v>867</v>
      </c>
      <c r="E1165" s="209"/>
      <c r="F1165" s="215">
        <v>27100</v>
      </c>
      <c r="G1165" s="203">
        <v>0</v>
      </c>
      <c r="H1165" s="215">
        <f t="shared" si="316"/>
        <v>27100</v>
      </c>
      <c r="I1165" s="203">
        <f t="shared" si="316"/>
        <v>0</v>
      </c>
      <c r="J1165" s="216">
        <f t="shared" si="314"/>
        <v>0</v>
      </c>
      <c r="K1165" s="204">
        <f t="shared" si="315"/>
        <v>0</v>
      </c>
    </row>
    <row r="1166" spans="1:11" ht="22.5" x14ac:dyDescent="0.2">
      <c r="A1166" s="202" t="s">
        <v>866</v>
      </c>
      <c r="B1166" s="209" t="s">
        <v>657</v>
      </c>
      <c r="C1166" s="209" t="s">
        <v>498</v>
      </c>
      <c r="D1166" s="209" t="s">
        <v>865</v>
      </c>
      <c r="E1166" s="209"/>
      <c r="F1166" s="215">
        <v>27100</v>
      </c>
      <c r="G1166" s="203">
        <v>0</v>
      </c>
      <c r="H1166" s="215">
        <f t="shared" si="316"/>
        <v>27100</v>
      </c>
      <c r="I1166" s="203">
        <f t="shared" si="316"/>
        <v>0</v>
      </c>
      <c r="J1166" s="216">
        <f t="shared" si="314"/>
        <v>0</v>
      </c>
      <c r="K1166" s="204">
        <f t="shared" si="315"/>
        <v>0</v>
      </c>
    </row>
    <row r="1167" spans="1:11" x14ac:dyDescent="0.2">
      <c r="A1167" s="202" t="s">
        <v>553</v>
      </c>
      <c r="B1167" s="209" t="s">
        <v>657</v>
      </c>
      <c r="C1167" s="209" t="s">
        <v>498</v>
      </c>
      <c r="D1167" s="209" t="s">
        <v>865</v>
      </c>
      <c r="E1167" s="209" t="s">
        <v>552</v>
      </c>
      <c r="F1167" s="215">
        <v>27100</v>
      </c>
      <c r="G1167" s="203">
        <v>0</v>
      </c>
      <c r="H1167" s="215">
        <f t="shared" si="316"/>
        <v>27100</v>
      </c>
      <c r="I1167" s="203">
        <f t="shared" si="316"/>
        <v>0</v>
      </c>
      <c r="J1167" s="216">
        <f t="shared" si="314"/>
        <v>0</v>
      </c>
      <c r="K1167" s="204">
        <f t="shared" si="315"/>
        <v>0</v>
      </c>
    </row>
    <row r="1168" spans="1:11" x14ac:dyDescent="0.2">
      <c r="A1168" s="202" t="s">
        <v>832</v>
      </c>
      <c r="B1168" s="209" t="s">
        <v>657</v>
      </c>
      <c r="C1168" s="209" t="s">
        <v>498</v>
      </c>
      <c r="D1168" s="209" t="s">
        <v>865</v>
      </c>
      <c r="E1168" s="209" t="s">
        <v>830</v>
      </c>
      <c r="F1168" s="215">
        <v>27100</v>
      </c>
      <c r="G1168" s="203">
        <v>0</v>
      </c>
      <c r="H1168" s="215">
        <f>'Ведомственная 2020'!H941</f>
        <v>27100</v>
      </c>
      <c r="I1168" s="203">
        <v>0</v>
      </c>
      <c r="J1168" s="216">
        <f t="shared" si="314"/>
        <v>0</v>
      </c>
      <c r="K1168" s="204">
        <f t="shared" si="315"/>
        <v>0</v>
      </c>
    </row>
    <row r="1169" spans="1:11" x14ac:dyDescent="0.2">
      <c r="A1169" s="202" t="s">
        <v>864</v>
      </c>
      <c r="B1169" s="209" t="s">
        <v>657</v>
      </c>
      <c r="C1169" s="209" t="s">
        <v>531</v>
      </c>
      <c r="D1169" s="209"/>
      <c r="E1169" s="209"/>
      <c r="F1169" s="215">
        <v>137894</v>
      </c>
      <c r="G1169" s="203">
        <v>121331</v>
      </c>
      <c r="H1169" s="215">
        <f>H1170+H1176+H1184+H1190</f>
        <v>136394</v>
      </c>
      <c r="I1169" s="203">
        <f>I1170+I1176+I1184+I1190</f>
        <v>121331</v>
      </c>
      <c r="J1169" s="216">
        <f t="shared" si="314"/>
        <v>-1500</v>
      </c>
      <c r="K1169" s="204">
        <f t="shared" si="315"/>
        <v>0</v>
      </c>
    </row>
    <row r="1170" spans="1:11" x14ac:dyDescent="0.2">
      <c r="A1170" s="202" t="s">
        <v>863</v>
      </c>
      <c r="B1170" s="209" t="s">
        <v>657</v>
      </c>
      <c r="C1170" s="209" t="s">
        <v>531</v>
      </c>
      <c r="D1170" s="209" t="s">
        <v>862</v>
      </c>
      <c r="E1170" s="209"/>
      <c r="F1170" s="215">
        <v>4860</v>
      </c>
      <c r="G1170" s="203">
        <v>0</v>
      </c>
      <c r="H1170" s="215">
        <f t="shared" ref="H1170:I1174" si="317">H1171</f>
        <v>4860</v>
      </c>
      <c r="I1170" s="203">
        <f t="shared" si="317"/>
        <v>0</v>
      </c>
      <c r="J1170" s="216">
        <f t="shared" si="314"/>
        <v>0</v>
      </c>
      <c r="K1170" s="204">
        <f t="shared" si="315"/>
        <v>0</v>
      </c>
    </row>
    <row r="1171" spans="1:11" x14ac:dyDescent="0.2">
      <c r="A1171" s="202" t="s">
        <v>861</v>
      </c>
      <c r="B1171" s="209" t="s">
        <v>657</v>
      </c>
      <c r="C1171" s="209" t="s">
        <v>531</v>
      </c>
      <c r="D1171" s="209" t="s">
        <v>860</v>
      </c>
      <c r="E1171" s="209"/>
      <c r="F1171" s="215">
        <v>4860</v>
      </c>
      <c r="G1171" s="203">
        <v>0</v>
      </c>
      <c r="H1171" s="215">
        <f t="shared" si="317"/>
        <v>4860</v>
      </c>
      <c r="I1171" s="203">
        <f t="shared" si="317"/>
        <v>0</v>
      </c>
      <c r="J1171" s="216">
        <f t="shared" si="314"/>
        <v>0</v>
      </c>
      <c r="K1171" s="204">
        <f t="shared" si="315"/>
        <v>0</v>
      </c>
    </row>
    <row r="1172" spans="1:11" x14ac:dyDescent="0.2">
      <c r="A1172" s="202" t="s">
        <v>859</v>
      </c>
      <c r="B1172" s="209" t="s">
        <v>657</v>
      </c>
      <c r="C1172" s="209" t="s">
        <v>531</v>
      </c>
      <c r="D1172" s="209" t="s">
        <v>858</v>
      </c>
      <c r="E1172" s="209"/>
      <c r="F1172" s="215">
        <v>4860</v>
      </c>
      <c r="G1172" s="203">
        <v>0</v>
      </c>
      <c r="H1172" s="215">
        <f t="shared" si="317"/>
        <v>4860</v>
      </c>
      <c r="I1172" s="203">
        <f t="shared" si="317"/>
        <v>0</v>
      </c>
      <c r="J1172" s="216">
        <f t="shared" si="314"/>
        <v>0</v>
      </c>
      <c r="K1172" s="204">
        <f t="shared" si="315"/>
        <v>0</v>
      </c>
    </row>
    <row r="1173" spans="1:11" ht="33.75" x14ac:dyDescent="0.2">
      <c r="A1173" s="202" t="s">
        <v>857</v>
      </c>
      <c r="B1173" s="209" t="s">
        <v>657</v>
      </c>
      <c r="C1173" s="209" t="s">
        <v>531</v>
      </c>
      <c r="D1173" s="209" t="s">
        <v>856</v>
      </c>
      <c r="E1173" s="209"/>
      <c r="F1173" s="215">
        <v>4860</v>
      </c>
      <c r="G1173" s="203">
        <v>0</v>
      </c>
      <c r="H1173" s="215">
        <f t="shared" si="317"/>
        <v>4860</v>
      </c>
      <c r="I1173" s="203">
        <f t="shared" si="317"/>
        <v>0</v>
      </c>
      <c r="J1173" s="216">
        <f t="shared" si="314"/>
        <v>0</v>
      </c>
      <c r="K1173" s="204">
        <f t="shared" si="315"/>
        <v>0</v>
      </c>
    </row>
    <row r="1174" spans="1:11" x14ac:dyDescent="0.2">
      <c r="A1174" s="202" t="s">
        <v>553</v>
      </c>
      <c r="B1174" s="209" t="s">
        <v>657</v>
      </c>
      <c r="C1174" s="209" t="s">
        <v>531</v>
      </c>
      <c r="D1174" s="209" t="s">
        <v>856</v>
      </c>
      <c r="E1174" s="209" t="s">
        <v>552</v>
      </c>
      <c r="F1174" s="215">
        <v>4860</v>
      </c>
      <c r="G1174" s="203">
        <v>0</v>
      </c>
      <c r="H1174" s="215">
        <f t="shared" si="317"/>
        <v>4860</v>
      </c>
      <c r="I1174" s="203">
        <f t="shared" si="317"/>
        <v>0</v>
      </c>
      <c r="J1174" s="216">
        <f t="shared" si="314"/>
        <v>0</v>
      </c>
      <c r="K1174" s="204">
        <f t="shared" si="315"/>
        <v>0</v>
      </c>
    </row>
    <row r="1175" spans="1:11" x14ac:dyDescent="0.2">
      <c r="A1175" s="202" t="s">
        <v>659</v>
      </c>
      <c r="B1175" s="209" t="s">
        <v>657</v>
      </c>
      <c r="C1175" s="209" t="s">
        <v>531</v>
      </c>
      <c r="D1175" s="209" t="s">
        <v>856</v>
      </c>
      <c r="E1175" s="209" t="s">
        <v>655</v>
      </c>
      <c r="F1175" s="215">
        <v>4860</v>
      </c>
      <c r="G1175" s="203">
        <v>0</v>
      </c>
      <c r="H1175" s="215">
        <f>'Ведомственная 2020'!H948</f>
        <v>4860</v>
      </c>
      <c r="I1175" s="203">
        <v>0</v>
      </c>
      <c r="J1175" s="216">
        <f t="shared" si="314"/>
        <v>0</v>
      </c>
      <c r="K1175" s="204">
        <f t="shared" si="315"/>
        <v>0</v>
      </c>
    </row>
    <row r="1176" spans="1:11" x14ac:dyDescent="0.2">
      <c r="A1176" s="202" t="s">
        <v>568</v>
      </c>
      <c r="B1176" s="209" t="s">
        <v>657</v>
      </c>
      <c r="C1176" s="209" t="s">
        <v>531</v>
      </c>
      <c r="D1176" s="209" t="s">
        <v>567</v>
      </c>
      <c r="E1176" s="209"/>
      <c r="F1176" s="215">
        <v>121331</v>
      </c>
      <c r="G1176" s="203">
        <v>121331</v>
      </c>
      <c r="H1176" s="215">
        <f t="shared" ref="H1176:I1178" si="318">H1177</f>
        <v>121331</v>
      </c>
      <c r="I1176" s="203">
        <f t="shared" si="318"/>
        <v>121331</v>
      </c>
      <c r="J1176" s="216">
        <f t="shared" si="314"/>
        <v>0</v>
      </c>
      <c r="K1176" s="204">
        <f t="shared" si="315"/>
        <v>0</v>
      </c>
    </row>
    <row r="1177" spans="1:11" x14ac:dyDescent="0.2">
      <c r="A1177" s="202" t="s">
        <v>855</v>
      </c>
      <c r="B1177" s="209" t="s">
        <v>657</v>
      </c>
      <c r="C1177" s="209" t="s">
        <v>531</v>
      </c>
      <c r="D1177" s="209" t="s">
        <v>854</v>
      </c>
      <c r="E1177" s="209"/>
      <c r="F1177" s="215">
        <v>121331</v>
      </c>
      <c r="G1177" s="203">
        <v>121331</v>
      </c>
      <c r="H1177" s="215">
        <f t="shared" si="318"/>
        <v>121331</v>
      </c>
      <c r="I1177" s="203">
        <f t="shared" si="318"/>
        <v>121331</v>
      </c>
      <c r="J1177" s="216">
        <f t="shared" si="314"/>
        <v>0</v>
      </c>
      <c r="K1177" s="204">
        <f t="shared" si="315"/>
        <v>0</v>
      </c>
    </row>
    <row r="1178" spans="1:11" ht="33.75" x14ac:dyDescent="0.2">
      <c r="A1178" s="202" t="s">
        <v>853</v>
      </c>
      <c r="B1178" s="209" t="s">
        <v>657</v>
      </c>
      <c r="C1178" s="209" t="s">
        <v>531</v>
      </c>
      <c r="D1178" s="209" t="s">
        <v>852</v>
      </c>
      <c r="E1178" s="209"/>
      <c r="F1178" s="215">
        <v>121331</v>
      </c>
      <c r="G1178" s="203">
        <v>121331</v>
      </c>
      <c r="H1178" s="215">
        <f t="shared" si="318"/>
        <v>121331</v>
      </c>
      <c r="I1178" s="203">
        <f t="shared" si="318"/>
        <v>121331</v>
      </c>
      <c r="J1178" s="216">
        <f t="shared" si="314"/>
        <v>0</v>
      </c>
      <c r="K1178" s="204">
        <f t="shared" si="315"/>
        <v>0</v>
      </c>
    </row>
    <row r="1179" spans="1:11" x14ac:dyDescent="0.2">
      <c r="A1179" s="202" t="s">
        <v>851</v>
      </c>
      <c r="B1179" s="209" t="s">
        <v>657</v>
      </c>
      <c r="C1179" s="209" t="s">
        <v>531</v>
      </c>
      <c r="D1179" s="209" t="s">
        <v>850</v>
      </c>
      <c r="E1179" s="209"/>
      <c r="F1179" s="215">
        <v>121331</v>
      </c>
      <c r="G1179" s="203">
        <v>121331</v>
      </c>
      <c r="H1179" s="215">
        <f>H1180+H1182</f>
        <v>121331</v>
      </c>
      <c r="I1179" s="203">
        <f>I1180+I1182</f>
        <v>121331</v>
      </c>
      <c r="J1179" s="216">
        <f t="shared" si="314"/>
        <v>0</v>
      </c>
      <c r="K1179" s="204">
        <f t="shared" si="315"/>
        <v>0</v>
      </c>
    </row>
    <row r="1180" spans="1:11" x14ac:dyDescent="0.2">
      <c r="A1180" s="202" t="s">
        <v>1347</v>
      </c>
      <c r="B1180" s="209" t="s">
        <v>657</v>
      </c>
      <c r="C1180" s="209" t="s">
        <v>531</v>
      </c>
      <c r="D1180" s="209" t="s">
        <v>850</v>
      </c>
      <c r="E1180" s="209" t="s">
        <v>535</v>
      </c>
      <c r="F1180" s="215">
        <v>906.9</v>
      </c>
      <c r="G1180" s="203">
        <v>906.9</v>
      </c>
      <c r="H1180" s="215">
        <f>H1181</f>
        <v>906.9</v>
      </c>
      <c r="I1180" s="203">
        <f>I1181</f>
        <v>906.9</v>
      </c>
      <c r="J1180" s="216">
        <f t="shared" si="314"/>
        <v>0</v>
      </c>
      <c r="K1180" s="204">
        <f t="shared" si="315"/>
        <v>0</v>
      </c>
    </row>
    <row r="1181" spans="1:11" ht="22.5" x14ac:dyDescent="0.2">
      <c r="A1181" s="202" t="s">
        <v>534</v>
      </c>
      <c r="B1181" s="209" t="s">
        <v>657</v>
      </c>
      <c r="C1181" s="209" t="s">
        <v>531</v>
      </c>
      <c r="D1181" s="209" t="s">
        <v>850</v>
      </c>
      <c r="E1181" s="209" t="s">
        <v>529</v>
      </c>
      <c r="F1181" s="215">
        <v>906.9</v>
      </c>
      <c r="G1181" s="203">
        <v>906.9</v>
      </c>
      <c r="H1181" s="215">
        <f>'Ведомственная 2020'!H954</f>
        <v>906.9</v>
      </c>
      <c r="I1181" s="203">
        <f>H1181</f>
        <v>906.9</v>
      </c>
      <c r="J1181" s="216">
        <f t="shared" si="314"/>
        <v>0</v>
      </c>
      <c r="K1181" s="204">
        <f t="shared" si="315"/>
        <v>0</v>
      </c>
    </row>
    <row r="1182" spans="1:11" x14ac:dyDescent="0.2">
      <c r="A1182" s="202" t="s">
        <v>553</v>
      </c>
      <c r="B1182" s="209" t="s">
        <v>657</v>
      </c>
      <c r="C1182" s="209" t="s">
        <v>531</v>
      </c>
      <c r="D1182" s="209" t="s">
        <v>850</v>
      </c>
      <c r="E1182" s="209" t="s">
        <v>552</v>
      </c>
      <c r="F1182" s="215">
        <v>120424.1</v>
      </c>
      <c r="G1182" s="203">
        <v>120424.1</v>
      </c>
      <c r="H1182" s="215">
        <f>H1183</f>
        <v>120424.1</v>
      </c>
      <c r="I1182" s="203">
        <f>I1183</f>
        <v>120424.1</v>
      </c>
      <c r="J1182" s="216">
        <f t="shared" si="314"/>
        <v>0</v>
      </c>
      <c r="K1182" s="204">
        <f t="shared" si="315"/>
        <v>0</v>
      </c>
    </row>
    <row r="1183" spans="1:11" x14ac:dyDescent="0.2">
      <c r="A1183" s="202" t="s">
        <v>832</v>
      </c>
      <c r="B1183" s="209" t="s">
        <v>657</v>
      </c>
      <c r="C1183" s="209" t="s">
        <v>531</v>
      </c>
      <c r="D1183" s="209" t="s">
        <v>850</v>
      </c>
      <c r="E1183" s="209" t="s">
        <v>830</v>
      </c>
      <c r="F1183" s="215">
        <v>120424.1</v>
      </c>
      <c r="G1183" s="203">
        <v>120424.1</v>
      </c>
      <c r="H1183" s="215">
        <f>'Ведомственная 2020'!H956</f>
        <v>120424.1</v>
      </c>
      <c r="I1183" s="203">
        <f>H1183</f>
        <v>120424.1</v>
      </c>
      <c r="J1183" s="216">
        <f t="shared" si="314"/>
        <v>0</v>
      </c>
      <c r="K1183" s="204">
        <f t="shared" si="315"/>
        <v>0</v>
      </c>
    </row>
    <row r="1184" spans="1:11" x14ac:dyDescent="0.2">
      <c r="A1184" s="202" t="s">
        <v>839</v>
      </c>
      <c r="B1184" s="209" t="s">
        <v>657</v>
      </c>
      <c r="C1184" s="209" t="s">
        <v>531</v>
      </c>
      <c r="D1184" s="209" t="s">
        <v>838</v>
      </c>
      <c r="E1184" s="209"/>
      <c r="F1184" s="215">
        <v>294</v>
      </c>
      <c r="G1184" s="203">
        <v>0</v>
      </c>
      <c r="H1184" s="215">
        <f t="shared" ref="H1184:I1188" si="319">H1185</f>
        <v>294</v>
      </c>
      <c r="I1184" s="203">
        <f t="shared" si="319"/>
        <v>0</v>
      </c>
      <c r="J1184" s="216">
        <f t="shared" si="314"/>
        <v>0</v>
      </c>
      <c r="K1184" s="204">
        <f t="shared" si="315"/>
        <v>0</v>
      </c>
    </row>
    <row r="1185" spans="1:11" x14ac:dyDescent="0.2">
      <c r="A1185" s="202" t="s">
        <v>849</v>
      </c>
      <c r="B1185" s="209" t="s">
        <v>657</v>
      </c>
      <c r="C1185" s="209" t="s">
        <v>531</v>
      </c>
      <c r="D1185" s="209" t="s">
        <v>848</v>
      </c>
      <c r="E1185" s="209"/>
      <c r="F1185" s="215">
        <v>294</v>
      </c>
      <c r="G1185" s="203">
        <v>0</v>
      </c>
      <c r="H1185" s="215">
        <f t="shared" si="319"/>
        <v>294</v>
      </c>
      <c r="I1185" s="203">
        <f t="shared" si="319"/>
        <v>0</v>
      </c>
      <c r="J1185" s="216">
        <f t="shared" si="314"/>
        <v>0</v>
      </c>
      <c r="K1185" s="204">
        <f t="shared" si="315"/>
        <v>0</v>
      </c>
    </row>
    <row r="1186" spans="1:11" ht="22.5" x14ac:dyDescent="0.2">
      <c r="A1186" s="202" t="s">
        <v>847</v>
      </c>
      <c r="B1186" s="209" t="s">
        <v>657</v>
      </c>
      <c r="C1186" s="209" t="s">
        <v>531</v>
      </c>
      <c r="D1186" s="209" t="s">
        <v>846</v>
      </c>
      <c r="E1186" s="209"/>
      <c r="F1186" s="215">
        <v>294</v>
      </c>
      <c r="G1186" s="203">
        <v>0</v>
      </c>
      <c r="H1186" s="215">
        <f t="shared" si="319"/>
        <v>294</v>
      </c>
      <c r="I1186" s="203">
        <f t="shared" si="319"/>
        <v>0</v>
      </c>
      <c r="J1186" s="216">
        <f t="shared" si="314"/>
        <v>0</v>
      </c>
      <c r="K1186" s="204">
        <f t="shared" si="315"/>
        <v>0</v>
      </c>
    </row>
    <row r="1187" spans="1:11" x14ac:dyDescent="0.2">
      <c r="A1187" s="202" t="s">
        <v>845</v>
      </c>
      <c r="B1187" s="209" t="s">
        <v>657</v>
      </c>
      <c r="C1187" s="209" t="s">
        <v>531</v>
      </c>
      <c r="D1187" s="209" t="s">
        <v>844</v>
      </c>
      <c r="E1187" s="209"/>
      <c r="F1187" s="215">
        <v>294</v>
      </c>
      <c r="G1187" s="203">
        <v>0</v>
      </c>
      <c r="H1187" s="215">
        <f t="shared" si="319"/>
        <v>294</v>
      </c>
      <c r="I1187" s="203">
        <f t="shared" si="319"/>
        <v>0</v>
      </c>
      <c r="J1187" s="216">
        <f t="shared" si="314"/>
        <v>0</v>
      </c>
      <c r="K1187" s="204">
        <f t="shared" si="315"/>
        <v>0</v>
      </c>
    </row>
    <row r="1188" spans="1:11" x14ac:dyDescent="0.2">
      <c r="A1188" s="202" t="s">
        <v>553</v>
      </c>
      <c r="B1188" s="209" t="s">
        <v>657</v>
      </c>
      <c r="C1188" s="209" t="s">
        <v>531</v>
      </c>
      <c r="D1188" s="209" t="s">
        <v>844</v>
      </c>
      <c r="E1188" s="209" t="s">
        <v>552</v>
      </c>
      <c r="F1188" s="215">
        <v>294</v>
      </c>
      <c r="G1188" s="203">
        <v>0</v>
      </c>
      <c r="H1188" s="215">
        <f t="shared" si="319"/>
        <v>294</v>
      </c>
      <c r="I1188" s="203">
        <f t="shared" si="319"/>
        <v>0</v>
      </c>
      <c r="J1188" s="216">
        <f t="shared" si="314"/>
        <v>0</v>
      </c>
      <c r="K1188" s="204">
        <f t="shared" si="315"/>
        <v>0</v>
      </c>
    </row>
    <row r="1189" spans="1:11" x14ac:dyDescent="0.2">
      <c r="A1189" s="202" t="s">
        <v>832</v>
      </c>
      <c r="B1189" s="209" t="s">
        <v>657</v>
      </c>
      <c r="C1189" s="209" t="s">
        <v>531</v>
      </c>
      <c r="D1189" s="209" t="s">
        <v>844</v>
      </c>
      <c r="E1189" s="209" t="s">
        <v>830</v>
      </c>
      <c r="F1189" s="215">
        <v>294</v>
      </c>
      <c r="G1189" s="203">
        <v>0</v>
      </c>
      <c r="H1189" s="215">
        <f>'Ведомственная 2020'!H962</f>
        <v>294</v>
      </c>
      <c r="I1189" s="203">
        <v>0</v>
      </c>
      <c r="J1189" s="216">
        <f t="shared" si="314"/>
        <v>0</v>
      </c>
      <c r="K1189" s="204">
        <f t="shared" si="315"/>
        <v>0</v>
      </c>
    </row>
    <row r="1190" spans="1:11" x14ac:dyDescent="0.2">
      <c r="A1190" s="202" t="s">
        <v>595</v>
      </c>
      <c r="B1190" s="209" t="s">
        <v>657</v>
      </c>
      <c r="C1190" s="209" t="s">
        <v>531</v>
      </c>
      <c r="D1190" s="209" t="s">
        <v>594</v>
      </c>
      <c r="E1190" s="209"/>
      <c r="F1190" s="215">
        <v>11409</v>
      </c>
      <c r="G1190" s="203">
        <v>0</v>
      </c>
      <c r="H1190" s="215">
        <f>H1191+H1194</f>
        <v>9909</v>
      </c>
      <c r="I1190" s="203">
        <f>I1191</f>
        <v>0</v>
      </c>
      <c r="J1190" s="216">
        <f t="shared" si="314"/>
        <v>-1500</v>
      </c>
      <c r="K1190" s="204">
        <f t="shared" si="315"/>
        <v>0</v>
      </c>
    </row>
    <row r="1191" spans="1:11" x14ac:dyDescent="0.2">
      <c r="A1191" s="202" t="s">
        <v>843</v>
      </c>
      <c r="B1191" s="209" t="s">
        <v>657</v>
      </c>
      <c r="C1191" s="209" t="s">
        <v>531</v>
      </c>
      <c r="D1191" s="209" t="s">
        <v>842</v>
      </c>
      <c r="E1191" s="209"/>
      <c r="F1191" s="215">
        <v>9909</v>
      </c>
      <c r="G1191" s="203">
        <v>0</v>
      </c>
      <c r="H1191" s="215">
        <f>H1192</f>
        <v>9909</v>
      </c>
      <c r="I1191" s="203">
        <f>I1192</f>
        <v>0</v>
      </c>
      <c r="J1191" s="216">
        <f t="shared" si="314"/>
        <v>0</v>
      </c>
      <c r="K1191" s="204">
        <f t="shared" si="315"/>
        <v>0</v>
      </c>
    </row>
    <row r="1192" spans="1:11" x14ac:dyDescent="0.2">
      <c r="A1192" s="202" t="s">
        <v>553</v>
      </c>
      <c r="B1192" s="209" t="s">
        <v>657</v>
      </c>
      <c r="C1192" s="209" t="s">
        <v>531</v>
      </c>
      <c r="D1192" s="209" t="s">
        <v>842</v>
      </c>
      <c r="E1192" s="209" t="s">
        <v>552</v>
      </c>
      <c r="F1192" s="215">
        <v>9909</v>
      </c>
      <c r="G1192" s="203">
        <v>0</v>
      </c>
      <c r="H1192" s="215">
        <f>H1193</f>
        <v>9909</v>
      </c>
      <c r="I1192" s="203">
        <f>I1193</f>
        <v>0</v>
      </c>
      <c r="J1192" s="216">
        <f t="shared" si="314"/>
        <v>0</v>
      </c>
      <c r="K1192" s="204">
        <f t="shared" si="315"/>
        <v>0</v>
      </c>
    </row>
    <row r="1193" spans="1:11" x14ac:dyDescent="0.2">
      <c r="A1193" s="202" t="s">
        <v>659</v>
      </c>
      <c r="B1193" s="209" t="s">
        <v>657</v>
      </c>
      <c r="C1193" s="209" t="s">
        <v>531</v>
      </c>
      <c r="D1193" s="209" t="s">
        <v>842</v>
      </c>
      <c r="E1193" s="209" t="s">
        <v>655</v>
      </c>
      <c r="F1193" s="215">
        <v>9909</v>
      </c>
      <c r="G1193" s="203">
        <v>0</v>
      </c>
      <c r="H1193" s="215">
        <f>'Ведомственная 2020'!H966</f>
        <v>9909</v>
      </c>
      <c r="I1193" s="203">
        <v>0</v>
      </c>
      <c r="J1193" s="216">
        <f t="shared" si="314"/>
        <v>0</v>
      </c>
      <c r="K1193" s="204">
        <f t="shared" si="315"/>
        <v>0</v>
      </c>
    </row>
    <row r="1194" spans="1:11" ht="22.5" x14ac:dyDescent="0.2">
      <c r="A1194" s="202" t="s">
        <v>593</v>
      </c>
      <c r="B1194" s="209" t="s">
        <v>657</v>
      </c>
      <c r="C1194" s="209" t="s">
        <v>531</v>
      </c>
      <c r="D1194" s="209" t="s">
        <v>591</v>
      </c>
      <c r="E1194" s="209"/>
      <c r="F1194" s="215">
        <v>1500</v>
      </c>
      <c r="G1194" s="203">
        <v>0</v>
      </c>
      <c r="H1194" s="215">
        <f>H1195</f>
        <v>0</v>
      </c>
      <c r="I1194" s="203">
        <f>I1195</f>
        <v>0</v>
      </c>
      <c r="J1194" s="216">
        <f t="shared" si="314"/>
        <v>-1500</v>
      </c>
      <c r="K1194" s="204">
        <f t="shared" si="315"/>
        <v>0</v>
      </c>
    </row>
    <row r="1195" spans="1:11" x14ac:dyDescent="0.2">
      <c r="A1195" s="202" t="s">
        <v>553</v>
      </c>
      <c r="B1195" s="209" t="s">
        <v>657</v>
      </c>
      <c r="C1195" s="209" t="s">
        <v>531</v>
      </c>
      <c r="D1195" s="209" t="s">
        <v>591</v>
      </c>
      <c r="E1195" s="209" t="s">
        <v>552</v>
      </c>
      <c r="F1195" s="215">
        <v>1500</v>
      </c>
      <c r="G1195" s="203">
        <v>0</v>
      </c>
      <c r="H1195" s="215">
        <f>H1196</f>
        <v>0</v>
      </c>
      <c r="I1195" s="203">
        <f>I1196</f>
        <v>0</v>
      </c>
      <c r="J1195" s="216">
        <f t="shared" si="314"/>
        <v>-1500</v>
      </c>
      <c r="K1195" s="204">
        <f t="shared" si="315"/>
        <v>0</v>
      </c>
    </row>
    <row r="1196" spans="1:11" x14ac:dyDescent="0.2">
      <c r="A1196" s="202" t="s">
        <v>841</v>
      </c>
      <c r="B1196" s="209" t="s">
        <v>657</v>
      </c>
      <c r="C1196" s="209" t="s">
        <v>531</v>
      </c>
      <c r="D1196" s="209" t="s">
        <v>591</v>
      </c>
      <c r="E1196" s="209" t="s">
        <v>840</v>
      </c>
      <c r="F1196" s="215">
        <v>1500</v>
      </c>
      <c r="G1196" s="203">
        <v>0</v>
      </c>
      <c r="H1196" s="215">
        <f>'Ведомственная 2020'!H969</f>
        <v>0</v>
      </c>
      <c r="I1196" s="203">
        <v>0</v>
      </c>
      <c r="J1196" s="216">
        <f t="shared" si="314"/>
        <v>-1500</v>
      </c>
      <c r="K1196" s="204">
        <f t="shared" si="315"/>
        <v>0</v>
      </c>
    </row>
    <row r="1197" spans="1:11" x14ac:dyDescent="0.2">
      <c r="A1197" s="202" t="s">
        <v>667</v>
      </c>
      <c r="B1197" s="209" t="s">
        <v>657</v>
      </c>
      <c r="C1197" s="209" t="s">
        <v>507</v>
      </c>
      <c r="D1197" s="209"/>
      <c r="E1197" s="209"/>
      <c r="F1197" s="215">
        <v>156022.1</v>
      </c>
      <c r="G1197" s="203">
        <v>146352</v>
      </c>
      <c r="H1197" s="215">
        <f>H1198+H1206</f>
        <v>125122.5</v>
      </c>
      <c r="I1197" s="203">
        <f>I1198+I1206</f>
        <v>116661</v>
      </c>
      <c r="J1197" s="216">
        <f t="shared" si="314"/>
        <v>-30899.600000000006</v>
      </c>
      <c r="K1197" s="204">
        <f t="shared" si="315"/>
        <v>-29691</v>
      </c>
    </row>
    <row r="1198" spans="1:11" x14ac:dyDescent="0.2">
      <c r="A1198" s="202" t="s">
        <v>666</v>
      </c>
      <c r="B1198" s="209" t="s">
        <v>657</v>
      </c>
      <c r="C1198" s="209" t="s">
        <v>507</v>
      </c>
      <c r="D1198" s="209" t="s">
        <v>665</v>
      </c>
      <c r="E1198" s="209"/>
      <c r="F1198" s="215">
        <v>106623</v>
      </c>
      <c r="G1198" s="203">
        <v>106623</v>
      </c>
      <c r="H1198" s="215">
        <f t="shared" ref="H1198:I1200" si="320">H1199</f>
        <v>88851</v>
      </c>
      <c r="I1198" s="203">
        <f t="shared" si="320"/>
        <v>88851</v>
      </c>
      <c r="J1198" s="216">
        <f t="shared" si="314"/>
        <v>-17772</v>
      </c>
      <c r="K1198" s="204">
        <f t="shared" si="315"/>
        <v>-17772</v>
      </c>
    </row>
    <row r="1199" spans="1:11" x14ac:dyDescent="0.2">
      <c r="A1199" s="202" t="s">
        <v>664</v>
      </c>
      <c r="B1199" s="209" t="s">
        <v>657</v>
      </c>
      <c r="C1199" s="209" t="s">
        <v>507</v>
      </c>
      <c r="D1199" s="209" t="s">
        <v>663</v>
      </c>
      <c r="E1199" s="209"/>
      <c r="F1199" s="215">
        <v>106623</v>
      </c>
      <c r="G1199" s="203">
        <v>106623</v>
      </c>
      <c r="H1199" s="215">
        <f t="shared" si="320"/>
        <v>88851</v>
      </c>
      <c r="I1199" s="203">
        <f t="shared" si="320"/>
        <v>88851</v>
      </c>
      <c r="J1199" s="216">
        <f t="shared" si="314"/>
        <v>-17772</v>
      </c>
      <c r="K1199" s="204">
        <f t="shared" si="315"/>
        <v>-17772</v>
      </c>
    </row>
    <row r="1200" spans="1:11" ht="22.5" x14ac:dyDescent="0.2">
      <c r="A1200" s="202" t="s">
        <v>662</v>
      </c>
      <c r="B1200" s="209" t="s">
        <v>657</v>
      </c>
      <c r="C1200" s="209" t="s">
        <v>507</v>
      </c>
      <c r="D1200" s="209" t="s">
        <v>661</v>
      </c>
      <c r="E1200" s="209"/>
      <c r="F1200" s="215">
        <v>106623</v>
      </c>
      <c r="G1200" s="203">
        <v>106623</v>
      </c>
      <c r="H1200" s="215">
        <f t="shared" si="320"/>
        <v>88851</v>
      </c>
      <c r="I1200" s="203">
        <f t="shared" si="320"/>
        <v>88851</v>
      </c>
      <c r="J1200" s="216">
        <f t="shared" si="314"/>
        <v>-17772</v>
      </c>
      <c r="K1200" s="204">
        <f t="shared" si="315"/>
        <v>-17772</v>
      </c>
    </row>
    <row r="1201" spans="1:11" ht="33.75" x14ac:dyDescent="0.2">
      <c r="A1201" s="202" t="s">
        <v>660</v>
      </c>
      <c r="B1201" s="209" t="s">
        <v>657</v>
      </c>
      <c r="C1201" s="209" t="s">
        <v>507</v>
      </c>
      <c r="D1201" s="209" t="s">
        <v>656</v>
      </c>
      <c r="E1201" s="209"/>
      <c r="F1201" s="215">
        <v>106623</v>
      </c>
      <c r="G1201" s="203">
        <v>106623</v>
      </c>
      <c r="H1201" s="215">
        <f>H1202+H1204</f>
        <v>88851</v>
      </c>
      <c r="I1201" s="203">
        <f>I1202+I1204</f>
        <v>88851</v>
      </c>
      <c r="J1201" s="216">
        <f t="shared" si="314"/>
        <v>-17772</v>
      </c>
      <c r="K1201" s="204">
        <f t="shared" si="315"/>
        <v>-17772</v>
      </c>
    </row>
    <row r="1202" spans="1:11" x14ac:dyDescent="0.2">
      <c r="A1202" s="202" t="s">
        <v>1347</v>
      </c>
      <c r="B1202" s="209" t="s">
        <v>657</v>
      </c>
      <c r="C1202" s="209" t="s">
        <v>507</v>
      </c>
      <c r="D1202" s="209" t="s">
        <v>656</v>
      </c>
      <c r="E1202" s="209" t="s">
        <v>535</v>
      </c>
      <c r="F1202" s="215">
        <v>1056</v>
      </c>
      <c r="G1202" s="203">
        <v>1056</v>
      </c>
      <c r="H1202" s="215">
        <f>H1203</f>
        <v>880</v>
      </c>
      <c r="I1202" s="203">
        <f>I1203</f>
        <v>880</v>
      </c>
      <c r="J1202" s="216">
        <f t="shared" si="314"/>
        <v>-176</v>
      </c>
      <c r="K1202" s="204">
        <f t="shared" si="315"/>
        <v>-176</v>
      </c>
    </row>
    <row r="1203" spans="1:11" ht="22.5" x14ac:dyDescent="0.2">
      <c r="A1203" s="202" t="s">
        <v>534</v>
      </c>
      <c r="B1203" s="209" t="s">
        <v>657</v>
      </c>
      <c r="C1203" s="209" t="s">
        <v>507</v>
      </c>
      <c r="D1203" s="209" t="s">
        <v>656</v>
      </c>
      <c r="E1203" s="209" t="s">
        <v>529</v>
      </c>
      <c r="F1203" s="215">
        <v>1056</v>
      </c>
      <c r="G1203" s="203">
        <v>1056</v>
      </c>
      <c r="H1203" s="215">
        <f>'Ведомственная 2020'!H1283</f>
        <v>880</v>
      </c>
      <c r="I1203" s="203">
        <f>H1203</f>
        <v>880</v>
      </c>
      <c r="J1203" s="216">
        <f t="shared" si="314"/>
        <v>-176</v>
      </c>
      <c r="K1203" s="204">
        <f t="shared" si="315"/>
        <v>-176</v>
      </c>
    </row>
    <row r="1204" spans="1:11" x14ac:dyDescent="0.2">
      <c r="A1204" s="202" t="s">
        <v>553</v>
      </c>
      <c r="B1204" s="209" t="s">
        <v>657</v>
      </c>
      <c r="C1204" s="209" t="s">
        <v>507</v>
      </c>
      <c r="D1204" s="209" t="s">
        <v>656</v>
      </c>
      <c r="E1204" s="209" t="s">
        <v>552</v>
      </c>
      <c r="F1204" s="215">
        <v>105567</v>
      </c>
      <c r="G1204" s="203">
        <v>105567</v>
      </c>
      <c r="H1204" s="215">
        <f>H1205</f>
        <v>87971</v>
      </c>
      <c r="I1204" s="203">
        <f>I1205</f>
        <v>87971</v>
      </c>
      <c r="J1204" s="216">
        <f t="shared" si="314"/>
        <v>-17596</v>
      </c>
      <c r="K1204" s="204">
        <f t="shared" si="315"/>
        <v>-17596</v>
      </c>
    </row>
    <row r="1205" spans="1:11" x14ac:dyDescent="0.2">
      <c r="A1205" s="202" t="s">
        <v>659</v>
      </c>
      <c r="B1205" s="209" t="s">
        <v>657</v>
      </c>
      <c r="C1205" s="209" t="s">
        <v>507</v>
      </c>
      <c r="D1205" s="209" t="s">
        <v>656</v>
      </c>
      <c r="E1205" s="209" t="s">
        <v>655</v>
      </c>
      <c r="F1205" s="215">
        <v>105567</v>
      </c>
      <c r="G1205" s="203">
        <v>105567</v>
      </c>
      <c r="H1205" s="215">
        <f>'Ведомственная 2020'!H1285</f>
        <v>87971</v>
      </c>
      <c r="I1205" s="203">
        <f>H1205</f>
        <v>87971</v>
      </c>
      <c r="J1205" s="216">
        <f t="shared" si="314"/>
        <v>-17596</v>
      </c>
      <c r="K1205" s="204">
        <f t="shared" si="315"/>
        <v>-17596</v>
      </c>
    </row>
    <row r="1206" spans="1:11" x14ac:dyDescent="0.2">
      <c r="A1206" s="202" t="s">
        <v>839</v>
      </c>
      <c r="B1206" s="209" t="s">
        <v>657</v>
      </c>
      <c r="C1206" s="209" t="s">
        <v>507</v>
      </c>
      <c r="D1206" s="209" t="s">
        <v>838</v>
      </c>
      <c r="E1206" s="209"/>
      <c r="F1206" s="215">
        <v>49399.1</v>
      </c>
      <c r="G1206" s="203">
        <v>39729</v>
      </c>
      <c r="H1206" s="215">
        <f>H1207+H1212</f>
        <v>36271.5</v>
      </c>
      <c r="I1206" s="203">
        <f>I1207+I1212</f>
        <v>27810</v>
      </c>
      <c r="J1206" s="216">
        <f t="shared" si="314"/>
        <v>-13127.599999999999</v>
      </c>
      <c r="K1206" s="204">
        <f t="shared" si="315"/>
        <v>-11919</v>
      </c>
    </row>
    <row r="1207" spans="1:11" x14ac:dyDescent="0.2">
      <c r="A1207" s="202" t="s">
        <v>837</v>
      </c>
      <c r="B1207" s="209" t="s">
        <v>657</v>
      </c>
      <c r="C1207" s="209" t="s">
        <v>507</v>
      </c>
      <c r="D1207" s="209" t="s">
        <v>836</v>
      </c>
      <c r="E1207" s="209"/>
      <c r="F1207" s="215">
        <v>9670.0999999999985</v>
      </c>
      <c r="G1207" s="203">
        <v>0</v>
      </c>
      <c r="H1207" s="215">
        <f t="shared" ref="H1207:I1210" si="321">H1208</f>
        <v>8461.4999999999982</v>
      </c>
      <c r="I1207" s="203">
        <f t="shared" si="321"/>
        <v>0</v>
      </c>
      <c r="J1207" s="216">
        <f t="shared" si="314"/>
        <v>-1208.6000000000004</v>
      </c>
      <c r="K1207" s="204">
        <f t="shared" si="315"/>
        <v>0</v>
      </c>
    </row>
    <row r="1208" spans="1:11" ht="33.75" x14ac:dyDescent="0.2">
      <c r="A1208" s="202" t="s">
        <v>835</v>
      </c>
      <c r="B1208" s="209" t="s">
        <v>657</v>
      </c>
      <c r="C1208" s="209" t="s">
        <v>507</v>
      </c>
      <c r="D1208" s="209" t="s">
        <v>834</v>
      </c>
      <c r="E1208" s="209"/>
      <c r="F1208" s="215">
        <v>9670.0999999999985</v>
      </c>
      <c r="G1208" s="203">
        <v>0</v>
      </c>
      <c r="H1208" s="215">
        <f t="shared" si="321"/>
        <v>8461.4999999999982</v>
      </c>
      <c r="I1208" s="203">
        <f t="shared" si="321"/>
        <v>0</v>
      </c>
      <c r="J1208" s="216">
        <f t="shared" si="314"/>
        <v>-1208.6000000000004</v>
      </c>
      <c r="K1208" s="204">
        <f t="shared" si="315"/>
        <v>0</v>
      </c>
    </row>
    <row r="1209" spans="1:11" x14ac:dyDescent="0.2">
      <c r="A1209" s="202" t="s">
        <v>833</v>
      </c>
      <c r="B1209" s="209" t="s">
        <v>657</v>
      </c>
      <c r="C1209" s="209" t="s">
        <v>507</v>
      </c>
      <c r="D1209" s="209" t="s">
        <v>831</v>
      </c>
      <c r="E1209" s="209"/>
      <c r="F1209" s="215">
        <v>9670.0999999999985</v>
      </c>
      <c r="G1209" s="203">
        <v>0</v>
      </c>
      <c r="H1209" s="215">
        <f t="shared" si="321"/>
        <v>8461.4999999999982</v>
      </c>
      <c r="I1209" s="203">
        <f t="shared" si="321"/>
        <v>0</v>
      </c>
      <c r="J1209" s="216">
        <f t="shared" si="314"/>
        <v>-1208.6000000000004</v>
      </c>
      <c r="K1209" s="204">
        <f t="shared" si="315"/>
        <v>0</v>
      </c>
    </row>
    <row r="1210" spans="1:11" x14ac:dyDescent="0.2">
      <c r="A1210" s="202" t="s">
        <v>553</v>
      </c>
      <c r="B1210" s="209" t="s">
        <v>657</v>
      </c>
      <c r="C1210" s="209" t="s">
        <v>507</v>
      </c>
      <c r="D1210" s="209" t="s">
        <v>831</v>
      </c>
      <c r="E1210" s="209" t="s">
        <v>552</v>
      </c>
      <c r="F1210" s="215">
        <v>9670.0999999999985</v>
      </c>
      <c r="G1210" s="203">
        <v>0</v>
      </c>
      <c r="H1210" s="215">
        <f t="shared" si="321"/>
        <v>8461.4999999999982</v>
      </c>
      <c r="I1210" s="203">
        <f t="shared" si="321"/>
        <v>0</v>
      </c>
      <c r="J1210" s="216">
        <f t="shared" si="314"/>
        <v>-1208.6000000000004</v>
      </c>
      <c r="K1210" s="204">
        <f t="shared" si="315"/>
        <v>0</v>
      </c>
    </row>
    <row r="1211" spans="1:11" x14ac:dyDescent="0.2">
      <c r="A1211" s="202" t="s">
        <v>832</v>
      </c>
      <c r="B1211" s="209" t="s">
        <v>657</v>
      </c>
      <c r="C1211" s="209" t="s">
        <v>507</v>
      </c>
      <c r="D1211" s="209" t="s">
        <v>831</v>
      </c>
      <c r="E1211" s="209" t="s">
        <v>830</v>
      </c>
      <c r="F1211" s="215">
        <v>9670.0999999999985</v>
      </c>
      <c r="G1211" s="203">
        <v>0</v>
      </c>
      <c r="H1211" s="215">
        <f>'Ведомственная 2020'!H976</f>
        <v>8461.4999999999982</v>
      </c>
      <c r="I1211" s="203">
        <v>0</v>
      </c>
      <c r="J1211" s="216">
        <f t="shared" si="314"/>
        <v>-1208.6000000000004</v>
      </c>
      <c r="K1211" s="204">
        <f t="shared" si="315"/>
        <v>0</v>
      </c>
    </row>
    <row r="1212" spans="1:11" ht="22.5" x14ac:dyDescent="0.2">
      <c r="A1212" s="202" t="s">
        <v>829</v>
      </c>
      <c r="B1212" s="209" t="s">
        <v>657</v>
      </c>
      <c r="C1212" s="209" t="s">
        <v>507</v>
      </c>
      <c r="D1212" s="209" t="s">
        <v>828</v>
      </c>
      <c r="E1212" s="209"/>
      <c r="F1212" s="215">
        <v>39729</v>
      </c>
      <c r="G1212" s="203">
        <v>39729</v>
      </c>
      <c r="H1212" s="215">
        <f t="shared" ref="H1212:I1215" si="322">H1213</f>
        <v>27810</v>
      </c>
      <c r="I1212" s="203">
        <f t="shared" si="322"/>
        <v>27810</v>
      </c>
      <c r="J1212" s="216">
        <f t="shared" si="314"/>
        <v>-11919</v>
      </c>
      <c r="K1212" s="204">
        <f t="shared" si="315"/>
        <v>-11919</v>
      </c>
    </row>
    <row r="1213" spans="1:11" ht="33.75" x14ac:dyDescent="0.2">
      <c r="A1213" s="202" t="s">
        <v>827</v>
      </c>
      <c r="B1213" s="209" t="s">
        <v>657</v>
      </c>
      <c r="C1213" s="209" t="s">
        <v>507</v>
      </c>
      <c r="D1213" s="209" t="s">
        <v>826</v>
      </c>
      <c r="E1213" s="209"/>
      <c r="F1213" s="215">
        <v>39729</v>
      </c>
      <c r="G1213" s="203">
        <v>39729</v>
      </c>
      <c r="H1213" s="215">
        <f t="shared" si="322"/>
        <v>27810</v>
      </c>
      <c r="I1213" s="203">
        <f t="shared" si="322"/>
        <v>27810</v>
      </c>
      <c r="J1213" s="216">
        <f t="shared" si="314"/>
        <v>-11919</v>
      </c>
      <c r="K1213" s="204">
        <f t="shared" si="315"/>
        <v>-11919</v>
      </c>
    </row>
    <row r="1214" spans="1:11" ht="33.75" x14ac:dyDescent="0.2">
      <c r="A1214" s="202" t="s">
        <v>825</v>
      </c>
      <c r="B1214" s="209" t="s">
        <v>657</v>
      </c>
      <c r="C1214" s="209" t="s">
        <v>507</v>
      </c>
      <c r="D1214" s="209" t="s">
        <v>822</v>
      </c>
      <c r="E1214" s="209"/>
      <c r="F1214" s="215">
        <v>39729</v>
      </c>
      <c r="G1214" s="203">
        <v>39729</v>
      </c>
      <c r="H1214" s="215">
        <f t="shared" si="322"/>
        <v>27810</v>
      </c>
      <c r="I1214" s="203">
        <f t="shared" si="322"/>
        <v>27810</v>
      </c>
      <c r="J1214" s="216">
        <f t="shared" si="314"/>
        <v>-11919</v>
      </c>
      <c r="K1214" s="204">
        <f t="shared" si="315"/>
        <v>-11919</v>
      </c>
    </row>
    <row r="1215" spans="1:11" x14ac:dyDescent="0.2">
      <c r="A1215" s="202" t="s">
        <v>1355</v>
      </c>
      <c r="B1215" s="209" t="s">
        <v>657</v>
      </c>
      <c r="C1215" s="209" t="s">
        <v>507</v>
      </c>
      <c r="D1215" s="209" t="s">
        <v>822</v>
      </c>
      <c r="E1215" s="209" t="s">
        <v>824</v>
      </c>
      <c r="F1215" s="215">
        <v>39729</v>
      </c>
      <c r="G1215" s="203">
        <v>39729</v>
      </c>
      <c r="H1215" s="215">
        <f t="shared" si="322"/>
        <v>27810</v>
      </c>
      <c r="I1215" s="203">
        <f t="shared" si="322"/>
        <v>27810</v>
      </c>
      <c r="J1215" s="216">
        <f t="shared" si="314"/>
        <v>-11919</v>
      </c>
      <c r="K1215" s="204">
        <f t="shared" si="315"/>
        <v>-11919</v>
      </c>
    </row>
    <row r="1216" spans="1:11" x14ac:dyDescent="0.2">
      <c r="A1216" s="202" t="s">
        <v>823</v>
      </c>
      <c r="B1216" s="209" t="s">
        <v>657</v>
      </c>
      <c r="C1216" s="209" t="s">
        <v>507</v>
      </c>
      <c r="D1216" s="209" t="s">
        <v>822</v>
      </c>
      <c r="E1216" s="209" t="s">
        <v>821</v>
      </c>
      <c r="F1216" s="215">
        <v>39729</v>
      </c>
      <c r="G1216" s="203">
        <v>39729</v>
      </c>
      <c r="H1216" s="215">
        <f>'Ведомственная 2020'!H981</f>
        <v>27810</v>
      </c>
      <c r="I1216" s="203">
        <f>H1216</f>
        <v>27810</v>
      </c>
      <c r="J1216" s="216">
        <f t="shared" si="314"/>
        <v>-11919</v>
      </c>
      <c r="K1216" s="204">
        <f t="shared" si="315"/>
        <v>-11919</v>
      </c>
    </row>
    <row r="1217" spans="1:11" x14ac:dyDescent="0.2">
      <c r="A1217" s="202" t="s">
        <v>820</v>
      </c>
      <c r="B1217" s="209" t="s">
        <v>657</v>
      </c>
      <c r="C1217" s="209" t="s">
        <v>747</v>
      </c>
      <c r="D1217" s="209"/>
      <c r="E1217" s="209"/>
      <c r="F1217" s="215">
        <v>200</v>
      </c>
      <c r="G1217" s="203">
        <v>0</v>
      </c>
      <c r="H1217" s="215">
        <f t="shared" ref="H1217:I1222" si="323">H1218</f>
        <v>200</v>
      </c>
      <c r="I1217" s="203">
        <f t="shared" si="323"/>
        <v>0</v>
      </c>
      <c r="J1217" s="216">
        <f t="shared" si="314"/>
        <v>0</v>
      </c>
      <c r="K1217" s="204">
        <f t="shared" si="315"/>
        <v>0</v>
      </c>
    </row>
    <row r="1218" spans="1:11" x14ac:dyDescent="0.2">
      <c r="A1218" s="202" t="s">
        <v>568</v>
      </c>
      <c r="B1218" s="209" t="s">
        <v>657</v>
      </c>
      <c r="C1218" s="209" t="s">
        <v>747</v>
      </c>
      <c r="D1218" s="209" t="s">
        <v>567</v>
      </c>
      <c r="E1218" s="209"/>
      <c r="F1218" s="215">
        <v>200</v>
      </c>
      <c r="G1218" s="203">
        <v>0</v>
      </c>
      <c r="H1218" s="215">
        <f t="shared" si="323"/>
        <v>200</v>
      </c>
      <c r="I1218" s="203">
        <f t="shared" si="323"/>
        <v>0</v>
      </c>
      <c r="J1218" s="216">
        <f t="shared" si="314"/>
        <v>0</v>
      </c>
      <c r="K1218" s="204">
        <f t="shared" si="315"/>
        <v>0</v>
      </c>
    </row>
    <row r="1219" spans="1:11" ht="22.5" x14ac:dyDescent="0.2">
      <c r="A1219" s="202" t="s">
        <v>819</v>
      </c>
      <c r="B1219" s="209" t="s">
        <v>657</v>
      </c>
      <c r="C1219" s="209" t="s">
        <v>747</v>
      </c>
      <c r="D1219" s="209" t="s">
        <v>818</v>
      </c>
      <c r="E1219" s="209"/>
      <c r="F1219" s="215">
        <v>200</v>
      </c>
      <c r="G1219" s="203">
        <v>0</v>
      </c>
      <c r="H1219" s="215">
        <f t="shared" si="323"/>
        <v>200</v>
      </c>
      <c r="I1219" s="203">
        <f t="shared" si="323"/>
        <v>0</v>
      </c>
      <c r="J1219" s="216">
        <f t="shared" si="314"/>
        <v>0</v>
      </c>
      <c r="K1219" s="204">
        <f t="shared" si="315"/>
        <v>0</v>
      </c>
    </row>
    <row r="1220" spans="1:11" x14ac:dyDescent="0.2">
      <c r="A1220" s="202" t="s">
        <v>817</v>
      </c>
      <c r="B1220" s="209" t="s">
        <v>657</v>
      </c>
      <c r="C1220" s="209" t="s">
        <v>747</v>
      </c>
      <c r="D1220" s="209" t="s">
        <v>816</v>
      </c>
      <c r="E1220" s="209"/>
      <c r="F1220" s="215">
        <v>200</v>
      </c>
      <c r="G1220" s="203">
        <v>0</v>
      </c>
      <c r="H1220" s="215">
        <f t="shared" si="323"/>
        <v>200</v>
      </c>
      <c r="I1220" s="203">
        <f t="shared" si="323"/>
        <v>0</v>
      </c>
      <c r="J1220" s="216">
        <f t="shared" si="314"/>
        <v>0</v>
      </c>
      <c r="K1220" s="204">
        <f t="shared" si="315"/>
        <v>0</v>
      </c>
    </row>
    <row r="1221" spans="1:11" ht="22.5" x14ac:dyDescent="0.2">
      <c r="A1221" s="202" t="s">
        <v>815</v>
      </c>
      <c r="B1221" s="209" t="s">
        <v>657</v>
      </c>
      <c r="C1221" s="209" t="s">
        <v>747</v>
      </c>
      <c r="D1221" s="209" t="s">
        <v>814</v>
      </c>
      <c r="E1221" s="209"/>
      <c r="F1221" s="215">
        <v>200</v>
      </c>
      <c r="G1221" s="203">
        <v>0</v>
      </c>
      <c r="H1221" s="215">
        <f t="shared" si="323"/>
        <v>200</v>
      </c>
      <c r="I1221" s="203">
        <f t="shared" si="323"/>
        <v>0</v>
      </c>
      <c r="J1221" s="216">
        <f t="shared" si="314"/>
        <v>0</v>
      </c>
      <c r="K1221" s="204">
        <f t="shared" si="315"/>
        <v>0</v>
      </c>
    </row>
    <row r="1222" spans="1:11" x14ac:dyDescent="0.2">
      <c r="A1222" s="202" t="s">
        <v>615</v>
      </c>
      <c r="B1222" s="209" t="s">
        <v>657</v>
      </c>
      <c r="C1222" s="209" t="s">
        <v>747</v>
      </c>
      <c r="D1222" s="209" t="s">
        <v>814</v>
      </c>
      <c r="E1222" s="209" t="s">
        <v>509</v>
      </c>
      <c r="F1222" s="215">
        <v>200</v>
      </c>
      <c r="G1222" s="203">
        <v>0</v>
      </c>
      <c r="H1222" s="215">
        <f t="shared" si="323"/>
        <v>200</v>
      </c>
      <c r="I1222" s="203">
        <f t="shared" si="323"/>
        <v>0</v>
      </c>
      <c r="J1222" s="216">
        <f t="shared" si="314"/>
        <v>0</v>
      </c>
      <c r="K1222" s="204">
        <f t="shared" si="315"/>
        <v>0</v>
      </c>
    </row>
    <row r="1223" spans="1:11" ht="22.5" x14ac:dyDescent="0.2">
      <c r="A1223" s="202" t="s">
        <v>1346</v>
      </c>
      <c r="B1223" s="209" t="s">
        <v>657</v>
      </c>
      <c r="C1223" s="209" t="s">
        <v>747</v>
      </c>
      <c r="D1223" s="209" t="s">
        <v>814</v>
      </c>
      <c r="E1223" s="209" t="s">
        <v>511</v>
      </c>
      <c r="F1223" s="215">
        <v>200</v>
      </c>
      <c r="G1223" s="203">
        <v>0</v>
      </c>
      <c r="H1223" s="215">
        <f>'Ведомственная 2020'!H988</f>
        <v>200</v>
      </c>
      <c r="I1223" s="203">
        <v>0</v>
      </c>
      <c r="J1223" s="216">
        <f t="shared" ref="J1223:J1295" si="324">H1223-F1223</f>
        <v>0</v>
      </c>
      <c r="K1223" s="204">
        <f t="shared" ref="K1223:K1295" si="325">I1223-G1223</f>
        <v>0</v>
      </c>
    </row>
    <row r="1224" spans="1:11" s="97" customFormat="1" x14ac:dyDescent="0.2">
      <c r="A1224" s="199" t="s">
        <v>580</v>
      </c>
      <c r="B1224" s="212" t="s">
        <v>532</v>
      </c>
      <c r="C1224" s="212"/>
      <c r="D1224" s="212"/>
      <c r="E1224" s="212"/>
      <c r="F1224" s="213">
        <v>439512.39999999997</v>
      </c>
      <c r="G1224" s="200">
        <v>0</v>
      </c>
      <c r="H1224" s="213">
        <f>H1225+H1258+H1280</f>
        <v>440360.39999999997</v>
      </c>
      <c r="I1224" s="200">
        <f>I1225+I1258+I1280</f>
        <v>0</v>
      </c>
      <c r="J1224" s="214">
        <f t="shared" si="324"/>
        <v>848</v>
      </c>
      <c r="K1224" s="201">
        <f t="shared" si="325"/>
        <v>0</v>
      </c>
    </row>
    <row r="1225" spans="1:11" s="97" customFormat="1" x14ac:dyDescent="0.2">
      <c r="A1225" s="202" t="s">
        <v>579</v>
      </c>
      <c r="B1225" s="209" t="s">
        <v>532</v>
      </c>
      <c r="C1225" s="209" t="s">
        <v>498</v>
      </c>
      <c r="D1225" s="209"/>
      <c r="E1225" s="209"/>
      <c r="F1225" s="215">
        <v>391582.39999999997</v>
      </c>
      <c r="G1225" s="203">
        <v>0</v>
      </c>
      <c r="H1225" s="215">
        <f>H1226+H1233+H1249</f>
        <v>397976.89999999997</v>
      </c>
      <c r="I1225" s="203">
        <f>I1226+I1233</f>
        <v>0</v>
      </c>
      <c r="J1225" s="216">
        <f t="shared" si="324"/>
        <v>6394.5</v>
      </c>
      <c r="K1225" s="204">
        <f t="shared" si="325"/>
        <v>0</v>
      </c>
    </row>
    <row r="1226" spans="1:11" x14ac:dyDescent="0.2">
      <c r="A1226" s="202" t="s">
        <v>568</v>
      </c>
      <c r="B1226" s="209" t="s">
        <v>532</v>
      </c>
      <c r="C1226" s="209" t="s">
        <v>498</v>
      </c>
      <c r="D1226" s="209" t="s">
        <v>567</v>
      </c>
      <c r="E1226" s="209"/>
      <c r="F1226" s="215">
        <v>459.3</v>
      </c>
      <c r="G1226" s="203">
        <v>0</v>
      </c>
      <c r="H1226" s="215">
        <f t="shared" ref="H1226:I1229" si="326">H1227</f>
        <v>459.3</v>
      </c>
      <c r="I1226" s="203">
        <f t="shared" si="326"/>
        <v>0</v>
      </c>
      <c r="J1226" s="216">
        <f t="shared" si="324"/>
        <v>0</v>
      </c>
      <c r="K1226" s="204">
        <f t="shared" si="325"/>
        <v>0</v>
      </c>
    </row>
    <row r="1227" spans="1:11" x14ac:dyDescent="0.2">
      <c r="A1227" s="202" t="s">
        <v>566</v>
      </c>
      <c r="B1227" s="209" t="s">
        <v>532</v>
      </c>
      <c r="C1227" s="209" t="s">
        <v>498</v>
      </c>
      <c r="D1227" s="209" t="s">
        <v>565</v>
      </c>
      <c r="E1227" s="209"/>
      <c r="F1227" s="215">
        <v>459.3</v>
      </c>
      <c r="G1227" s="203">
        <v>0</v>
      </c>
      <c r="H1227" s="215">
        <f t="shared" si="326"/>
        <v>459.3</v>
      </c>
      <c r="I1227" s="203">
        <f t="shared" si="326"/>
        <v>0</v>
      </c>
      <c r="J1227" s="216">
        <f t="shared" si="324"/>
        <v>0</v>
      </c>
      <c r="K1227" s="204">
        <f t="shared" si="325"/>
        <v>0</v>
      </c>
    </row>
    <row r="1228" spans="1:11" ht="22.5" x14ac:dyDescent="0.2">
      <c r="A1228" s="202" t="s">
        <v>1387</v>
      </c>
      <c r="B1228" s="209" t="s">
        <v>532</v>
      </c>
      <c r="C1228" s="209" t="s">
        <v>498</v>
      </c>
      <c r="D1228" s="209" t="s">
        <v>578</v>
      </c>
      <c r="E1228" s="209"/>
      <c r="F1228" s="215">
        <v>459.3</v>
      </c>
      <c r="G1228" s="203">
        <v>0</v>
      </c>
      <c r="H1228" s="215">
        <f t="shared" si="326"/>
        <v>459.3</v>
      </c>
      <c r="I1228" s="203">
        <f t="shared" si="326"/>
        <v>0</v>
      </c>
      <c r="J1228" s="216">
        <f t="shared" si="324"/>
        <v>0</v>
      </c>
      <c r="K1228" s="204">
        <f t="shared" si="325"/>
        <v>0</v>
      </c>
    </row>
    <row r="1229" spans="1:11" ht="33.75" x14ac:dyDescent="0.2">
      <c r="A1229" s="202" t="s">
        <v>1388</v>
      </c>
      <c r="B1229" s="209" t="s">
        <v>532</v>
      </c>
      <c r="C1229" s="209" t="s">
        <v>498</v>
      </c>
      <c r="D1229" s="209" t="s">
        <v>577</v>
      </c>
      <c r="E1229" s="209"/>
      <c r="F1229" s="215">
        <v>459.3</v>
      </c>
      <c r="G1229" s="203">
        <v>0</v>
      </c>
      <c r="H1229" s="215">
        <f t="shared" si="326"/>
        <v>459.3</v>
      </c>
      <c r="I1229" s="203">
        <f t="shared" si="326"/>
        <v>0</v>
      </c>
      <c r="J1229" s="216">
        <f t="shared" si="324"/>
        <v>0</v>
      </c>
      <c r="K1229" s="204">
        <f t="shared" si="325"/>
        <v>0</v>
      </c>
    </row>
    <row r="1230" spans="1:11" ht="22.5" x14ac:dyDescent="0.2">
      <c r="A1230" s="202" t="s">
        <v>547</v>
      </c>
      <c r="B1230" s="209" t="s">
        <v>532</v>
      </c>
      <c r="C1230" s="209" t="s">
        <v>498</v>
      </c>
      <c r="D1230" s="209" t="s">
        <v>577</v>
      </c>
      <c r="E1230" s="209" t="s">
        <v>519</v>
      </c>
      <c r="F1230" s="215">
        <v>459.3</v>
      </c>
      <c r="G1230" s="203">
        <v>0</v>
      </c>
      <c r="H1230" s="215">
        <f>H1231+H1232</f>
        <v>459.3</v>
      </c>
      <c r="I1230" s="203">
        <f>I1231+I1232</f>
        <v>0</v>
      </c>
      <c r="J1230" s="216">
        <f t="shared" si="324"/>
        <v>0</v>
      </c>
      <c r="K1230" s="204">
        <f t="shared" si="325"/>
        <v>0</v>
      </c>
    </row>
    <row r="1231" spans="1:11" x14ac:dyDescent="0.2">
      <c r="A1231" s="202" t="s">
        <v>571</v>
      </c>
      <c r="B1231" s="209" t="s">
        <v>532</v>
      </c>
      <c r="C1231" s="209" t="s">
        <v>498</v>
      </c>
      <c r="D1231" s="209" t="s">
        <v>577</v>
      </c>
      <c r="E1231" s="209" t="s">
        <v>522</v>
      </c>
      <c r="F1231" s="215">
        <v>50</v>
      </c>
      <c r="G1231" s="203">
        <v>0</v>
      </c>
      <c r="H1231" s="215">
        <f>'Ведомственная 2020'!H1433</f>
        <v>50</v>
      </c>
      <c r="I1231" s="203">
        <v>0</v>
      </c>
      <c r="J1231" s="216">
        <f t="shared" si="324"/>
        <v>0</v>
      </c>
      <c r="K1231" s="204">
        <f t="shared" si="325"/>
        <v>0</v>
      </c>
    </row>
    <row r="1232" spans="1:11" x14ac:dyDescent="0.2">
      <c r="A1232" s="202" t="s">
        <v>546</v>
      </c>
      <c r="B1232" s="209" t="s">
        <v>532</v>
      </c>
      <c r="C1232" s="209" t="s">
        <v>498</v>
      </c>
      <c r="D1232" s="209" t="s">
        <v>577</v>
      </c>
      <c r="E1232" s="209" t="s">
        <v>544</v>
      </c>
      <c r="F1232" s="215">
        <v>409.3</v>
      </c>
      <c r="G1232" s="203">
        <v>0</v>
      </c>
      <c r="H1232" s="215">
        <f>'Ведомственная 2020'!H1434</f>
        <v>409.3</v>
      </c>
      <c r="I1232" s="203">
        <v>0</v>
      </c>
      <c r="J1232" s="216">
        <f t="shared" si="324"/>
        <v>0</v>
      </c>
      <c r="K1232" s="204">
        <f t="shared" si="325"/>
        <v>0</v>
      </c>
    </row>
    <row r="1233" spans="1:11" x14ac:dyDescent="0.2">
      <c r="A1233" s="202" t="s">
        <v>542</v>
      </c>
      <c r="B1233" s="209" t="s">
        <v>532</v>
      </c>
      <c r="C1233" s="209" t="s">
        <v>498</v>
      </c>
      <c r="D1233" s="209" t="s">
        <v>541</v>
      </c>
      <c r="E1233" s="209"/>
      <c r="F1233" s="215">
        <v>386123.1</v>
      </c>
      <c r="G1233" s="203">
        <v>0</v>
      </c>
      <c r="H1233" s="215">
        <f>H1234+H1243</f>
        <v>391669.6</v>
      </c>
      <c r="I1233" s="203">
        <f>I1234+I1243</f>
        <v>0</v>
      </c>
      <c r="J1233" s="216">
        <f t="shared" si="324"/>
        <v>5546.5</v>
      </c>
      <c r="K1233" s="204">
        <f t="shared" si="325"/>
        <v>0</v>
      </c>
    </row>
    <row r="1234" spans="1:11" x14ac:dyDescent="0.2">
      <c r="A1234" s="202" t="s">
        <v>560</v>
      </c>
      <c r="B1234" s="209" t="s">
        <v>532</v>
      </c>
      <c r="C1234" s="209" t="s">
        <v>498</v>
      </c>
      <c r="D1234" s="209" t="s">
        <v>559</v>
      </c>
      <c r="E1234" s="209"/>
      <c r="F1234" s="215">
        <v>205721</v>
      </c>
      <c r="G1234" s="203">
        <v>0</v>
      </c>
      <c r="H1234" s="215">
        <f>H1235</f>
        <v>211267.5</v>
      </c>
      <c r="I1234" s="203">
        <f>I1235</f>
        <v>0</v>
      </c>
      <c r="J1234" s="216">
        <f t="shared" si="324"/>
        <v>5546.5</v>
      </c>
      <c r="K1234" s="204">
        <f t="shared" si="325"/>
        <v>0</v>
      </c>
    </row>
    <row r="1235" spans="1:11" ht="22.5" x14ac:dyDescent="0.2">
      <c r="A1235" s="202" t="s">
        <v>558</v>
      </c>
      <c r="B1235" s="209" t="s">
        <v>532</v>
      </c>
      <c r="C1235" s="209" t="s">
        <v>498</v>
      </c>
      <c r="D1235" s="209" t="s">
        <v>557</v>
      </c>
      <c r="E1235" s="209"/>
      <c r="F1235" s="215">
        <v>205721</v>
      </c>
      <c r="G1235" s="203">
        <v>0</v>
      </c>
      <c r="H1235" s="215">
        <f>H1236+H1239</f>
        <v>211267.5</v>
      </c>
      <c r="I1235" s="203">
        <f>I1236</f>
        <v>0</v>
      </c>
      <c r="J1235" s="216">
        <f t="shared" si="324"/>
        <v>5546.5</v>
      </c>
      <c r="K1235" s="204">
        <f t="shared" si="325"/>
        <v>0</v>
      </c>
    </row>
    <row r="1236" spans="1:11" ht="22.5" x14ac:dyDescent="0.2">
      <c r="A1236" s="202" t="s">
        <v>576</v>
      </c>
      <c r="B1236" s="209" t="s">
        <v>532</v>
      </c>
      <c r="C1236" s="209" t="s">
        <v>498</v>
      </c>
      <c r="D1236" s="209" t="s">
        <v>575</v>
      </c>
      <c r="E1236" s="209"/>
      <c r="F1236" s="215">
        <v>4335</v>
      </c>
      <c r="G1236" s="203">
        <v>0</v>
      </c>
      <c r="H1236" s="215">
        <f>H1237</f>
        <v>4335</v>
      </c>
      <c r="I1236" s="203">
        <f>I1237</f>
        <v>0</v>
      </c>
      <c r="J1236" s="216">
        <f t="shared" si="324"/>
        <v>0</v>
      </c>
      <c r="K1236" s="204">
        <f t="shared" si="325"/>
        <v>0</v>
      </c>
    </row>
    <row r="1237" spans="1:11" ht="22.5" x14ac:dyDescent="0.2">
      <c r="A1237" s="202" t="s">
        <v>547</v>
      </c>
      <c r="B1237" s="209" t="s">
        <v>532</v>
      </c>
      <c r="C1237" s="209" t="s">
        <v>498</v>
      </c>
      <c r="D1237" s="209" t="s">
        <v>575</v>
      </c>
      <c r="E1237" s="209" t="s">
        <v>519</v>
      </c>
      <c r="F1237" s="215">
        <v>4335</v>
      </c>
      <c r="G1237" s="203">
        <v>0</v>
      </c>
      <c r="H1237" s="215">
        <f>H1238</f>
        <v>4335</v>
      </c>
      <c r="I1237" s="203">
        <f>I1238</f>
        <v>0</v>
      </c>
      <c r="J1237" s="216">
        <f t="shared" si="324"/>
        <v>0</v>
      </c>
      <c r="K1237" s="204">
        <f t="shared" si="325"/>
        <v>0</v>
      </c>
    </row>
    <row r="1238" spans="1:11" x14ac:dyDescent="0.2">
      <c r="A1238" s="202" t="s">
        <v>546</v>
      </c>
      <c r="B1238" s="209" t="s">
        <v>532</v>
      </c>
      <c r="C1238" s="209" t="s">
        <v>498</v>
      </c>
      <c r="D1238" s="209" t="s">
        <v>575</v>
      </c>
      <c r="E1238" s="209" t="s">
        <v>544</v>
      </c>
      <c r="F1238" s="215">
        <v>4335</v>
      </c>
      <c r="G1238" s="203">
        <v>0</v>
      </c>
      <c r="H1238" s="215">
        <f>'Ведомственная 2020'!H1440</f>
        <v>4335</v>
      </c>
      <c r="I1238" s="203">
        <v>0</v>
      </c>
      <c r="J1238" s="216">
        <f t="shared" si="324"/>
        <v>0</v>
      </c>
      <c r="K1238" s="204">
        <f t="shared" si="325"/>
        <v>0</v>
      </c>
    </row>
    <row r="1239" spans="1:11" ht="22.5" x14ac:dyDescent="0.2">
      <c r="A1239" s="202" t="s">
        <v>548</v>
      </c>
      <c r="B1239" s="209" t="s">
        <v>532</v>
      </c>
      <c r="C1239" s="209" t="s">
        <v>498</v>
      </c>
      <c r="D1239" s="209" t="s">
        <v>545</v>
      </c>
      <c r="E1239" s="209"/>
      <c r="F1239" s="215">
        <v>201386</v>
      </c>
      <c r="G1239" s="203">
        <v>0</v>
      </c>
      <c r="H1239" s="215">
        <f>H1240</f>
        <v>206932.5</v>
      </c>
      <c r="I1239" s="203">
        <f>I1240</f>
        <v>0</v>
      </c>
      <c r="J1239" s="216">
        <f t="shared" si="324"/>
        <v>5546.5</v>
      </c>
      <c r="K1239" s="204">
        <f t="shared" si="325"/>
        <v>0</v>
      </c>
    </row>
    <row r="1240" spans="1:11" ht="22.5" x14ac:dyDescent="0.2">
      <c r="A1240" s="202" t="s">
        <v>547</v>
      </c>
      <c r="B1240" s="209" t="s">
        <v>532</v>
      </c>
      <c r="C1240" s="209" t="s">
        <v>498</v>
      </c>
      <c r="D1240" s="209" t="s">
        <v>545</v>
      </c>
      <c r="E1240" s="209" t="s">
        <v>519</v>
      </c>
      <c r="F1240" s="215">
        <v>201386</v>
      </c>
      <c r="G1240" s="203">
        <v>0</v>
      </c>
      <c r="H1240" s="215">
        <f>H1241+H1242</f>
        <v>206932.5</v>
      </c>
      <c r="I1240" s="203">
        <f>I1241+I1242</f>
        <v>0</v>
      </c>
      <c r="J1240" s="216">
        <f t="shared" si="324"/>
        <v>5546.5</v>
      </c>
      <c r="K1240" s="204">
        <f t="shared" si="325"/>
        <v>0</v>
      </c>
    </row>
    <row r="1241" spans="1:11" x14ac:dyDescent="0.2">
      <c r="A1241" s="202" t="s">
        <v>571</v>
      </c>
      <c r="B1241" s="209" t="s">
        <v>532</v>
      </c>
      <c r="C1241" s="209" t="s">
        <v>498</v>
      </c>
      <c r="D1241" s="209" t="s">
        <v>545</v>
      </c>
      <c r="E1241" s="209" t="s">
        <v>522</v>
      </c>
      <c r="F1241" s="215">
        <v>14894</v>
      </c>
      <c r="G1241" s="203">
        <v>0</v>
      </c>
      <c r="H1241" s="215">
        <f>'Ведомственная 2020'!H1443</f>
        <v>14894</v>
      </c>
      <c r="I1241" s="203">
        <v>0</v>
      </c>
      <c r="J1241" s="216">
        <f t="shared" si="324"/>
        <v>0</v>
      </c>
      <c r="K1241" s="204">
        <f t="shared" si="325"/>
        <v>0</v>
      </c>
    </row>
    <row r="1242" spans="1:11" x14ac:dyDescent="0.2">
      <c r="A1242" s="202" t="s">
        <v>546</v>
      </c>
      <c r="B1242" s="209" t="s">
        <v>532</v>
      </c>
      <c r="C1242" s="209" t="s">
        <v>498</v>
      </c>
      <c r="D1242" s="209" t="s">
        <v>545</v>
      </c>
      <c r="E1242" s="209" t="s">
        <v>544</v>
      </c>
      <c r="F1242" s="215">
        <v>186492</v>
      </c>
      <c r="G1242" s="203">
        <v>0</v>
      </c>
      <c r="H1242" s="215">
        <f>'Ведомственная 2020'!H1444</f>
        <v>192038.5</v>
      </c>
      <c r="I1242" s="203">
        <v>0</v>
      </c>
      <c r="J1242" s="216">
        <f t="shared" si="324"/>
        <v>5546.5</v>
      </c>
      <c r="K1242" s="204">
        <f t="shared" si="325"/>
        <v>0</v>
      </c>
    </row>
    <row r="1243" spans="1:11" x14ac:dyDescent="0.2">
      <c r="A1243" s="202" t="s">
        <v>540</v>
      </c>
      <c r="B1243" s="209" t="s">
        <v>532</v>
      </c>
      <c r="C1243" s="209" t="s">
        <v>498</v>
      </c>
      <c r="D1243" s="209" t="s">
        <v>539</v>
      </c>
      <c r="E1243" s="209"/>
      <c r="F1243" s="215">
        <v>180402.1</v>
      </c>
      <c r="G1243" s="203">
        <v>0</v>
      </c>
      <c r="H1243" s="215">
        <f t="shared" ref="H1243:I1245" si="327">H1244</f>
        <v>180402.1</v>
      </c>
      <c r="I1243" s="203">
        <f t="shared" si="327"/>
        <v>0</v>
      </c>
      <c r="J1243" s="216">
        <f t="shared" si="324"/>
        <v>0</v>
      </c>
      <c r="K1243" s="204">
        <f t="shared" si="325"/>
        <v>0</v>
      </c>
    </row>
    <row r="1244" spans="1:11" x14ac:dyDescent="0.2">
      <c r="A1244" s="202" t="s">
        <v>574</v>
      </c>
      <c r="B1244" s="209" t="s">
        <v>532</v>
      </c>
      <c r="C1244" s="209" t="s">
        <v>498</v>
      </c>
      <c r="D1244" s="209" t="s">
        <v>573</v>
      </c>
      <c r="E1244" s="209"/>
      <c r="F1244" s="215">
        <v>180402.1</v>
      </c>
      <c r="G1244" s="203">
        <v>0</v>
      </c>
      <c r="H1244" s="215">
        <f t="shared" si="327"/>
        <v>180402.1</v>
      </c>
      <c r="I1244" s="203">
        <f t="shared" si="327"/>
        <v>0</v>
      </c>
      <c r="J1244" s="216">
        <f t="shared" si="324"/>
        <v>0</v>
      </c>
      <c r="K1244" s="204">
        <f t="shared" si="325"/>
        <v>0</v>
      </c>
    </row>
    <row r="1245" spans="1:11" ht="22.5" x14ac:dyDescent="0.2">
      <c r="A1245" s="202" t="s">
        <v>572</v>
      </c>
      <c r="B1245" s="209" t="s">
        <v>532</v>
      </c>
      <c r="C1245" s="209" t="s">
        <v>498</v>
      </c>
      <c r="D1245" s="209" t="s">
        <v>570</v>
      </c>
      <c r="E1245" s="209"/>
      <c r="F1245" s="215">
        <v>180402.1</v>
      </c>
      <c r="G1245" s="203">
        <v>0</v>
      </c>
      <c r="H1245" s="215">
        <f t="shared" si="327"/>
        <v>180402.1</v>
      </c>
      <c r="I1245" s="203">
        <f t="shared" si="327"/>
        <v>0</v>
      </c>
      <c r="J1245" s="216">
        <f t="shared" si="324"/>
        <v>0</v>
      </c>
      <c r="K1245" s="204">
        <f t="shared" si="325"/>
        <v>0</v>
      </c>
    </row>
    <row r="1246" spans="1:11" ht="22.5" x14ac:dyDescent="0.2">
      <c r="A1246" s="202" t="s">
        <v>547</v>
      </c>
      <c r="B1246" s="209" t="s">
        <v>532</v>
      </c>
      <c r="C1246" s="209" t="s">
        <v>498</v>
      </c>
      <c r="D1246" s="209" t="s">
        <v>570</v>
      </c>
      <c r="E1246" s="209" t="s">
        <v>519</v>
      </c>
      <c r="F1246" s="215">
        <v>180402.1</v>
      </c>
      <c r="G1246" s="203">
        <v>0</v>
      </c>
      <c r="H1246" s="215">
        <f>H1247+H1248</f>
        <v>180402.1</v>
      </c>
      <c r="I1246" s="203">
        <f>I1247+I1248</f>
        <v>0</v>
      </c>
      <c r="J1246" s="216">
        <f t="shared" si="324"/>
        <v>0</v>
      </c>
      <c r="K1246" s="204">
        <f t="shared" si="325"/>
        <v>0</v>
      </c>
    </row>
    <row r="1247" spans="1:11" x14ac:dyDescent="0.2">
      <c r="A1247" s="202" t="s">
        <v>571</v>
      </c>
      <c r="B1247" s="209" t="s">
        <v>532</v>
      </c>
      <c r="C1247" s="209" t="s">
        <v>498</v>
      </c>
      <c r="D1247" s="209" t="s">
        <v>570</v>
      </c>
      <c r="E1247" s="209" t="s">
        <v>522</v>
      </c>
      <c r="F1247" s="215">
        <v>127903.8</v>
      </c>
      <c r="G1247" s="203">
        <v>0</v>
      </c>
      <c r="H1247" s="215">
        <f>'Ведомственная 2020'!H1449</f>
        <v>127903.8</v>
      </c>
      <c r="I1247" s="203">
        <v>0</v>
      </c>
      <c r="J1247" s="216">
        <f t="shared" si="324"/>
        <v>0</v>
      </c>
      <c r="K1247" s="204">
        <f t="shared" si="325"/>
        <v>0</v>
      </c>
    </row>
    <row r="1248" spans="1:11" x14ac:dyDescent="0.2">
      <c r="A1248" s="202" t="s">
        <v>546</v>
      </c>
      <c r="B1248" s="209" t="s">
        <v>532</v>
      </c>
      <c r="C1248" s="209" t="s">
        <v>498</v>
      </c>
      <c r="D1248" s="209" t="s">
        <v>570</v>
      </c>
      <c r="E1248" s="209" t="s">
        <v>544</v>
      </c>
      <c r="F1248" s="215">
        <v>52498.3</v>
      </c>
      <c r="G1248" s="203">
        <v>0</v>
      </c>
      <c r="H1248" s="215">
        <f>'Ведомственная 2020'!H1450</f>
        <v>52498.3</v>
      </c>
      <c r="I1248" s="203">
        <v>0</v>
      </c>
      <c r="J1248" s="216">
        <f t="shared" si="324"/>
        <v>0</v>
      </c>
      <c r="K1248" s="204">
        <f t="shared" si="325"/>
        <v>0</v>
      </c>
    </row>
    <row r="1249" spans="1:11" s="400" customFormat="1" x14ac:dyDescent="0.2">
      <c r="A1249" s="202" t="s">
        <v>908</v>
      </c>
      <c r="B1249" s="209" t="s">
        <v>532</v>
      </c>
      <c r="C1249" s="209" t="s">
        <v>498</v>
      </c>
      <c r="D1249" s="209" t="s">
        <v>907</v>
      </c>
      <c r="E1249" s="209"/>
      <c r="F1249" s="215">
        <v>5000</v>
      </c>
      <c r="G1249" s="203">
        <v>0</v>
      </c>
      <c r="H1249" s="215">
        <f t="shared" ref="H1249:I1253" si="328">H1250</f>
        <v>5848</v>
      </c>
      <c r="I1249" s="203">
        <f t="shared" si="328"/>
        <v>0</v>
      </c>
      <c r="J1249" s="216">
        <f t="shared" ref="J1249:J1254" si="329">H1249-F1249</f>
        <v>848</v>
      </c>
      <c r="K1249" s="204">
        <f t="shared" ref="K1249:K1254" si="330">I1249-G1249</f>
        <v>0</v>
      </c>
    </row>
    <row r="1250" spans="1:11" s="400" customFormat="1" x14ac:dyDescent="0.2">
      <c r="A1250" s="202" t="s">
        <v>1316</v>
      </c>
      <c r="B1250" s="209" t="s">
        <v>532</v>
      </c>
      <c r="C1250" s="209" t="s">
        <v>498</v>
      </c>
      <c r="D1250" s="209" t="s">
        <v>1317</v>
      </c>
      <c r="E1250" s="209"/>
      <c r="F1250" s="215">
        <v>5000</v>
      </c>
      <c r="G1250" s="203">
        <v>0</v>
      </c>
      <c r="H1250" s="215">
        <f t="shared" si="328"/>
        <v>5848</v>
      </c>
      <c r="I1250" s="203">
        <f t="shared" si="328"/>
        <v>0</v>
      </c>
      <c r="J1250" s="216">
        <f t="shared" si="329"/>
        <v>848</v>
      </c>
      <c r="K1250" s="204">
        <f t="shared" si="330"/>
        <v>0</v>
      </c>
    </row>
    <row r="1251" spans="1:11" s="400" customFormat="1" ht="22.5" x14ac:dyDescent="0.2">
      <c r="A1251" s="202" t="s">
        <v>1318</v>
      </c>
      <c r="B1251" s="209" t="s">
        <v>532</v>
      </c>
      <c r="C1251" s="209" t="s">
        <v>498</v>
      </c>
      <c r="D1251" s="209" t="s">
        <v>1319</v>
      </c>
      <c r="E1251" s="209"/>
      <c r="F1251" s="215">
        <v>5000</v>
      </c>
      <c r="G1251" s="203">
        <v>0</v>
      </c>
      <c r="H1251" s="215">
        <f>H1252+H1255</f>
        <v>5848</v>
      </c>
      <c r="I1251" s="203">
        <f t="shared" si="328"/>
        <v>0</v>
      </c>
      <c r="J1251" s="216">
        <f t="shared" si="329"/>
        <v>848</v>
      </c>
      <c r="K1251" s="204">
        <f t="shared" si="330"/>
        <v>0</v>
      </c>
    </row>
    <row r="1252" spans="1:11" s="400" customFormat="1" ht="22.5" x14ac:dyDescent="0.2">
      <c r="A1252" s="202" t="s">
        <v>1320</v>
      </c>
      <c r="B1252" s="209" t="s">
        <v>532</v>
      </c>
      <c r="C1252" s="209" t="s">
        <v>498</v>
      </c>
      <c r="D1252" s="209" t="s">
        <v>1321</v>
      </c>
      <c r="E1252" s="209"/>
      <c r="F1252" s="215">
        <v>5000</v>
      </c>
      <c r="G1252" s="203">
        <v>0</v>
      </c>
      <c r="H1252" s="215">
        <f t="shared" si="328"/>
        <v>5000</v>
      </c>
      <c r="I1252" s="203">
        <f t="shared" si="328"/>
        <v>0</v>
      </c>
      <c r="J1252" s="216">
        <f t="shared" si="329"/>
        <v>0</v>
      </c>
      <c r="K1252" s="204">
        <f t="shared" si="330"/>
        <v>0</v>
      </c>
    </row>
    <row r="1253" spans="1:11" s="400" customFormat="1" x14ac:dyDescent="0.2">
      <c r="A1253" s="202" t="s">
        <v>1355</v>
      </c>
      <c r="B1253" s="209" t="s">
        <v>532</v>
      </c>
      <c r="C1253" s="209" t="s">
        <v>498</v>
      </c>
      <c r="D1253" s="209" t="s">
        <v>1321</v>
      </c>
      <c r="E1253" s="209" t="s">
        <v>824</v>
      </c>
      <c r="F1253" s="215">
        <v>5000</v>
      </c>
      <c r="G1253" s="203">
        <v>0</v>
      </c>
      <c r="H1253" s="215">
        <f t="shared" si="328"/>
        <v>5000</v>
      </c>
      <c r="I1253" s="203">
        <f t="shared" si="328"/>
        <v>0</v>
      </c>
      <c r="J1253" s="216">
        <f t="shared" si="329"/>
        <v>0</v>
      </c>
      <c r="K1253" s="204">
        <f t="shared" si="330"/>
        <v>0</v>
      </c>
    </row>
    <row r="1254" spans="1:11" s="400" customFormat="1" x14ac:dyDescent="0.2">
      <c r="A1254" s="202" t="s">
        <v>823</v>
      </c>
      <c r="B1254" s="209" t="s">
        <v>532</v>
      </c>
      <c r="C1254" s="209" t="s">
        <v>498</v>
      </c>
      <c r="D1254" s="209" t="s">
        <v>1321</v>
      </c>
      <c r="E1254" s="209" t="s">
        <v>821</v>
      </c>
      <c r="F1254" s="215">
        <v>5000</v>
      </c>
      <c r="G1254" s="203">
        <v>0</v>
      </c>
      <c r="H1254" s="215">
        <f>'Ведомственная 2020'!H996</f>
        <v>5000</v>
      </c>
      <c r="I1254" s="203">
        <v>0</v>
      </c>
      <c r="J1254" s="216">
        <f t="shared" si="329"/>
        <v>0</v>
      </c>
      <c r="K1254" s="204">
        <f t="shared" si="330"/>
        <v>0</v>
      </c>
    </row>
    <row r="1255" spans="1:11" s="440" customFormat="1" ht="22.5" x14ac:dyDescent="0.2">
      <c r="A1255" s="202" t="s">
        <v>1647</v>
      </c>
      <c r="B1255" s="209" t="s">
        <v>532</v>
      </c>
      <c r="C1255" s="209" t="s">
        <v>498</v>
      </c>
      <c r="D1255" s="209" t="s">
        <v>1648</v>
      </c>
      <c r="E1255" s="209"/>
      <c r="F1255" s="215">
        <f>F1256</f>
        <v>0</v>
      </c>
      <c r="G1255" s="203">
        <f t="shared" ref="G1255:I1256" si="331">G1256</f>
        <v>0</v>
      </c>
      <c r="H1255" s="215">
        <f t="shared" si="331"/>
        <v>848</v>
      </c>
      <c r="I1255" s="203">
        <f t="shared" si="331"/>
        <v>0</v>
      </c>
      <c r="J1255" s="216">
        <f t="shared" ref="J1255:J1257" si="332">H1255-F1255</f>
        <v>848</v>
      </c>
      <c r="K1255" s="204">
        <f t="shared" ref="K1255:K1257" si="333">I1255-G1255</f>
        <v>0</v>
      </c>
    </row>
    <row r="1256" spans="1:11" s="440" customFormat="1" x14ac:dyDescent="0.2">
      <c r="A1256" s="202" t="s">
        <v>1355</v>
      </c>
      <c r="B1256" s="209" t="s">
        <v>532</v>
      </c>
      <c r="C1256" s="209" t="s">
        <v>498</v>
      </c>
      <c r="D1256" s="209" t="s">
        <v>1648</v>
      </c>
      <c r="E1256" s="209" t="s">
        <v>824</v>
      </c>
      <c r="F1256" s="215">
        <f>F1257</f>
        <v>0</v>
      </c>
      <c r="G1256" s="203">
        <f t="shared" si="331"/>
        <v>0</v>
      </c>
      <c r="H1256" s="215">
        <f t="shared" si="331"/>
        <v>848</v>
      </c>
      <c r="I1256" s="203">
        <f t="shared" si="331"/>
        <v>0</v>
      </c>
      <c r="J1256" s="216">
        <f t="shared" si="332"/>
        <v>848</v>
      </c>
      <c r="K1256" s="204">
        <f t="shared" si="333"/>
        <v>0</v>
      </c>
    </row>
    <row r="1257" spans="1:11" s="440" customFormat="1" x14ac:dyDescent="0.2">
      <c r="A1257" s="202" t="s">
        <v>823</v>
      </c>
      <c r="B1257" s="209" t="s">
        <v>532</v>
      </c>
      <c r="C1257" s="209" t="s">
        <v>498</v>
      </c>
      <c r="D1257" s="209" t="s">
        <v>1648</v>
      </c>
      <c r="E1257" s="209" t="s">
        <v>821</v>
      </c>
      <c r="F1257" s="215">
        <v>0</v>
      </c>
      <c r="G1257" s="203">
        <v>0</v>
      </c>
      <c r="H1257" s="215">
        <f>'Ведомственная 2020'!H999</f>
        <v>848</v>
      </c>
      <c r="I1257" s="203">
        <v>0</v>
      </c>
      <c r="J1257" s="216">
        <f t="shared" si="332"/>
        <v>848</v>
      </c>
      <c r="K1257" s="204">
        <f t="shared" si="333"/>
        <v>0</v>
      </c>
    </row>
    <row r="1258" spans="1:11" s="208" customFormat="1" x14ac:dyDescent="0.2">
      <c r="A1258" s="202" t="s">
        <v>569</v>
      </c>
      <c r="B1258" s="209" t="s">
        <v>532</v>
      </c>
      <c r="C1258" s="209" t="s">
        <v>502</v>
      </c>
      <c r="D1258" s="209"/>
      <c r="E1258" s="209"/>
      <c r="F1258" s="215">
        <v>46330</v>
      </c>
      <c r="G1258" s="203">
        <v>0</v>
      </c>
      <c r="H1258" s="215">
        <f>H1259+H1267</f>
        <v>40783.5</v>
      </c>
      <c r="I1258" s="203">
        <f>I1259+I1267</f>
        <v>0</v>
      </c>
      <c r="J1258" s="216">
        <f t="shared" si="324"/>
        <v>-5546.5</v>
      </c>
      <c r="K1258" s="204">
        <f t="shared" si="325"/>
        <v>0</v>
      </c>
    </row>
    <row r="1259" spans="1:11" x14ac:dyDescent="0.2">
      <c r="A1259" s="202" t="s">
        <v>568</v>
      </c>
      <c r="B1259" s="209" t="s">
        <v>532</v>
      </c>
      <c r="C1259" s="209" t="s">
        <v>502</v>
      </c>
      <c r="D1259" s="209" t="s">
        <v>567</v>
      </c>
      <c r="E1259" s="209"/>
      <c r="F1259" s="215">
        <v>315</v>
      </c>
      <c r="G1259" s="203">
        <v>0</v>
      </c>
      <c r="H1259" s="215">
        <f t="shared" ref="H1259:I1261" si="334">H1260</f>
        <v>315</v>
      </c>
      <c r="I1259" s="203">
        <f t="shared" si="334"/>
        <v>0</v>
      </c>
      <c r="J1259" s="216">
        <f t="shared" si="324"/>
        <v>0</v>
      </c>
      <c r="K1259" s="204">
        <f t="shared" si="325"/>
        <v>0</v>
      </c>
    </row>
    <row r="1260" spans="1:11" x14ac:dyDescent="0.2">
      <c r="A1260" s="202" t="s">
        <v>566</v>
      </c>
      <c r="B1260" s="209" t="s">
        <v>532</v>
      </c>
      <c r="C1260" s="209" t="s">
        <v>502</v>
      </c>
      <c r="D1260" s="209" t="s">
        <v>565</v>
      </c>
      <c r="E1260" s="209"/>
      <c r="F1260" s="215">
        <v>315</v>
      </c>
      <c r="G1260" s="203">
        <v>0</v>
      </c>
      <c r="H1260" s="215">
        <f t="shared" si="334"/>
        <v>315</v>
      </c>
      <c r="I1260" s="203">
        <f t="shared" si="334"/>
        <v>0</v>
      </c>
      <c r="J1260" s="216">
        <f t="shared" si="324"/>
        <v>0</v>
      </c>
      <c r="K1260" s="204">
        <f t="shared" si="325"/>
        <v>0</v>
      </c>
    </row>
    <row r="1261" spans="1:11" ht="22.5" x14ac:dyDescent="0.2">
      <c r="A1261" s="202" t="s">
        <v>564</v>
      </c>
      <c r="B1261" s="209" t="s">
        <v>532</v>
      </c>
      <c r="C1261" s="209" t="s">
        <v>502</v>
      </c>
      <c r="D1261" s="209" t="s">
        <v>563</v>
      </c>
      <c r="E1261" s="209"/>
      <c r="F1261" s="215">
        <v>315</v>
      </c>
      <c r="G1261" s="203">
        <v>0</v>
      </c>
      <c r="H1261" s="215">
        <f t="shared" si="334"/>
        <v>315</v>
      </c>
      <c r="I1261" s="203">
        <f t="shared" si="334"/>
        <v>0</v>
      </c>
      <c r="J1261" s="216">
        <f t="shared" si="324"/>
        <v>0</v>
      </c>
      <c r="K1261" s="204">
        <f t="shared" si="325"/>
        <v>0</v>
      </c>
    </row>
    <row r="1262" spans="1:11" ht="33.75" x14ac:dyDescent="0.2">
      <c r="A1262" s="202" t="s">
        <v>562</v>
      </c>
      <c r="B1262" s="209" t="s">
        <v>532</v>
      </c>
      <c r="C1262" s="209" t="s">
        <v>502</v>
      </c>
      <c r="D1262" s="209" t="s">
        <v>561</v>
      </c>
      <c r="E1262" s="209"/>
      <c r="F1262" s="215">
        <v>315</v>
      </c>
      <c r="G1262" s="203">
        <v>0</v>
      </c>
      <c r="H1262" s="215">
        <f>H1263+H1265</f>
        <v>315</v>
      </c>
      <c r="I1262" s="203">
        <f>I1263+I1265</f>
        <v>0</v>
      </c>
      <c r="J1262" s="216">
        <f t="shared" si="324"/>
        <v>0</v>
      </c>
      <c r="K1262" s="204">
        <f t="shared" si="325"/>
        <v>0</v>
      </c>
    </row>
    <row r="1263" spans="1:11" ht="33.75" x14ac:dyDescent="0.2">
      <c r="A1263" s="202" t="s">
        <v>1348</v>
      </c>
      <c r="B1263" s="209" t="s">
        <v>532</v>
      </c>
      <c r="C1263" s="209" t="s">
        <v>502</v>
      </c>
      <c r="D1263" s="209" t="s">
        <v>561</v>
      </c>
      <c r="E1263" s="209" t="s">
        <v>556</v>
      </c>
      <c r="F1263" s="215">
        <v>135</v>
      </c>
      <c r="G1263" s="203">
        <v>0</v>
      </c>
      <c r="H1263" s="215">
        <f>H1264</f>
        <v>135</v>
      </c>
      <c r="I1263" s="203">
        <f>I1264</f>
        <v>0</v>
      </c>
      <c r="J1263" s="216">
        <f t="shared" si="324"/>
        <v>0</v>
      </c>
      <c r="K1263" s="204">
        <f t="shared" si="325"/>
        <v>0</v>
      </c>
    </row>
    <row r="1264" spans="1:11" x14ac:dyDescent="0.2">
      <c r="A1264" s="202" t="s">
        <v>555</v>
      </c>
      <c r="B1264" s="209" t="s">
        <v>532</v>
      </c>
      <c r="C1264" s="209" t="s">
        <v>502</v>
      </c>
      <c r="D1264" s="209" t="s">
        <v>561</v>
      </c>
      <c r="E1264" s="209" t="s">
        <v>554</v>
      </c>
      <c r="F1264" s="215">
        <v>135</v>
      </c>
      <c r="G1264" s="203">
        <v>0</v>
      </c>
      <c r="H1264" s="215">
        <f>'Ведомственная 2020'!H1457</f>
        <v>135</v>
      </c>
      <c r="I1264" s="203">
        <v>0</v>
      </c>
      <c r="J1264" s="216">
        <f t="shared" si="324"/>
        <v>0</v>
      </c>
      <c r="K1264" s="204">
        <f t="shared" si="325"/>
        <v>0</v>
      </c>
    </row>
    <row r="1265" spans="1:11" x14ac:dyDescent="0.2">
      <c r="A1265" s="202" t="s">
        <v>1347</v>
      </c>
      <c r="B1265" s="209" t="s">
        <v>532</v>
      </c>
      <c r="C1265" s="209" t="s">
        <v>502</v>
      </c>
      <c r="D1265" s="209" t="s">
        <v>561</v>
      </c>
      <c r="E1265" s="209" t="s">
        <v>535</v>
      </c>
      <c r="F1265" s="215">
        <v>180</v>
      </c>
      <c r="G1265" s="203">
        <v>0</v>
      </c>
      <c r="H1265" s="215">
        <f>H1266</f>
        <v>180</v>
      </c>
      <c r="I1265" s="203">
        <f>I1266</f>
        <v>0</v>
      </c>
      <c r="J1265" s="216">
        <f t="shared" si="324"/>
        <v>0</v>
      </c>
      <c r="K1265" s="204">
        <f t="shared" si="325"/>
        <v>0</v>
      </c>
    </row>
    <row r="1266" spans="1:11" ht="22.5" x14ac:dyDescent="0.2">
      <c r="A1266" s="202" t="s">
        <v>534</v>
      </c>
      <c r="B1266" s="209" t="s">
        <v>532</v>
      </c>
      <c r="C1266" s="209" t="s">
        <v>502</v>
      </c>
      <c r="D1266" s="209" t="s">
        <v>561</v>
      </c>
      <c r="E1266" s="209" t="s">
        <v>529</v>
      </c>
      <c r="F1266" s="215">
        <v>180</v>
      </c>
      <c r="G1266" s="203">
        <v>0</v>
      </c>
      <c r="H1266" s="215">
        <f>'Ведомственная 2020'!H1459</f>
        <v>180</v>
      </c>
      <c r="I1266" s="203">
        <v>0</v>
      </c>
      <c r="J1266" s="216">
        <f t="shared" si="324"/>
        <v>0</v>
      </c>
      <c r="K1266" s="204">
        <f t="shared" si="325"/>
        <v>0</v>
      </c>
    </row>
    <row r="1267" spans="1:11" x14ac:dyDescent="0.2">
      <c r="A1267" s="202" t="s">
        <v>542</v>
      </c>
      <c r="B1267" s="209" t="s">
        <v>532</v>
      </c>
      <c r="C1267" s="209" t="s">
        <v>502</v>
      </c>
      <c r="D1267" s="209" t="s">
        <v>541</v>
      </c>
      <c r="E1267" s="209"/>
      <c r="F1267" s="215">
        <v>46015</v>
      </c>
      <c r="G1267" s="203">
        <v>0</v>
      </c>
      <c r="H1267" s="215">
        <f>H1268</f>
        <v>40468.5</v>
      </c>
      <c r="I1267" s="203">
        <f>I1268</f>
        <v>0</v>
      </c>
      <c r="J1267" s="216">
        <f t="shared" si="324"/>
        <v>-5546.5</v>
      </c>
      <c r="K1267" s="204">
        <f t="shared" si="325"/>
        <v>0</v>
      </c>
    </row>
    <row r="1268" spans="1:11" x14ac:dyDescent="0.2">
      <c r="A1268" s="202" t="s">
        <v>560</v>
      </c>
      <c r="B1268" s="209" t="s">
        <v>532</v>
      </c>
      <c r="C1268" s="209" t="s">
        <v>502</v>
      </c>
      <c r="D1268" s="209" t="s">
        <v>559</v>
      </c>
      <c r="E1268" s="209"/>
      <c r="F1268" s="215">
        <v>46015</v>
      </c>
      <c r="G1268" s="203">
        <v>0</v>
      </c>
      <c r="H1268" s="215">
        <f>H1269</f>
        <v>40468.5</v>
      </c>
      <c r="I1268" s="203">
        <f>I1269</f>
        <v>0</v>
      </c>
      <c r="J1268" s="216">
        <f t="shared" si="324"/>
        <v>-5546.5</v>
      </c>
      <c r="K1268" s="204">
        <f t="shared" si="325"/>
        <v>0</v>
      </c>
    </row>
    <row r="1269" spans="1:11" ht="22.5" x14ac:dyDescent="0.2">
      <c r="A1269" s="202" t="s">
        <v>558</v>
      </c>
      <c r="B1269" s="209" t="s">
        <v>532</v>
      </c>
      <c r="C1269" s="209" t="s">
        <v>502</v>
      </c>
      <c r="D1269" s="209" t="s">
        <v>557</v>
      </c>
      <c r="E1269" s="209"/>
      <c r="F1269" s="215">
        <v>46015</v>
      </c>
      <c r="G1269" s="203">
        <v>0</v>
      </c>
      <c r="H1269" s="215">
        <f>H1270+H1277</f>
        <v>40468.5</v>
      </c>
      <c r="I1269" s="203">
        <f>I1270+I1277</f>
        <v>0</v>
      </c>
      <c r="J1269" s="216">
        <f t="shared" si="324"/>
        <v>-5546.5</v>
      </c>
      <c r="K1269" s="204">
        <f t="shared" si="325"/>
        <v>0</v>
      </c>
    </row>
    <row r="1270" spans="1:11" ht="22.5" x14ac:dyDescent="0.2">
      <c r="A1270" s="202" t="s">
        <v>1641</v>
      </c>
      <c r="B1270" s="209" t="s">
        <v>532</v>
      </c>
      <c r="C1270" s="209" t="s">
        <v>502</v>
      </c>
      <c r="D1270" s="209" t="s">
        <v>550</v>
      </c>
      <c r="E1270" s="209"/>
      <c r="F1270" s="215">
        <v>3465</v>
      </c>
      <c r="G1270" s="203">
        <v>0</v>
      </c>
      <c r="H1270" s="215">
        <f>H1271+H1273+H1275</f>
        <v>3465</v>
      </c>
      <c r="I1270" s="203">
        <f>I1271+I1273+I1275</f>
        <v>0</v>
      </c>
      <c r="J1270" s="216">
        <f t="shared" si="324"/>
        <v>0</v>
      </c>
      <c r="K1270" s="204">
        <f t="shared" si="325"/>
        <v>0</v>
      </c>
    </row>
    <row r="1271" spans="1:11" ht="33.75" x14ac:dyDescent="0.2">
      <c r="A1271" s="202" t="s">
        <v>1348</v>
      </c>
      <c r="B1271" s="209" t="s">
        <v>532</v>
      </c>
      <c r="C1271" s="209" t="s">
        <v>502</v>
      </c>
      <c r="D1271" s="209" t="s">
        <v>550</v>
      </c>
      <c r="E1271" s="209" t="s">
        <v>556</v>
      </c>
      <c r="F1271" s="215">
        <v>1015</v>
      </c>
      <c r="G1271" s="203">
        <v>0</v>
      </c>
      <c r="H1271" s="215">
        <f>H1272</f>
        <v>1015</v>
      </c>
      <c r="I1271" s="203">
        <f>I1272</f>
        <v>0</v>
      </c>
      <c r="J1271" s="216">
        <f t="shared" si="324"/>
        <v>0</v>
      </c>
      <c r="K1271" s="204">
        <f t="shared" si="325"/>
        <v>0</v>
      </c>
    </row>
    <row r="1272" spans="1:11" x14ac:dyDescent="0.2">
      <c r="A1272" s="202" t="s">
        <v>555</v>
      </c>
      <c r="B1272" s="209" t="s">
        <v>532</v>
      </c>
      <c r="C1272" s="209" t="s">
        <v>502</v>
      </c>
      <c r="D1272" s="209" t="s">
        <v>550</v>
      </c>
      <c r="E1272" s="209" t="s">
        <v>554</v>
      </c>
      <c r="F1272" s="215">
        <v>1015</v>
      </c>
      <c r="G1272" s="203">
        <v>0</v>
      </c>
      <c r="H1272" s="215">
        <f>'Ведомственная 2020'!H1465</f>
        <v>1015</v>
      </c>
      <c r="I1272" s="203">
        <v>0</v>
      </c>
      <c r="J1272" s="216">
        <f t="shared" si="324"/>
        <v>0</v>
      </c>
      <c r="K1272" s="204">
        <f t="shared" si="325"/>
        <v>0</v>
      </c>
    </row>
    <row r="1273" spans="1:11" x14ac:dyDescent="0.2">
      <c r="A1273" s="202" t="s">
        <v>1347</v>
      </c>
      <c r="B1273" s="209" t="s">
        <v>532</v>
      </c>
      <c r="C1273" s="209" t="s">
        <v>502</v>
      </c>
      <c r="D1273" s="209" t="s">
        <v>550</v>
      </c>
      <c r="E1273" s="209" t="s">
        <v>535</v>
      </c>
      <c r="F1273" s="215">
        <v>1550</v>
      </c>
      <c r="G1273" s="203">
        <v>0</v>
      </c>
      <c r="H1273" s="215">
        <f>H1274</f>
        <v>1550</v>
      </c>
      <c r="I1273" s="203">
        <f>I1274</f>
        <v>0</v>
      </c>
      <c r="J1273" s="216">
        <f t="shared" si="324"/>
        <v>0</v>
      </c>
      <c r="K1273" s="204">
        <f t="shared" si="325"/>
        <v>0</v>
      </c>
    </row>
    <row r="1274" spans="1:11" ht="22.5" x14ac:dyDescent="0.2">
      <c r="A1274" s="202" t="s">
        <v>534</v>
      </c>
      <c r="B1274" s="209" t="s">
        <v>532</v>
      </c>
      <c r="C1274" s="209" t="s">
        <v>502</v>
      </c>
      <c r="D1274" s="209" t="s">
        <v>550</v>
      </c>
      <c r="E1274" s="209" t="s">
        <v>529</v>
      </c>
      <c r="F1274" s="215">
        <v>1550</v>
      </c>
      <c r="G1274" s="203">
        <v>0</v>
      </c>
      <c r="H1274" s="215">
        <f>'Ведомственная 2020'!H1467</f>
        <v>1550</v>
      </c>
      <c r="I1274" s="203">
        <v>0</v>
      </c>
      <c r="J1274" s="216">
        <f t="shared" si="324"/>
        <v>0</v>
      </c>
      <c r="K1274" s="204">
        <f t="shared" si="325"/>
        <v>0</v>
      </c>
    </row>
    <row r="1275" spans="1:11" x14ac:dyDescent="0.2">
      <c r="A1275" s="202" t="s">
        <v>553</v>
      </c>
      <c r="B1275" s="209" t="s">
        <v>532</v>
      </c>
      <c r="C1275" s="209" t="s">
        <v>502</v>
      </c>
      <c r="D1275" s="209" t="s">
        <v>550</v>
      </c>
      <c r="E1275" s="209" t="s">
        <v>552</v>
      </c>
      <c r="F1275" s="215">
        <v>900</v>
      </c>
      <c r="G1275" s="203">
        <v>0</v>
      </c>
      <c r="H1275" s="215">
        <f>H1276</f>
        <v>900</v>
      </c>
      <c r="I1275" s="203">
        <f>I1276</f>
        <v>0</v>
      </c>
      <c r="J1275" s="216">
        <f t="shared" si="324"/>
        <v>0</v>
      </c>
      <c r="K1275" s="204">
        <f t="shared" si="325"/>
        <v>0</v>
      </c>
    </row>
    <row r="1276" spans="1:11" x14ac:dyDescent="0.2">
      <c r="A1276" s="202" t="s">
        <v>551</v>
      </c>
      <c r="B1276" s="209" t="s">
        <v>532</v>
      </c>
      <c r="C1276" s="209" t="s">
        <v>502</v>
      </c>
      <c r="D1276" s="209" t="s">
        <v>550</v>
      </c>
      <c r="E1276" s="209" t="s">
        <v>549</v>
      </c>
      <c r="F1276" s="215">
        <v>900</v>
      </c>
      <c r="G1276" s="203">
        <v>0</v>
      </c>
      <c r="H1276" s="215">
        <f>'Ведомственная 2020'!H1469</f>
        <v>900</v>
      </c>
      <c r="I1276" s="203">
        <v>0</v>
      </c>
      <c r="J1276" s="216">
        <f t="shared" si="324"/>
        <v>0</v>
      </c>
      <c r="K1276" s="204">
        <f t="shared" si="325"/>
        <v>0</v>
      </c>
    </row>
    <row r="1277" spans="1:11" ht="22.5" x14ac:dyDescent="0.2">
      <c r="A1277" s="202" t="s">
        <v>548</v>
      </c>
      <c r="B1277" s="209" t="s">
        <v>532</v>
      </c>
      <c r="C1277" s="209" t="s">
        <v>502</v>
      </c>
      <c r="D1277" s="209" t="s">
        <v>545</v>
      </c>
      <c r="E1277" s="209"/>
      <c r="F1277" s="215">
        <v>42550</v>
      </c>
      <c r="G1277" s="203">
        <v>0</v>
      </c>
      <c r="H1277" s="215">
        <f>H1278</f>
        <v>37003.5</v>
      </c>
      <c r="I1277" s="203">
        <f>I1278</f>
        <v>0</v>
      </c>
      <c r="J1277" s="216">
        <f t="shared" si="324"/>
        <v>-5546.5</v>
      </c>
      <c r="K1277" s="204">
        <f t="shared" si="325"/>
        <v>0</v>
      </c>
    </row>
    <row r="1278" spans="1:11" ht="22.5" x14ac:dyDescent="0.2">
      <c r="A1278" s="202" t="s">
        <v>547</v>
      </c>
      <c r="B1278" s="209" t="s">
        <v>532</v>
      </c>
      <c r="C1278" s="209" t="s">
        <v>502</v>
      </c>
      <c r="D1278" s="209" t="s">
        <v>545</v>
      </c>
      <c r="E1278" s="209" t="s">
        <v>519</v>
      </c>
      <c r="F1278" s="215">
        <v>42550</v>
      </c>
      <c r="G1278" s="203">
        <v>0</v>
      </c>
      <c r="H1278" s="215">
        <f>H1279</f>
        <v>37003.5</v>
      </c>
      <c r="I1278" s="203">
        <f>I1279</f>
        <v>0</v>
      </c>
      <c r="J1278" s="216">
        <f t="shared" si="324"/>
        <v>-5546.5</v>
      </c>
      <c r="K1278" s="204">
        <f t="shared" si="325"/>
        <v>0</v>
      </c>
    </row>
    <row r="1279" spans="1:11" x14ac:dyDescent="0.2">
      <c r="A1279" s="202" t="s">
        <v>546</v>
      </c>
      <c r="B1279" s="209" t="s">
        <v>532</v>
      </c>
      <c r="C1279" s="209" t="s">
        <v>502</v>
      </c>
      <c r="D1279" s="209" t="s">
        <v>545</v>
      </c>
      <c r="E1279" s="209" t="s">
        <v>544</v>
      </c>
      <c r="F1279" s="215">
        <v>42550</v>
      </c>
      <c r="G1279" s="203">
        <v>0</v>
      </c>
      <c r="H1279" s="215">
        <f>'Ведомственная 2020'!H1472</f>
        <v>37003.5</v>
      </c>
      <c r="I1279" s="203">
        <v>0</v>
      </c>
      <c r="J1279" s="216">
        <f t="shared" si="324"/>
        <v>-5546.5</v>
      </c>
      <c r="K1279" s="204">
        <f t="shared" si="325"/>
        <v>0</v>
      </c>
    </row>
    <row r="1280" spans="1:11" x14ac:dyDescent="0.2">
      <c r="A1280" s="202" t="s">
        <v>543</v>
      </c>
      <c r="B1280" s="209" t="s">
        <v>532</v>
      </c>
      <c r="C1280" s="209" t="s">
        <v>531</v>
      </c>
      <c r="D1280" s="209"/>
      <c r="E1280" s="209"/>
      <c r="F1280" s="215">
        <v>1600</v>
      </c>
      <c r="G1280" s="203">
        <v>0</v>
      </c>
      <c r="H1280" s="215">
        <f t="shared" ref="H1280:I1283" si="335">H1281</f>
        <v>1600</v>
      </c>
      <c r="I1280" s="203">
        <f t="shared" si="335"/>
        <v>0</v>
      </c>
      <c r="J1280" s="216">
        <f t="shared" si="324"/>
        <v>0</v>
      </c>
      <c r="K1280" s="204">
        <f t="shared" si="325"/>
        <v>0</v>
      </c>
    </row>
    <row r="1281" spans="1:11" x14ac:dyDescent="0.2">
      <c r="A1281" s="202" t="s">
        <v>542</v>
      </c>
      <c r="B1281" s="209" t="s">
        <v>532</v>
      </c>
      <c r="C1281" s="209" t="s">
        <v>531</v>
      </c>
      <c r="D1281" s="209" t="s">
        <v>541</v>
      </c>
      <c r="E1281" s="209"/>
      <c r="F1281" s="215">
        <v>1600</v>
      </c>
      <c r="G1281" s="203">
        <v>0</v>
      </c>
      <c r="H1281" s="215">
        <f>H1282</f>
        <v>1600</v>
      </c>
      <c r="I1281" s="203">
        <f>I1282</f>
        <v>0</v>
      </c>
      <c r="J1281" s="216">
        <f t="shared" si="324"/>
        <v>0</v>
      </c>
      <c r="K1281" s="204">
        <f t="shared" si="325"/>
        <v>0</v>
      </c>
    </row>
    <row r="1282" spans="1:11" x14ac:dyDescent="0.2">
      <c r="A1282" s="202" t="s">
        <v>540</v>
      </c>
      <c r="B1282" s="209" t="s">
        <v>532</v>
      </c>
      <c r="C1282" s="209" t="s">
        <v>531</v>
      </c>
      <c r="D1282" s="209" t="s">
        <v>539</v>
      </c>
      <c r="E1282" s="209"/>
      <c r="F1282" s="215">
        <v>1600</v>
      </c>
      <c r="G1282" s="203">
        <v>0</v>
      </c>
      <c r="H1282" s="215">
        <f t="shared" si="335"/>
        <v>1600</v>
      </c>
      <c r="I1282" s="203">
        <f t="shared" si="335"/>
        <v>0</v>
      </c>
      <c r="J1282" s="216">
        <f t="shared" si="324"/>
        <v>0</v>
      </c>
      <c r="K1282" s="204">
        <f t="shared" si="325"/>
        <v>0</v>
      </c>
    </row>
    <row r="1283" spans="1:11" x14ac:dyDescent="0.2">
      <c r="A1283" s="202" t="s">
        <v>538</v>
      </c>
      <c r="B1283" s="209" t="s">
        <v>532</v>
      </c>
      <c r="C1283" s="209" t="s">
        <v>531</v>
      </c>
      <c r="D1283" s="209" t="s">
        <v>537</v>
      </c>
      <c r="E1283" s="209"/>
      <c r="F1283" s="215">
        <v>1600</v>
      </c>
      <c r="G1283" s="203">
        <v>0</v>
      </c>
      <c r="H1283" s="215">
        <f t="shared" si="335"/>
        <v>1600</v>
      </c>
      <c r="I1283" s="203">
        <f t="shared" si="335"/>
        <v>0</v>
      </c>
      <c r="J1283" s="216">
        <f t="shared" si="324"/>
        <v>0</v>
      </c>
      <c r="K1283" s="204">
        <f t="shared" si="325"/>
        <v>0</v>
      </c>
    </row>
    <row r="1284" spans="1:11" ht="33.75" x14ac:dyDescent="0.2">
      <c r="A1284" s="202" t="s">
        <v>536</v>
      </c>
      <c r="B1284" s="209" t="s">
        <v>532</v>
      </c>
      <c r="C1284" s="209" t="s">
        <v>531</v>
      </c>
      <c r="D1284" s="209" t="s">
        <v>530</v>
      </c>
      <c r="E1284" s="209"/>
      <c r="F1284" s="215">
        <v>1600</v>
      </c>
      <c r="G1284" s="203">
        <v>0</v>
      </c>
      <c r="H1284" s="215">
        <f>H1285</f>
        <v>1600</v>
      </c>
      <c r="I1284" s="203">
        <v>0</v>
      </c>
      <c r="J1284" s="216">
        <f t="shared" si="324"/>
        <v>0</v>
      </c>
      <c r="K1284" s="204">
        <f t="shared" si="325"/>
        <v>0</v>
      </c>
    </row>
    <row r="1285" spans="1:11" s="302" customFormat="1" ht="22.5" x14ac:dyDescent="0.2">
      <c r="A1285" s="202" t="s">
        <v>547</v>
      </c>
      <c r="B1285" s="209" t="s">
        <v>532</v>
      </c>
      <c r="C1285" s="209" t="s">
        <v>531</v>
      </c>
      <c r="D1285" s="209" t="s">
        <v>530</v>
      </c>
      <c r="E1285" s="209">
        <v>600</v>
      </c>
      <c r="F1285" s="215">
        <v>1600</v>
      </c>
      <c r="G1285" s="203">
        <v>0</v>
      </c>
      <c r="H1285" s="215">
        <f>H1286</f>
        <v>1600</v>
      </c>
      <c r="I1285" s="203">
        <f>I1286</f>
        <v>0</v>
      </c>
      <c r="J1285" s="216">
        <f t="shared" ref="J1285:J1286" si="336">H1285-F1285</f>
        <v>0</v>
      </c>
      <c r="K1285" s="204">
        <f t="shared" ref="K1285:K1286" si="337">I1285-G1285</f>
        <v>0</v>
      </c>
    </row>
    <row r="1286" spans="1:11" s="302" customFormat="1" x14ac:dyDescent="0.2">
      <c r="A1286" s="202" t="s">
        <v>571</v>
      </c>
      <c r="B1286" s="209" t="s">
        <v>532</v>
      </c>
      <c r="C1286" s="209" t="s">
        <v>531</v>
      </c>
      <c r="D1286" s="209" t="s">
        <v>530</v>
      </c>
      <c r="E1286" s="209">
        <v>610</v>
      </c>
      <c r="F1286" s="215">
        <v>1600</v>
      </c>
      <c r="G1286" s="203">
        <v>0</v>
      </c>
      <c r="H1286" s="215">
        <f>'Ведомственная 2020'!H1479</f>
        <v>1600</v>
      </c>
      <c r="I1286" s="203">
        <v>0</v>
      </c>
      <c r="J1286" s="216">
        <f t="shared" si="336"/>
        <v>0</v>
      </c>
      <c r="K1286" s="204">
        <f t="shared" si="337"/>
        <v>0</v>
      </c>
    </row>
    <row r="1287" spans="1:11" s="97" customFormat="1" x14ac:dyDescent="0.2">
      <c r="A1287" s="199" t="s">
        <v>813</v>
      </c>
      <c r="B1287" s="212" t="s">
        <v>783</v>
      </c>
      <c r="C1287" s="212"/>
      <c r="D1287" s="212"/>
      <c r="E1287" s="212"/>
      <c r="F1287" s="213">
        <v>99728.6</v>
      </c>
      <c r="G1287" s="200">
        <v>0</v>
      </c>
      <c r="H1287" s="213">
        <f>H1288+H1298+H1314</f>
        <v>112430.5</v>
      </c>
      <c r="I1287" s="200">
        <f>I1288+I1298+I1314</f>
        <v>0</v>
      </c>
      <c r="J1287" s="214">
        <f t="shared" si="324"/>
        <v>12701.899999999994</v>
      </c>
      <c r="K1287" s="201">
        <f t="shared" si="325"/>
        <v>0</v>
      </c>
    </row>
    <row r="1288" spans="1:11" s="97" customFormat="1" x14ac:dyDescent="0.2">
      <c r="A1288" s="202" t="s">
        <v>812</v>
      </c>
      <c r="B1288" s="209" t="s">
        <v>783</v>
      </c>
      <c r="C1288" s="209" t="s">
        <v>498</v>
      </c>
      <c r="D1288" s="209"/>
      <c r="E1288" s="209"/>
      <c r="F1288" s="215">
        <v>34882.200000000004</v>
      </c>
      <c r="G1288" s="203">
        <v>0</v>
      </c>
      <c r="H1288" s="215">
        <f t="shared" ref="H1288:I1290" si="338">H1289</f>
        <v>37985</v>
      </c>
      <c r="I1288" s="203">
        <f t="shared" si="338"/>
        <v>0</v>
      </c>
      <c r="J1288" s="216">
        <f t="shared" si="324"/>
        <v>3102.7999999999956</v>
      </c>
      <c r="K1288" s="204">
        <f t="shared" si="325"/>
        <v>0</v>
      </c>
    </row>
    <row r="1289" spans="1:11" ht="22.5" x14ac:dyDescent="0.2">
      <c r="A1289" s="202" t="s">
        <v>588</v>
      </c>
      <c r="B1289" s="209" t="s">
        <v>783</v>
      </c>
      <c r="C1289" s="209" t="s">
        <v>498</v>
      </c>
      <c r="D1289" s="209" t="s">
        <v>587</v>
      </c>
      <c r="E1289" s="209"/>
      <c r="F1289" s="215">
        <v>34882.200000000004</v>
      </c>
      <c r="G1289" s="203">
        <v>0</v>
      </c>
      <c r="H1289" s="215">
        <f t="shared" si="338"/>
        <v>37985</v>
      </c>
      <c r="I1289" s="203">
        <f t="shared" si="338"/>
        <v>0</v>
      </c>
      <c r="J1289" s="216">
        <f t="shared" si="324"/>
        <v>3102.7999999999956</v>
      </c>
      <c r="K1289" s="204">
        <f t="shared" si="325"/>
        <v>0</v>
      </c>
    </row>
    <row r="1290" spans="1:11" ht="33.75" x14ac:dyDescent="0.2">
      <c r="A1290" s="202" t="s">
        <v>807</v>
      </c>
      <c r="B1290" s="209" t="s">
        <v>783</v>
      </c>
      <c r="C1290" s="209" t="s">
        <v>498</v>
      </c>
      <c r="D1290" s="209" t="s">
        <v>806</v>
      </c>
      <c r="E1290" s="209"/>
      <c r="F1290" s="215">
        <v>34882.200000000004</v>
      </c>
      <c r="G1290" s="203">
        <v>0</v>
      </c>
      <c r="H1290" s="215">
        <f t="shared" si="338"/>
        <v>37985</v>
      </c>
      <c r="I1290" s="203">
        <f t="shared" si="338"/>
        <v>0</v>
      </c>
      <c r="J1290" s="216">
        <f t="shared" si="324"/>
        <v>3102.7999999999956</v>
      </c>
      <c r="K1290" s="204">
        <f t="shared" si="325"/>
        <v>0</v>
      </c>
    </row>
    <row r="1291" spans="1:11" ht="22.5" x14ac:dyDescent="0.2">
      <c r="A1291" s="202" t="s">
        <v>805</v>
      </c>
      <c r="B1291" s="209" t="s">
        <v>783</v>
      </c>
      <c r="C1291" s="209" t="s">
        <v>498</v>
      </c>
      <c r="D1291" s="209" t="s">
        <v>804</v>
      </c>
      <c r="E1291" s="209"/>
      <c r="F1291" s="215">
        <v>34882.200000000004</v>
      </c>
      <c r="G1291" s="203">
        <v>0</v>
      </c>
      <c r="H1291" s="215">
        <f>H1292+H1295</f>
        <v>37985</v>
      </c>
      <c r="I1291" s="203">
        <f>I1292+I1295</f>
        <v>0</v>
      </c>
      <c r="J1291" s="216">
        <f t="shared" si="324"/>
        <v>3102.7999999999956</v>
      </c>
      <c r="K1291" s="204">
        <f t="shared" si="325"/>
        <v>0</v>
      </c>
    </row>
    <row r="1292" spans="1:11" ht="67.5" x14ac:dyDescent="0.2">
      <c r="A1292" s="202" t="s">
        <v>803</v>
      </c>
      <c r="B1292" s="209" t="s">
        <v>783</v>
      </c>
      <c r="C1292" s="209" t="s">
        <v>498</v>
      </c>
      <c r="D1292" s="209" t="s">
        <v>802</v>
      </c>
      <c r="E1292" s="209"/>
      <c r="F1292" s="215">
        <v>884.1</v>
      </c>
      <c r="G1292" s="203">
        <v>0</v>
      </c>
      <c r="H1292" s="215">
        <f>H1293</f>
        <v>884.1</v>
      </c>
      <c r="I1292" s="203">
        <f>I1293</f>
        <v>0</v>
      </c>
      <c r="J1292" s="216">
        <f t="shared" si="324"/>
        <v>0</v>
      </c>
      <c r="K1292" s="204">
        <f t="shared" si="325"/>
        <v>0</v>
      </c>
    </row>
    <row r="1293" spans="1:11" x14ac:dyDescent="0.2">
      <c r="A1293" s="202" t="s">
        <v>1347</v>
      </c>
      <c r="B1293" s="209" t="s">
        <v>783</v>
      </c>
      <c r="C1293" s="209" t="s">
        <v>498</v>
      </c>
      <c r="D1293" s="209" t="s">
        <v>802</v>
      </c>
      <c r="E1293" s="209" t="s">
        <v>535</v>
      </c>
      <c r="F1293" s="215">
        <v>884.1</v>
      </c>
      <c r="G1293" s="203">
        <v>0</v>
      </c>
      <c r="H1293" s="215">
        <f>H1294</f>
        <v>884.1</v>
      </c>
      <c r="I1293" s="203">
        <f>I1294</f>
        <v>0</v>
      </c>
      <c r="J1293" s="216">
        <f t="shared" si="324"/>
        <v>0</v>
      </c>
      <c r="K1293" s="204">
        <f t="shared" si="325"/>
        <v>0</v>
      </c>
    </row>
    <row r="1294" spans="1:11" ht="22.5" x14ac:dyDescent="0.2">
      <c r="A1294" s="202" t="s">
        <v>534</v>
      </c>
      <c r="B1294" s="209" t="s">
        <v>783</v>
      </c>
      <c r="C1294" s="209" t="s">
        <v>498</v>
      </c>
      <c r="D1294" s="209" t="s">
        <v>802</v>
      </c>
      <c r="E1294" s="209" t="s">
        <v>529</v>
      </c>
      <c r="F1294" s="215">
        <v>884.1</v>
      </c>
      <c r="G1294" s="203">
        <v>0</v>
      </c>
      <c r="H1294" s="215">
        <f>'Ведомственная 2020'!H1007</f>
        <v>884.1</v>
      </c>
      <c r="I1294" s="203">
        <v>0</v>
      </c>
      <c r="J1294" s="216">
        <f t="shared" si="324"/>
        <v>0</v>
      </c>
      <c r="K1294" s="204">
        <f t="shared" si="325"/>
        <v>0</v>
      </c>
    </row>
    <row r="1295" spans="1:11" ht="78.75" x14ac:dyDescent="0.2">
      <c r="A1295" s="202" t="s">
        <v>801</v>
      </c>
      <c r="B1295" s="209" t="s">
        <v>783</v>
      </c>
      <c r="C1295" s="209" t="s">
        <v>498</v>
      </c>
      <c r="D1295" s="209" t="s">
        <v>800</v>
      </c>
      <c r="E1295" s="209"/>
      <c r="F1295" s="215">
        <v>33998.100000000006</v>
      </c>
      <c r="G1295" s="203">
        <v>0</v>
      </c>
      <c r="H1295" s="215">
        <f>H1296</f>
        <v>37100.9</v>
      </c>
      <c r="I1295" s="203">
        <f>I1296</f>
        <v>0</v>
      </c>
      <c r="J1295" s="216">
        <f t="shared" si="324"/>
        <v>3102.7999999999956</v>
      </c>
      <c r="K1295" s="204">
        <f t="shared" si="325"/>
        <v>0</v>
      </c>
    </row>
    <row r="1296" spans="1:11" ht="22.5" x14ac:dyDescent="0.2">
      <c r="A1296" s="202" t="s">
        <v>547</v>
      </c>
      <c r="B1296" s="209" t="s">
        <v>783</v>
      </c>
      <c r="C1296" s="209" t="s">
        <v>498</v>
      </c>
      <c r="D1296" s="209" t="s">
        <v>800</v>
      </c>
      <c r="E1296" s="209" t="s">
        <v>519</v>
      </c>
      <c r="F1296" s="215">
        <v>33998.100000000006</v>
      </c>
      <c r="G1296" s="203">
        <v>0</v>
      </c>
      <c r="H1296" s="215">
        <f>H1297</f>
        <v>37100.9</v>
      </c>
      <c r="I1296" s="203">
        <f>I1297</f>
        <v>0</v>
      </c>
      <c r="J1296" s="216">
        <f t="shared" ref="J1296:J1359" si="339">H1296-F1296</f>
        <v>3102.7999999999956</v>
      </c>
      <c r="K1296" s="204">
        <f t="shared" ref="K1296:K1359" si="340">I1296-G1296</f>
        <v>0</v>
      </c>
    </row>
    <row r="1297" spans="1:11" x14ac:dyDescent="0.2">
      <c r="A1297" s="202" t="s">
        <v>546</v>
      </c>
      <c r="B1297" s="209" t="s">
        <v>783</v>
      </c>
      <c r="C1297" s="209" t="s">
        <v>498</v>
      </c>
      <c r="D1297" s="209" t="s">
        <v>800</v>
      </c>
      <c r="E1297" s="209" t="s">
        <v>544</v>
      </c>
      <c r="F1297" s="215">
        <v>33998.100000000006</v>
      </c>
      <c r="G1297" s="203">
        <v>0</v>
      </c>
      <c r="H1297" s="215">
        <f>'Ведомственная 2020'!H1010</f>
        <v>37100.9</v>
      </c>
      <c r="I1297" s="203">
        <v>0</v>
      </c>
      <c r="J1297" s="216">
        <f t="shared" si="339"/>
        <v>3102.7999999999956</v>
      </c>
      <c r="K1297" s="204">
        <f t="shared" si="340"/>
        <v>0</v>
      </c>
    </row>
    <row r="1298" spans="1:11" x14ac:dyDescent="0.2">
      <c r="A1298" s="202" t="s">
        <v>811</v>
      </c>
      <c r="B1298" s="209" t="s">
        <v>783</v>
      </c>
      <c r="C1298" s="209" t="s">
        <v>502</v>
      </c>
      <c r="D1298" s="209"/>
      <c r="E1298" s="209"/>
      <c r="F1298" s="215">
        <v>32055.800000000003</v>
      </c>
      <c r="G1298" s="203">
        <v>0</v>
      </c>
      <c r="H1298" s="215">
        <f>H1305+H1299</f>
        <v>44168.4</v>
      </c>
      <c r="I1298" s="203">
        <f>I1305</f>
        <v>0</v>
      </c>
      <c r="J1298" s="216">
        <f t="shared" si="339"/>
        <v>12112.599999999999</v>
      </c>
      <c r="K1298" s="204">
        <f t="shared" si="340"/>
        <v>0</v>
      </c>
    </row>
    <row r="1299" spans="1:11" s="285" customFormat="1" x14ac:dyDescent="0.2">
      <c r="A1299" s="202" t="s">
        <v>604</v>
      </c>
      <c r="B1299" s="209" t="s">
        <v>783</v>
      </c>
      <c r="C1299" s="209" t="s">
        <v>502</v>
      </c>
      <c r="D1299" s="209" t="s">
        <v>603</v>
      </c>
      <c r="E1299" s="209"/>
      <c r="F1299" s="215">
        <v>2300</v>
      </c>
      <c r="G1299" s="203">
        <v>0</v>
      </c>
      <c r="H1299" s="215">
        <f t="shared" ref="H1299:I1303" si="341">H1300</f>
        <v>2300</v>
      </c>
      <c r="I1299" s="203">
        <f t="shared" si="341"/>
        <v>0</v>
      </c>
      <c r="J1299" s="216">
        <f t="shared" ref="J1299:J1304" si="342">H1299-F1299</f>
        <v>0</v>
      </c>
      <c r="K1299" s="204">
        <f t="shared" ref="K1299:K1304" si="343">I1299-G1299</f>
        <v>0</v>
      </c>
    </row>
    <row r="1300" spans="1:11" s="285" customFormat="1" x14ac:dyDescent="0.2">
      <c r="A1300" s="202" t="s">
        <v>602</v>
      </c>
      <c r="B1300" s="209" t="s">
        <v>783</v>
      </c>
      <c r="C1300" s="209" t="s">
        <v>502</v>
      </c>
      <c r="D1300" s="209" t="s">
        <v>601</v>
      </c>
      <c r="E1300" s="209"/>
      <c r="F1300" s="215">
        <v>2300</v>
      </c>
      <c r="G1300" s="203">
        <v>0</v>
      </c>
      <c r="H1300" s="215">
        <f t="shared" si="341"/>
        <v>2300</v>
      </c>
      <c r="I1300" s="203">
        <f t="shared" si="341"/>
        <v>0</v>
      </c>
      <c r="J1300" s="216">
        <f t="shared" si="342"/>
        <v>0</v>
      </c>
      <c r="K1300" s="204">
        <f t="shared" si="343"/>
        <v>0</v>
      </c>
    </row>
    <row r="1301" spans="1:11" s="285" customFormat="1" ht="22.5" x14ac:dyDescent="0.2">
      <c r="A1301" s="202" t="s">
        <v>600</v>
      </c>
      <c r="B1301" s="209" t="s">
        <v>783</v>
      </c>
      <c r="C1301" s="209" t="s">
        <v>502</v>
      </c>
      <c r="D1301" s="209" t="s">
        <v>599</v>
      </c>
      <c r="E1301" s="209"/>
      <c r="F1301" s="215">
        <v>2300</v>
      </c>
      <c r="G1301" s="203">
        <v>0</v>
      </c>
      <c r="H1301" s="215">
        <f t="shared" si="341"/>
        <v>2300</v>
      </c>
      <c r="I1301" s="203">
        <f t="shared" si="341"/>
        <v>0</v>
      </c>
      <c r="J1301" s="216">
        <f t="shared" si="342"/>
        <v>0</v>
      </c>
      <c r="K1301" s="204">
        <f t="shared" si="343"/>
        <v>0</v>
      </c>
    </row>
    <row r="1302" spans="1:11" s="285" customFormat="1" ht="33.75" x14ac:dyDescent="0.2">
      <c r="A1302" s="202" t="s">
        <v>1391</v>
      </c>
      <c r="B1302" s="209" t="s">
        <v>783</v>
      </c>
      <c r="C1302" s="209" t="s">
        <v>502</v>
      </c>
      <c r="D1302" s="209" t="s">
        <v>1392</v>
      </c>
      <c r="E1302" s="209"/>
      <c r="F1302" s="215">
        <v>2300</v>
      </c>
      <c r="G1302" s="203">
        <v>0</v>
      </c>
      <c r="H1302" s="215">
        <f t="shared" si="341"/>
        <v>2300</v>
      </c>
      <c r="I1302" s="203">
        <f t="shared" si="341"/>
        <v>0</v>
      </c>
      <c r="J1302" s="216">
        <f t="shared" si="342"/>
        <v>0</v>
      </c>
      <c r="K1302" s="204">
        <f t="shared" si="343"/>
        <v>0</v>
      </c>
    </row>
    <row r="1303" spans="1:11" s="285" customFormat="1" ht="22.5" x14ac:dyDescent="0.2">
      <c r="A1303" s="202" t="s">
        <v>547</v>
      </c>
      <c r="B1303" s="209" t="s">
        <v>783</v>
      </c>
      <c r="C1303" s="209" t="s">
        <v>502</v>
      </c>
      <c r="D1303" s="209" t="s">
        <v>1392</v>
      </c>
      <c r="E1303" s="209" t="s">
        <v>519</v>
      </c>
      <c r="F1303" s="215">
        <v>2300</v>
      </c>
      <c r="G1303" s="203">
        <v>0</v>
      </c>
      <c r="H1303" s="215">
        <f t="shared" si="341"/>
        <v>2300</v>
      </c>
      <c r="I1303" s="203">
        <f t="shared" si="341"/>
        <v>0</v>
      </c>
      <c r="J1303" s="216">
        <f t="shared" si="342"/>
        <v>0</v>
      </c>
      <c r="K1303" s="204">
        <f t="shared" si="343"/>
        <v>0</v>
      </c>
    </row>
    <row r="1304" spans="1:11" s="285" customFormat="1" x14ac:dyDescent="0.2">
      <c r="A1304" s="202" t="s">
        <v>546</v>
      </c>
      <c r="B1304" s="209" t="s">
        <v>783</v>
      </c>
      <c r="C1304" s="209" t="s">
        <v>502</v>
      </c>
      <c r="D1304" s="209" t="s">
        <v>1392</v>
      </c>
      <c r="E1304" s="209" t="s">
        <v>544</v>
      </c>
      <c r="F1304" s="215">
        <v>2300</v>
      </c>
      <c r="G1304" s="203">
        <v>0</v>
      </c>
      <c r="H1304" s="215">
        <f>'Ведомственная 2020'!H1017</f>
        <v>2300</v>
      </c>
      <c r="I1304" s="203">
        <v>0</v>
      </c>
      <c r="J1304" s="216">
        <f t="shared" si="342"/>
        <v>0</v>
      </c>
      <c r="K1304" s="204">
        <f t="shared" si="343"/>
        <v>0</v>
      </c>
    </row>
    <row r="1305" spans="1:11" ht="22.5" x14ac:dyDescent="0.2">
      <c r="A1305" s="202" t="s">
        <v>588</v>
      </c>
      <c r="B1305" s="209" t="s">
        <v>783</v>
      </c>
      <c r="C1305" s="209" t="s">
        <v>502</v>
      </c>
      <c r="D1305" s="209" t="s">
        <v>587</v>
      </c>
      <c r="E1305" s="209"/>
      <c r="F1305" s="215">
        <v>29755.800000000003</v>
      </c>
      <c r="G1305" s="203">
        <v>0</v>
      </c>
      <c r="H1305" s="215">
        <f>H1306</f>
        <v>41868.400000000001</v>
      </c>
      <c r="I1305" s="203">
        <f t="shared" ref="H1305:I1306" si="344">I1306</f>
        <v>0</v>
      </c>
      <c r="J1305" s="216">
        <f t="shared" si="339"/>
        <v>12112.599999999999</v>
      </c>
      <c r="K1305" s="204">
        <f t="shared" si="340"/>
        <v>0</v>
      </c>
    </row>
    <row r="1306" spans="1:11" ht="33.75" x14ac:dyDescent="0.2">
      <c r="A1306" s="202" t="s">
        <v>807</v>
      </c>
      <c r="B1306" s="209" t="s">
        <v>783</v>
      </c>
      <c r="C1306" s="209" t="s">
        <v>502</v>
      </c>
      <c r="D1306" s="209" t="s">
        <v>806</v>
      </c>
      <c r="E1306" s="209"/>
      <c r="F1306" s="215">
        <v>29755.800000000003</v>
      </c>
      <c r="G1306" s="203">
        <v>0</v>
      </c>
      <c r="H1306" s="215">
        <f t="shared" si="344"/>
        <v>41868.400000000001</v>
      </c>
      <c r="I1306" s="203">
        <f t="shared" si="344"/>
        <v>0</v>
      </c>
      <c r="J1306" s="216">
        <f t="shared" si="339"/>
        <v>12112.599999999999</v>
      </c>
      <c r="K1306" s="204">
        <f t="shared" si="340"/>
        <v>0</v>
      </c>
    </row>
    <row r="1307" spans="1:11" ht="22.5" x14ac:dyDescent="0.2">
      <c r="A1307" s="202" t="s">
        <v>805</v>
      </c>
      <c r="B1307" s="209" t="s">
        <v>783</v>
      </c>
      <c r="C1307" s="209" t="s">
        <v>502</v>
      </c>
      <c r="D1307" s="209" t="s">
        <v>804</v>
      </c>
      <c r="E1307" s="209"/>
      <c r="F1307" s="215">
        <v>29755.800000000003</v>
      </c>
      <c r="G1307" s="203">
        <v>0</v>
      </c>
      <c r="H1307" s="215">
        <f>H1308+H1311</f>
        <v>41868.400000000001</v>
      </c>
      <c r="I1307" s="203">
        <f>I1308+I1311</f>
        <v>0</v>
      </c>
      <c r="J1307" s="216">
        <f t="shared" si="339"/>
        <v>12112.599999999999</v>
      </c>
      <c r="K1307" s="204">
        <f t="shared" si="340"/>
        <v>0</v>
      </c>
    </row>
    <row r="1308" spans="1:11" ht="67.5" x14ac:dyDescent="0.2">
      <c r="A1308" s="202" t="s">
        <v>803</v>
      </c>
      <c r="B1308" s="209" t="s">
        <v>783</v>
      </c>
      <c r="C1308" s="209" t="s">
        <v>502</v>
      </c>
      <c r="D1308" s="209" t="s">
        <v>802</v>
      </c>
      <c r="E1308" s="209"/>
      <c r="F1308" s="215">
        <v>7959.8000000000011</v>
      </c>
      <c r="G1308" s="203">
        <v>0</v>
      </c>
      <c r="H1308" s="215">
        <f>H1309</f>
        <v>14639.400000000001</v>
      </c>
      <c r="I1308" s="203">
        <f>I1309</f>
        <v>0</v>
      </c>
      <c r="J1308" s="216">
        <f t="shared" si="339"/>
        <v>6679.6</v>
      </c>
      <c r="K1308" s="204">
        <f t="shared" si="340"/>
        <v>0</v>
      </c>
    </row>
    <row r="1309" spans="1:11" x14ac:dyDescent="0.2">
      <c r="A1309" s="202" t="s">
        <v>1347</v>
      </c>
      <c r="B1309" s="209" t="s">
        <v>783</v>
      </c>
      <c r="C1309" s="209" t="s">
        <v>502</v>
      </c>
      <c r="D1309" s="209" t="s">
        <v>802</v>
      </c>
      <c r="E1309" s="209" t="s">
        <v>535</v>
      </c>
      <c r="F1309" s="215">
        <v>7959.8000000000011</v>
      </c>
      <c r="G1309" s="203">
        <v>0</v>
      </c>
      <c r="H1309" s="215">
        <f>H1310</f>
        <v>14639.400000000001</v>
      </c>
      <c r="I1309" s="203">
        <f>I1310</f>
        <v>0</v>
      </c>
      <c r="J1309" s="216">
        <f t="shared" si="339"/>
        <v>6679.6</v>
      </c>
      <c r="K1309" s="204">
        <f t="shared" si="340"/>
        <v>0</v>
      </c>
    </row>
    <row r="1310" spans="1:11" ht="22.5" x14ac:dyDescent="0.2">
      <c r="A1310" s="202" t="s">
        <v>534</v>
      </c>
      <c r="B1310" s="209" t="s">
        <v>783</v>
      </c>
      <c r="C1310" s="209" t="s">
        <v>502</v>
      </c>
      <c r="D1310" s="209" t="s">
        <v>802</v>
      </c>
      <c r="E1310" s="209" t="s">
        <v>529</v>
      </c>
      <c r="F1310" s="215">
        <v>7959.8000000000011</v>
      </c>
      <c r="G1310" s="203">
        <v>0</v>
      </c>
      <c r="H1310" s="215">
        <f>'Ведомственная 2020'!H1023</f>
        <v>14639.400000000001</v>
      </c>
      <c r="I1310" s="203">
        <v>0</v>
      </c>
      <c r="J1310" s="216">
        <f t="shared" si="339"/>
        <v>6679.6</v>
      </c>
      <c r="K1310" s="204">
        <f t="shared" si="340"/>
        <v>0</v>
      </c>
    </row>
    <row r="1311" spans="1:11" ht="67.5" x14ac:dyDescent="0.2">
      <c r="A1311" s="202" t="s">
        <v>810</v>
      </c>
      <c r="B1311" s="209" t="s">
        <v>783</v>
      </c>
      <c r="C1311" s="209" t="s">
        <v>502</v>
      </c>
      <c r="D1311" s="209" t="s">
        <v>809</v>
      </c>
      <c r="E1311" s="209"/>
      <c r="F1311" s="215">
        <v>21796</v>
      </c>
      <c r="G1311" s="203">
        <v>0</v>
      </c>
      <c r="H1311" s="215">
        <f>H1312</f>
        <v>27229</v>
      </c>
      <c r="I1311" s="203">
        <f>I1312</f>
        <v>0</v>
      </c>
      <c r="J1311" s="216">
        <f t="shared" si="339"/>
        <v>5433</v>
      </c>
      <c r="K1311" s="204">
        <f t="shared" si="340"/>
        <v>0</v>
      </c>
    </row>
    <row r="1312" spans="1:11" ht="22.5" x14ac:dyDescent="0.2">
      <c r="A1312" s="202" t="s">
        <v>547</v>
      </c>
      <c r="B1312" s="209" t="s">
        <v>783</v>
      </c>
      <c r="C1312" s="209" t="s">
        <v>502</v>
      </c>
      <c r="D1312" s="209" t="s">
        <v>809</v>
      </c>
      <c r="E1312" s="209" t="s">
        <v>519</v>
      </c>
      <c r="F1312" s="215">
        <v>21796</v>
      </c>
      <c r="G1312" s="203">
        <v>0</v>
      </c>
      <c r="H1312" s="215">
        <f>H1313</f>
        <v>27229</v>
      </c>
      <c r="I1312" s="203">
        <f>I1313</f>
        <v>0</v>
      </c>
      <c r="J1312" s="216">
        <f t="shared" si="339"/>
        <v>5433</v>
      </c>
      <c r="K1312" s="204">
        <f t="shared" si="340"/>
        <v>0</v>
      </c>
    </row>
    <row r="1313" spans="1:11" x14ac:dyDescent="0.2">
      <c r="A1313" s="202" t="s">
        <v>546</v>
      </c>
      <c r="B1313" s="209" t="s">
        <v>783</v>
      </c>
      <c r="C1313" s="209" t="s">
        <v>502</v>
      </c>
      <c r="D1313" s="209" t="s">
        <v>809</v>
      </c>
      <c r="E1313" s="209" t="s">
        <v>544</v>
      </c>
      <c r="F1313" s="215">
        <v>21796</v>
      </c>
      <c r="G1313" s="203">
        <v>0</v>
      </c>
      <c r="H1313" s="215">
        <f>'Ведомственная 2020'!H1026</f>
        <v>27229</v>
      </c>
      <c r="I1313" s="203">
        <v>0</v>
      </c>
      <c r="J1313" s="216">
        <f t="shared" si="339"/>
        <v>5433</v>
      </c>
      <c r="K1313" s="204">
        <f t="shared" si="340"/>
        <v>0</v>
      </c>
    </row>
    <row r="1314" spans="1:11" x14ac:dyDescent="0.2">
      <c r="A1314" s="202" t="s">
        <v>808</v>
      </c>
      <c r="B1314" s="209" t="s">
        <v>783</v>
      </c>
      <c r="C1314" s="209" t="s">
        <v>507</v>
      </c>
      <c r="D1314" s="209"/>
      <c r="E1314" s="209"/>
      <c r="F1314" s="215">
        <v>32790.600000000006</v>
      </c>
      <c r="G1314" s="203"/>
      <c r="H1314" s="215">
        <f>H1315+H1345</f>
        <v>30277.100000000002</v>
      </c>
      <c r="I1314" s="203"/>
      <c r="J1314" s="216">
        <f t="shared" si="339"/>
        <v>-2513.5000000000036</v>
      </c>
      <c r="K1314" s="204">
        <f t="shared" si="340"/>
        <v>0</v>
      </c>
    </row>
    <row r="1315" spans="1:11" ht="22.5" x14ac:dyDescent="0.2">
      <c r="A1315" s="202" t="s">
        <v>588</v>
      </c>
      <c r="B1315" s="209" t="s">
        <v>783</v>
      </c>
      <c r="C1315" s="209" t="s">
        <v>507</v>
      </c>
      <c r="D1315" s="209" t="s">
        <v>587</v>
      </c>
      <c r="E1315" s="209"/>
      <c r="F1315" s="215">
        <v>11524.900000000001</v>
      </c>
      <c r="G1315" s="203">
        <v>0</v>
      </c>
      <c r="H1315" s="215">
        <f>H1316+H1340</f>
        <v>12012.400000000001</v>
      </c>
      <c r="I1315" s="203">
        <f>+I1316</f>
        <v>0</v>
      </c>
      <c r="J1315" s="216">
        <f t="shared" si="339"/>
        <v>487.5</v>
      </c>
      <c r="K1315" s="204">
        <f t="shared" si="340"/>
        <v>0</v>
      </c>
    </row>
    <row r="1316" spans="1:11" ht="33.75" x14ac:dyDescent="0.2">
      <c r="A1316" s="202" t="s">
        <v>807</v>
      </c>
      <c r="B1316" s="209" t="s">
        <v>783</v>
      </c>
      <c r="C1316" s="209" t="s">
        <v>507</v>
      </c>
      <c r="D1316" s="209" t="s">
        <v>806</v>
      </c>
      <c r="E1316" s="209"/>
      <c r="F1316" s="215">
        <v>11524.900000000001</v>
      </c>
      <c r="G1316" s="203">
        <v>0</v>
      </c>
      <c r="H1316" s="215">
        <f>H1317+H1324</f>
        <v>11524.900000000001</v>
      </c>
      <c r="I1316" s="203">
        <f>I1317+I1324</f>
        <v>0</v>
      </c>
      <c r="J1316" s="216">
        <f t="shared" si="339"/>
        <v>0</v>
      </c>
      <c r="K1316" s="204">
        <f t="shared" si="340"/>
        <v>0</v>
      </c>
    </row>
    <row r="1317" spans="1:11" ht="22.5" x14ac:dyDescent="0.2">
      <c r="A1317" s="202" t="s">
        <v>805</v>
      </c>
      <c r="B1317" s="209" t="s">
        <v>783</v>
      </c>
      <c r="C1317" s="209" t="s">
        <v>507</v>
      </c>
      <c r="D1317" s="209" t="s">
        <v>804</v>
      </c>
      <c r="E1317" s="209"/>
      <c r="F1317" s="215">
        <v>4526.2000000000007</v>
      </c>
      <c r="G1317" s="203">
        <v>0</v>
      </c>
      <c r="H1317" s="215">
        <f>H1318+H1321</f>
        <v>4526.2000000000007</v>
      </c>
      <c r="I1317" s="203">
        <f>I1318+I1321</f>
        <v>0</v>
      </c>
      <c r="J1317" s="216">
        <f t="shared" si="339"/>
        <v>0</v>
      </c>
      <c r="K1317" s="204">
        <f t="shared" si="340"/>
        <v>0</v>
      </c>
    </row>
    <row r="1318" spans="1:11" ht="67.5" x14ac:dyDescent="0.2">
      <c r="A1318" s="202" t="s">
        <v>803</v>
      </c>
      <c r="B1318" s="209" t="s">
        <v>783</v>
      </c>
      <c r="C1318" s="209" t="s">
        <v>507</v>
      </c>
      <c r="D1318" s="209" t="s">
        <v>802</v>
      </c>
      <c r="E1318" s="209"/>
      <c r="F1318" s="215">
        <v>2403.3000000000002</v>
      </c>
      <c r="G1318" s="203">
        <v>0</v>
      </c>
      <c r="H1318" s="215">
        <f>H1319</f>
        <v>2403.3000000000002</v>
      </c>
      <c r="I1318" s="203">
        <f>I1319</f>
        <v>0</v>
      </c>
      <c r="J1318" s="216">
        <f t="shared" si="339"/>
        <v>0</v>
      </c>
      <c r="K1318" s="204">
        <f t="shared" si="340"/>
        <v>0</v>
      </c>
    </row>
    <row r="1319" spans="1:11" x14ac:dyDescent="0.2">
      <c r="A1319" s="202" t="s">
        <v>1347</v>
      </c>
      <c r="B1319" s="209" t="s">
        <v>783</v>
      </c>
      <c r="C1319" s="209" t="s">
        <v>507</v>
      </c>
      <c r="D1319" s="209" t="s">
        <v>802</v>
      </c>
      <c r="E1319" s="209" t="s">
        <v>535</v>
      </c>
      <c r="F1319" s="215">
        <v>2403.3000000000002</v>
      </c>
      <c r="G1319" s="203">
        <v>0</v>
      </c>
      <c r="H1319" s="215">
        <f>H1320</f>
        <v>2403.3000000000002</v>
      </c>
      <c r="I1319" s="203">
        <f>I1320</f>
        <v>0</v>
      </c>
      <c r="J1319" s="216">
        <f t="shared" si="339"/>
        <v>0</v>
      </c>
      <c r="K1319" s="204">
        <f t="shared" si="340"/>
        <v>0</v>
      </c>
    </row>
    <row r="1320" spans="1:11" ht="22.5" x14ac:dyDescent="0.2">
      <c r="A1320" s="202" t="s">
        <v>534</v>
      </c>
      <c r="B1320" s="209" t="s">
        <v>783</v>
      </c>
      <c r="C1320" s="209" t="s">
        <v>507</v>
      </c>
      <c r="D1320" s="209" t="s">
        <v>802</v>
      </c>
      <c r="E1320" s="209" t="s">
        <v>529</v>
      </c>
      <c r="F1320" s="215">
        <v>2403.3000000000002</v>
      </c>
      <c r="G1320" s="203">
        <v>0</v>
      </c>
      <c r="H1320" s="215">
        <f>'Ведомственная 2020'!H1033</f>
        <v>2403.3000000000002</v>
      </c>
      <c r="I1320" s="203">
        <v>0</v>
      </c>
      <c r="J1320" s="216">
        <f t="shared" si="339"/>
        <v>0</v>
      </c>
      <c r="K1320" s="204">
        <f t="shared" si="340"/>
        <v>0</v>
      </c>
    </row>
    <row r="1321" spans="1:11" ht="78.75" x14ac:dyDescent="0.2">
      <c r="A1321" s="202" t="s">
        <v>801</v>
      </c>
      <c r="B1321" s="209" t="s">
        <v>783</v>
      </c>
      <c r="C1321" s="209" t="s">
        <v>507</v>
      </c>
      <c r="D1321" s="209" t="s">
        <v>800</v>
      </c>
      <c r="E1321" s="209"/>
      <c r="F1321" s="215">
        <v>2122.9</v>
      </c>
      <c r="G1321" s="203">
        <v>0</v>
      </c>
      <c r="H1321" s="215">
        <f>H1322</f>
        <v>2122.9</v>
      </c>
      <c r="I1321" s="203">
        <f>I1322</f>
        <v>0</v>
      </c>
      <c r="J1321" s="216">
        <f t="shared" si="339"/>
        <v>0</v>
      </c>
      <c r="K1321" s="204">
        <f t="shared" si="340"/>
        <v>0</v>
      </c>
    </row>
    <row r="1322" spans="1:11" ht="22.5" x14ac:dyDescent="0.2">
      <c r="A1322" s="202" t="s">
        <v>547</v>
      </c>
      <c r="B1322" s="209" t="s">
        <v>783</v>
      </c>
      <c r="C1322" s="209" t="s">
        <v>507</v>
      </c>
      <c r="D1322" s="209" t="s">
        <v>800</v>
      </c>
      <c r="E1322" s="209" t="s">
        <v>519</v>
      </c>
      <c r="F1322" s="215">
        <v>2122.9</v>
      </c>
      <c r="G1322" s="203">
        <v>0</v>
      </c>
      <c r="H1322" s="215">
        <f>H1323</f>
        <v>2122.9</v>
      </c>
      <c r="I1322" s="203">
        <f>I1323</f>
        <v>0</v>
      </c>
      <c r="J1322" s="216">
        <f t="shared" si="339"/>
        <v>0</v>
      </c>
      <c r="K1322" s="204">
        <f t="shared" si="340"/>
        <v>0</v>
      </c>
    </row>
    <row r="1323" spans="1:11" x14ac:dyDescent="0.2">
      <c r="A1323" s="202" t="s">
        <v>546</v>
      </c>
      <c r="B1323" s="209" t="s">
        <v>783</v>
      </c>
      <c r="C1323" s="209" t="s">
        <v>507</v>
      </c>
      <c r="D1323" s="209" t="s">
        <v>800</v>
      </c>
      <c r="E1323" s="209" t="s">
        <v>544</v>
      </c>
      <c r="F1323" s="215">
        <v>2122.9</v>
      </c>
      <c r="G1323" s="203">
        <v>0</v>
      </c>
      <c r="H1323" s="215">
        <f>'Ведомственная 2020'!H1036</f>
        <v>2122.9</v>
      </c>
      <c r="I1323" s="203">
        <v>0</v>
      </c>
      <c r="J1323" s="216">
        <f t="shared" si="339"/>
        <v>0</v>
      </c>
      <c r="K1323" s="204">
        <f t="shared" si="340"/>
        <v>0</v>
      </c>
    </row>
    <row r="1324" spans="1:11" ht="22.5" x14ac:dyDescent="0.2">
      <c r="A1324" s="202" t="s">
        <v>799</v>
      </c>
      <c r="B1324" s="209" t="s">
        <v>783</v>
      </c>
      <c r="C1324" s="209" t="s">
        <v>507</v>
      </c>
      <c r="D1324" s="209" t="s">
        <v>798</v>
      </c>
      <c r="E1324" s="209"/>
      <c r="F1324" s="215">
        <v>6998.7000000000007</v>
      </c>
      <c r="G1324" s="203">
        <v>0</v>
      </c>
      <c r="H1324" s="215">
        <f>H1325+H1328+H1331+H1334+H1337</f>
        <v>6998.7000000000007</v>
      </c>
      <c r="I1324" s="203">
        <f>I1325+I1328+I1331+I1334+I1337</f>
        <v>0</v>
      </c>
      <c r="J1324" s="216">
        <f t="shared" si="339"/>
        <v>0</v>
      </c>
      <c r="K1324" s="204">
        <f t="shared" si="340"/>
        <v>0</v>
      </c>
    </row>
    <row r="1325" spans="1:11" ht="33.75" x14ac:dyDescent="0.2">
      <c r="A1325" s="202" t="s">
        <v>797</v>
      </c>
      <c r="B1325" s="209" t="s">
        <v>783</v>
      </c>
      <c r="C1325" s="209" t="s">
        <v>507</v>
      </c>
      <c r="D1325" s="209" t="s">
        <v>796</v>
      </c>
      <c r="E1325" s="209"/>
      <c r="F1325" s="215">
        <v>569.6</v>
      </c>
      <c r="G1325" s="203">
        <v>0</v>
      </c>
      <c r="H1325" s="215">
        <f>H1326</f>
        <v>569.6</v>
      </c>
      <c r="I1325" s="203">
        <f>I1326</f>
        <v>0</v>
      </c>
      <c r="J1325" s="216">
        <f t="shared" si="339"/>
        <v>0</v>
      </c>
      <c r="K1325" s="204">
        <f t="shared" si="340"/>
        <v>0</v>
      </c>
    </row>
    <row r="1326" spans="1:11" x14ac:dyDescent="0.2">
      <c r="A1326" s="202" t="s">
        <v>1347</v>
      </c>
      <c r="B1326" s="209" t="s">
        <v>783</v>
      </c>
      <c r="C1326" s="209" t="s">
        <v>507</v>
      </c>
      <c r="D1326" s="209" t="s">
        <v>796</v>
      </c>
      <c r="E1326" s="209" t="s">
        <v>535</v>
      </c>
      <c r="F1326" s="215">
        <v>569.6</v>
      </c>
      <c r="G1326" s="203">
        <v>0</v>
      </c>
      <c r="H1326" s="215">
        <f>H1327</f>
        <v>569.6</v>
      </c>
      <c r="I1326" s="203">
        <f>I1327</f>
        <v>0</v>
      </c>
      <c r="J1326" s="216">
        <f t="shared" si="339"/>
        <v>0</v>
      </c>
      <c r="K1326" s="204">
        <f t="shared" si="340"/>
        <v>0</v>
      </c>
    </row>
    <row r="1327" spans="1:11" ht="22.5" x14ac:dyDescent="0.2">
      <c r="A1327" s="202" t="s">
        <v>534</v>
      </c>
      <c r="B1327" s="209" t="s">
        <v>783</v>
      </c>
      <c r="C1327" s="209" t="s">
        <v>507</v>
      </c>
      <c r="D1327" s="209" t="s">
        <v>796</v>
      </c>
      <c r="E1327" s="209" t="s">
        <v>529</v>
      </c>
      <c r="F1327" s="215">
        <v>569.6</v>
      </c>
      <c r="G1327" s="203">
        <v>0</v>
      </c>
      <c r="H1327" s="215">
        <f>'Ведомственная 2020'!H1040</f>
        <v>569.6</v>
      </c>
      <c r="I1327" s="203">
        <v>0</v>
      </c>
      <c r="J1327" s="216">
        <f t="shared" si="339"/>
        <v>0</v>
      </c>
      <c r="K1327" s="204">
        <f t="shared" si="340"/>
        <v>0</v>
      </c>
    </row>
    <row r="1328" spans="1:11" ht="33.75" x14ac:dyDescent="0.2">
      <c r="A1328" s="202" t="s">
        <v>1533</v>
      </c>
      <c r="B1328" s="209" t="s">
        <v>783</v>
      </c>
      <c r="C1328" s="209" t="s">
        <v>507</v>
      </c>
      <c r="D1328" s="209" t="s">
        <v>795</v>
      </c>
      <c r="E1328" s="209"/>
      <c r="F1328" s="215">
        <v>4750</v>
      </c>
      <c r="G1328" s="203">
        <v>0</v>
      </c>
      <c r="H1328" s="215">
        <f>H1329</f>
        <v>4750</v>
      </c>
      <c r="I1328" s="203">
        <f>I1329</f>
        <v>0</v>
      </c>
      <c r="J1328" s="216">
        <f t="shared" si="339"/>
        <v>0</v>
      </c>
      <c r="K1328" s="204">
        <f t="shared" si="340"/>
        <v>0</v>
      </c>
    </row>
    <row r="1329" spans="1:11" s="389" customFormat="1" ht="22.5" x14ac:dyDescent="0.2">
      <c r="A1329" s="202" t="s">
        <v>547</v>
      </c>
      <c r="B1329" s="209" t="s">
        <v>783</v>
      </c>
      <c r="C1329" s="209" t="s">
        <v>507</v>
      </c>
      <c r="D1329" s="209" t="s">
        <v>795</v>
      </c>
      <c r="E1329" s="209">
        <v>600</v>
      </c>
      <c r="F1329" s="215">
        <v>4750</v>
      </c>
      <c r="G1329" s="203">
        <v>0</v>
      </c>
      <c r="H1329" s="215">
        <f>H1330</f>
        <v>4750</v>
      </c>
      <c r="I1329" s="203">
        <f>I1330</f>
        <v>0</v>
      </c>
      <c r="J1329" s="216">
        <f t="shared" ref="J1329:J1330" si="345">H1329-F1329</f>
        <v>0</v>
      </c>
      <c r="K1329" s="204">
        <f t="shared" ref="K1329:K1330" si="346">I1329-G1329</f>
        <v>0</v>
      </c>
    </row>
    <row r="1330" spans="1:11" s="389" customFormat="1" x14ac:dyDescent="0.2">
      <c r="A1330" s="202" t="s">
        <v>571</v>
      </c>
      <c r="B1330" s="209" t="s">
        <v>783</v>
      </c>
      <c r="C1330" s="209" t="s">
        <v>507</v>
      </c>
      <c r="D1330" s="209" t="s">
        <v>795</v>
      </c>
      <c r="E1330" s="209">
        <v>610</v>
      </c>
      <c r="F1330" s="215">
        <v>4750</v>
      </c>
      <c r="G1330" s="203">
        <v>0</v>
      </c>
      <c r="H1330" s="215">
        <f>'Ведомственная 2020'!H1043</f>
        <v>4750</v>
      </c>
      <c r="I1330" s="203">
        <v>0</v>
      </c>
      <c r="J1330" s="216">
        <f t="shared" si="345"/>
        <v>0</v>
      </c>
      <c r="K1330" s="204">
        <f t="shared" si="346"/>
        <v>0</v>
      </c>
    </row>
    <row r="1331" spans="1:11" ht="33.75" x14ac:dyDescent="0.2">
      <c r="A1331" s="202" t="s">
        <v>794</v>
      </c>
      <c r="B1331" s="209" t="s">
        <v>783</v>
      </c>
      <c r="C1331" s="209" t="s">
        <v>507</v>
      </c>
      <c r="D1331" s="209" t="s">
        <v>793</v>
      </c>
      <c r="E1331" s="209"/>
      <c r="F1331" s="215">
        <v>500</v>
      </c>
      <c r="G1331" s="203">
        <v>0</v>
      </c>
      <c r="H1331" s="215">
        <f>H1332</f>
        <v>500</v>
      </c>
      <c r="I1331" s="203">
        <f>I1332</f>
        <v>0</v>
      </c>
      <c r="J1331" s="216">
        <f t="shared" si="339"/>
        <v>0</v>
      </c>
      <c r="K1331" s="204">
        <f t="shared" si="340"/>
        <v>0</v>
      </c>
    </row>
    <row r="1332" spans="1:11" x14ac:dyDescent="0.2">
      <c r="A1332" s="202" t="s">
        <v>1347</v>
      </c>
      <c r="B1332" s="209" t="s">
        <v>783</v>
      </c>
      <c r="C1332" s="209" t="s">
        <v>507</v>
      </c>
      <c r="D1332" s="209" t="s">
        <v>793</v>
      </c>
      <c r="E1332" s="209" t="s">
        <v>535</v>
      </c>
      <c r="F1332" s="215">
        <v>500</v>
      </c>
      <c r="G1332" s="203">
        <v>0</v>
      </c>
      <c r="H1332" s="215">
        <f>H1333</f>
        <v>500</v>
      </c>
      <c r="I1332" s="203">
        <f>I1333</f>
        <v>0</v>
      </c>
      <c r="J1332" s="216">
        <f t="shared" si="339"/>
        <v>0</v>
      </c>
      <c r="K1332" s="204">
        <f t="shared" si="340"/>
        <v>0</v>
      </c>
    </row>
    <row r="1333" spans="1:11" ht="22.5" x14ac:dyDescent="0.2">
      <c r="A1333" s="202" t="s">
        <v>534</v>
      </c>
      <c r="B1333" s="209" t="s">
        <v>783</v>
      </c>
      <c r="C1333" s="209" t="s">
        <v>507</v>
      </c>
      <c r="D1333" s="209" t="s">
        <v>793</v>
      </c>
      <c r="E1333" s="209" t="s">
        <v>529</v>
      </c>
      <c r="F1333" s="215">
        <v>500</v>
      </c>
      <c r="G1333" s="203">
        <v>0</v>
      </c>
      <c r="H1333" s="215">
        <f>'Ведомственная 2020'!H1046</f>
        <v>500</v>
      </c>
      <c r="I1333" s="203">
        <v>0</v>
      </c>
      <c r="J1333" s="216">
        <f t="shared" si="339"/>
        <v>0</v>
      </c>
      <c r="K1333" s="204">
        <f t="shared" si="340"/>
        <v>0</v>
      </c>
    </row>
    <row r="1334" spans="1:11" ht="33.75" x14ac:dyDescent="0.2">
      <c r="A1334" s="202" t="s">
        <v>790</v>
      </c>
      <c r="B1334" s="209" t="s">
        <v>783</v>
      </c>
      <c r="C1334" s="209" t="s">
        <v>507</v>
      </c>
      <c r="D1334" s="209" t="s">
        <v>789</v>
      </c>
      <c r="E1334" s="209"/>
      <c r="F1334" s="215">
        <v>929.1</v>
      </c>
      <c r="G1334" s="203">
        <v>0</v>
      </c>
      <c r="H1334" s="215">
        <f>H1335</f>
        <v>929.1</v>
      </c>
      <c r="I1334" s="203">
        <f>I1335</f>
        <v>0</v>
      </c>
      <c r="J1334" s="216">
        <f t="shared" si="339"/>
        <v>0</v>
      </c>
      <c r="K1334" s="204">
        <f t="shared" si="340"/>
        <v>0</v>
      </c>
    </row>
    <row r="1335" spans="1:11" ht="22.5" x14ac:dyDescent="0.2">
      <c r="A1335" s="202" t="s">
        <v>547</v>
      </c>
      <c r="B1335" s="209" t="s">
        <v>783</v>
      </c>
      <c r="C1335" s="209" t="s">
        <v>507</v>
      </c>
      <c r="D1335" s="209" t="s">
        <v>789</v>
      </c>
      <c r="E1335" s="209" t="s">
        <v>519</v>
      </c>
      <c r="F1335" s="215">
        <v>929.1</v>
      </c>
      <c r="G1335" s="203">
        <v>0</v>
      </c>
      <c r="H1335" s="215">
        <f>H1336</f>
        <v>929.1</v>
      </c>
      <c r="I1335" s="203">
        <f>I1336</f>
        <v>0</v>
      </c>
      <c r="J1335" s="216">
        <f t="shared" si="339"/>
        <v>0</v>
      </c>
      <c r="K1335" s="204">
        <f t="shared" si="340"/>
        <v>0</v>
      </c>
    </row>
    <row r="1336" spans="1:11" x14ac:dyDescent="0.2">
      <c r="A1336" s="202" t="s">
        <v>546</v>
      </c>
      <c r="B1336" s="209" t="s">
        <v>783</v>
      </c>
      <c r="C1336" s="209" t="s">
        <v>507</v>
      </c>
      <c r="D1336" s="209" t="s">
        <v>789</v>
      </c>
      <c r="E1336" s="209" t="s">
        <v>544</v>
      </c>
      <c r="F1336" s="215">
        <v>929.1</v>
      </c>
      <c r="G1336" s="203">
        <v>0</v>
      </c>
      <c r="H1336" s="215">
        <f>'Ведомственная 2020'!H1049</f>
        <v>929.1</v>
      </c>
      <c r="I1336" s="203">
        <v>0</v>
      </c>
      <c r="J1336" s="216">
        <f t="shared" si="339"/>
        <v>0</v>
      </c>
      <c r="K1336" s="204">
        <f t="shared" si="340"/>
        <v>0</v>
      </c>
    </row>
    <row r="1337" spans="1:11" ht="33.75" x14ac:dyDescent="0.2">
      <c r="A1337" s="202" t="s">
        <v>788</v>
      </c>
      <c r="B1337" s="209" t="s">
        <v>783</v>
      </c>
      <c r="C1337" s="209" t="s">
        <v>507</v>
      </c>
      <c r="D1337" s="209" t="s">
        <v>787</v>
      </c>
      <c r="E1337" s="209"/>
      <c r="F1337" s="215">
        <v>250</v>
      </c>
      <c r="G1337" s="203">
        <v>0</v>
      </c>
      <c r="H1337" s="215">
        <f>H1338</f>
        <v>250</v>
      </c>
      <c r="I1337" s="203">
        <f>I1338</f>
        <v>0</v>
      </c>
      <c r="J1337" s="216">
        <f t="shared" si="339"/>
        <v>0</v>
      </c>
      <c r="K1337" s="204">
        <f t="shared" si="340"/>
        <v>0</v>
      </c>
    </row>
    <row r="1338" spans="1:11" x14ac:dyDescent="0.2">
      <c r="A1338" s="202" t="s">
        <v>1347</v>
      </c>
      <c r="B1338" s="209" t="s">
        <v>783</v>
      </c>
      <c r="C1338" s="209" t="s">
        <v>507</v>
      </c>
      <c r="D1338" s="209" t="s">
        <v>787</v>
      </c>
      <c r="E1338" s="209" t="s">
        <v>535</v>
      </c>
      <c r="F1338" s="215">
        <v>250</v>
      </c>
      <c r="G1338" s="203">
        <v>0</v>
      </c>
      <c r="H1338" s="215">
        <f>H1339</f>
        <v>250</v>
      </c>
      <c r="I1338" s="203">
        <f>I1339</f>
        <v>0</v>
      </c>
      <c r="J1338" s="216">
        <f t="shared" si="339"/>
        <v>0</v>
      </c>
      <c r="K1338" s="204">
        <f t="shared" si="340"/>
        <v>0</v>
      </c>
    </row>
    <row r="1339" spans="1:11" ht="22.5" x14ac:dyDescent="0.2">
      <c r="A1339" s="202" t="s">
        <v>534</v>
      </c>
      <c r="B1339" s="209" t="s">
        <v>783</v>
      </c>
      <c r="C1339" s="209" t="s">
        <v>507</v>
      </c>
      <c r="D1339" s="209" t="s">
        <v>787</v>
      </c>
      <c r="E1339" s="209" t="s">
        <v>529</v>
      </c>
      <c r="F1339" s="215">
        <v>250</v>
      </c>
      <c r="G1339" s="203">
        <v>0</v>
      </c>
      <c r="H1339" s="215">
        <f>'Ведомственная 2020'!H1052</f>
        <v>250</v>
      </c>
      <c r="I1339" s="203">
        <v>0</v>
      </c>
      <c r="J1339" s="216">
        <f t="shared" si="339"/>
        <v>0</v>
      </c>
      <c r="K1339" s="204">
        <f t="shared" si="340"/>
        <v>0</v>
      </c>
    </row>
    <row r="1340" spans="1:11" s="434" customFormat="1" x14ac:dyDescent="0.2">
      <c r="A1340" s="202" t="s">
        <v>1630</v>
      </c>
      <c r="B1340" s="209" t="s">
        <v>783</v>
      </c>
      <c r="C1340" s="209" t="s">
        <v>507</v>
      </c>
      <c r="D1340" s="209" t="s">
        <v>1631</v>
      </c>
      <c r="E1340" s="209"/>
      <c r="F1340" s="215">
        <f>F1341</f>
        <v>0</v>
      </c>
      <c r="G1340" s="203">
        <f t="shared" ref="G1340:I1343" si="347">G1341</f>
        <v>0</v>
      </c>
      <c r="H1340" s="215">
        <f t="shared" si="347"/>
        <v>487.5</v>
      </c>
      <c r="I1340" s="203">
        <f t="shared" si="347"/>
        <v>0</v>
      </c>
      <c r="J1340" s="216">
        <f t="shared" ref="J1340:J1344" si="348">H1340-F1340</f>
        <v>487.5</v>
      </c>
      <c r="K1340" s="204">
        <f t="shared" ref="K1340:K1344" si="349">I1340-G1340</f>
        <v>0</v>
      </c>
    </row>
    <row r="1341" spans="1:11" s="434" customFormat="1" ht="22.5" x14ac:dyDescent="0.2">
      <c r="A1341" s="202" t="s">
        <v>1632</v>
      </c>
      <c r="B1341" s="209" t="s">
        <v>783</v>
      </c>
      <c r="C1341" s="209" t="s">
        <v>507</v>
      </c>
      <c r="D1341" s="209" t="s">
        <v>1633</v>
      </c>
      <c r="E1341" s="209"/>
      <c r="F1341" s="215">
        <f>F1342</f>
        <v>0</v>
      </c>
      <c r="G1341" s="203">
        <f t="shared" si="347"/>
        <v>0</v>
      </c>
      <c r="H1341" s="215">
        <f t="shared" si="347"/>
        <v>487.5</v>
      </c>
      <c r="I1341" s="203">
        <f t="shared" si="347"/>
        <v>0</v>
      </c>
      <c r="J1341" s="216">
        <f t="shared" si="348"/>
        <v>487.5</v>
      </c>
      <c r="K1341" s="204">
        <f t="shared" si="349"/>
        <v>0</v>
      </c>
    </row>
    <row r="1342" spans="1:11" s="434" customFormat="1" ht="22.5" x14ac:dyDescent="0.2">
      <c r="A1342" s="202" t="s">
        <v>1638</v>
      </c>
      <c r="B1342" s="209" t="s">
        <v>783</v>
      </c>
      <c r="C1342" s="209" t="s">
        <v>507</v>
      </c>
      <c r="D1342" s="209" t="s">
        <v>1639</v>
      </c>
      <c r="E1342" s="209"/>
      <c r="F1342" s="215">
        <f>F1343</f>
        <v>0</v>
      </c>
      <c r="G1342" s="203">
        <f t="shared" si="347"/>
        <v>0</v>
      </c>
      <c r="H1342" s="215">
        <f t="shared" si="347"/>
        <v>487.5</v>
      </c>
      <c r="I1342" s="203">
        <f t="shared" si="347"/>
        <v>0</v>
      </c>
      <c r="J1342" s="216">
        <f t="shared" si="348"/>
        <v>487.5</v>
      </c>
      <c r="K1342" s="204">
        <f t="shared" si="349"/>
        <v>0</v>
      </c>
    </row>
    <row r="1343" spans="1:11" s="434" customFormat="1" x14ac:dyDescent="0.2">
      <c r="A1343" s="202" t="s">
        <v>1347</v>
      </c>
      <c r="B1343" s="209" t="s">
        <v>783</v>
      </c>
      <c r="C1343" s="209" t="s">
        <v>507</v>
      </c>
      <c r="D1343" s="209" t="s">
        <v>1639</v>
      </c>
      <c r="E1343" s="209" t="s">
        <v>535</v>
      </c>
      <c r="F1343" s="215">
        <f>F1344</f>
        <v>0</v>
      </c>
      <c r="G1343" s="203">
        <f t="shared" si="347"/>
        <v>0</v>
      </c>
      <c r="H1343" s="215">
        <f t="shared" si="347"/>
        <v>487.5</v>
      </c>
      <c r="I1343" s="203">
        <f t="shared" si="347"/>
        <v>0</v>
      </c>
      <c r="J1343" s="216">
        <f t="shared" si="348"/>
        <v>487.5</v>
      </c>
      <c r="K1343" s="204">
        <f t="shared" si="349"/>
        <v>0</v>
      </c>
    </row>
    <row r="1344" spans="1:11" s="434" customFormat="1" ht="22.5" x14ac:dyDescent="0.2">
      <c r="A1344" s="202" t="s">
        <v>534</v>
      </c>
      <c r="B1344" s="209" t="s">
        <v>783</v>
      </c>
      <c r="C1344" s="209" t="s">
        <v>507</v>
      </c>
      <c r="D1344" s="209" t="s">
        <v>1639</v>
      </c>
      <c r="E1344" s="209" t="s">
        <v>529</v>
      </c>
      <c r="F1344" s="215">
        <v>0</v>
      </c>
      <c r="G1344" s="203">
        <v>0</v>
      </c>
      <c r="H1344" s="215">
        <f>'Ведомственная 2020'!H1057</f>
        <v>487.5</v>
      </c>
      <c r="I1344" s="203">
        <v>0</v>
      </c>
      <c r="J1344" s="216">
        <f t="shared" si="348"/>
        <v>487.5</v>
      </c>
      <c r="K1344" s="204">
        <f t="shared" si="349"/>
        <v>0</v>
      </c>
    </row>
    <row r="1345" spans="1:11" x14ac:dyDescent="0.2">
      <c r="A1345" s="202" t="s">
        <v>742</v>
      </c>
      <c r="B1345" s="209" t="s">
        <v>783</v>
      </c>
      <c r="C1345" s="209" t="s">
        <v>507</v>
      </c>
      <c r="D1345" s="209" t="s">
        <v>741</v>
      </c>
      <c r="E1345" s="209"/>
      <c r="F1345" s="215">
        <v>21265.7</v>
      </c>
      <c r="G1345" s="203">
        <v>0</v>
      </c>
      <c r="H1345" s="215">
        <f t="shared" ref="H1345:I1349" si="350">H1346</f>
        <v>18264.7</v>
      </c>
      <c r="I1345" s="203">
        <f t="shared" si="350"/>
        <v>0</v>
      </c>
      <c r="J1345" s="216">
        <f t="shared" si="339"/>
        <v>-3001</v>
      </c>
      <c r="K1345" s="204">
        <f t="shared" si="340"/>
        <v>0</v>
      </c>
    </row>
    <row r="1346" spans="1:11" ht="22.5" x14ac:dyDescent="0.2">
      <c r="A1346" s="202" t="s">
        <v>740</v>
      </c>
      <c r="B1346" s="209" t="s">
        <v>783</v>
      </c>
      <c r="C1346" s="209" t="s">
        <v>507</v>
      </c>
      <c r="D1346" s="209" t="s">
        <v>739</v>
      </c>
      <c r="E1346" s="209"/>
      <c r="F1346" s="215">
        <v>21265.7</v>
      </c>
      <c r="G1346" s="203">
        <v>0</v>
      </c>
      <c r="H1346" s="215">
        <f t="shared" si="350"/>
        <v>18264.7</v>
      </c>
      <c r="I1346" s="203">
        <f t="shared" si="350"/>
        <v>0</v>
      </c>
      <c r="J1346" s="216">
        <f t="shared" si="339"/>
        <v>-3001</v>
      </c>
      <c r="K1346" s="204">
        <f t="shared" si="340"/>
        <v>0</v>
      </c>
    </row>
    <row r="1347" spans="1:11" x14ac:dyDescent="0.2">
      <c r="A1347" s="202" t="s">
        <v>786</v>
      </c>
      <c r="B1347" s="209" t="s">
        <v>783</v>
      </c>
      <c r="C1347" s="209" t="s">
        <v>507</v>
      </c>
      <c r="D1347" s="209" t="s">
        <v>785</v>
      </c>
      <c r="E1347" s="209"/>
      <c r="F1347" s="215">
        <v>21265.7</v>
      </c>
      <c r="G1347" s="203">
        <v>0</v>
      </c>
      <c r="H1347" s="215">
        <f t="shared" si="350"/>
        <v>18264.7</v>
      </c>
      <c r="I1347" s="203">
        <f t="shared" si="350"/>
        <v>0</v>
      </c>
      <c r="J1347" s="216">
        <f t="shared" si="339"/>
        <v>-3001</v>
      </c>
      <c r="K1347" s="204">
        <f t="shared" si="340"/>
        <v>0</v>
      </c>
    </row>
    <row r="1348" spans="1:11" x14ac:dyDescent="0.2">
      <c r="A1348" s="202" t="s">
        <v>784</v>
      </c>
      <c r="B1348" s="209" t="s">
        <v>783</v>
      </c>
      <c r="C1348" s="209" t="s">
        <v>507</v>
      </c>
      <c r="D1348" s="209" t="s">
        <v>782</v>
      </c>
      <c r="E1348" s="209"/>
      <c r="F1348" s="215">
        <v>21265.7</v>
      </c>
      <c r="G1348" s="203">
        <v>0</v>
      </c>
      <c r="H1348" s="215">
        <f t="shared" si="350"/>
        <v>18264.7</v>
      </c>
      <c r="I1348" s="203">
        <f t="shared" si="350"/>
        <v>0</v>
      </c>
      <c r="J1348" s="216">
        <f t="shared" si="339"/>
        <v>-3001</v>
      </c>
      <c r="K1348" s="204">
        <f t="shared" si="340"/>
        <v>0</v>
      </c>
    </row>
    <row r="1349" spans="1:11" ht="22.5" x14ac:dyDescent="0.2">
      <c r="A1349" s="202" t="s">
        <v>547</v>
      </c>
      <c r="B1349" s="209" t="s">
        <v>783</v>
      </c>
      <c r="C1349" s="209" t="s">
        <v>507</v>
      </c>
      <c r="D1349" s="209" t="s">
        <v>782</v>
      </c>
      <c r="E1349" s="209" t="s">
        <v>519</v>
      </c>
      <c r="F1349" s="215">
        <v>21265.7</v>
      </c>
      <c r="G1349" s="203">
        <v>0</v>
      </c>
      <c r="H1349" s="215">
        <f t="shared" si="350"/>
        <v>18264.7</v>
      </c>
      <c r="I1349" s="203">
        <f t="shared" si="350"/>
        <v>0</v>
      </c>
      <c r="J1349" s="216">
        <f t="shared" si="339"/>
        <v>-3001</v>
      </c>
      <c r="K1349" s="204">
        <f t="shared" si="340"/>
        <v>0</v>
      </c>
    </row>
    <row r="1350" spans="1:11" x14ac:dyDescent="0.2">
      <c r="A1350" s="202" t="s">
        <v>546</v>
      </c>
      <c r="B1350" s="209" t="s">
        <v>783</v>
      </c>
      <c r="C1350" s="209" t="s">
        <v>507</v>
      </c>
      <c r="D1350" s="209" t="s">
        <v>782</v>
      </c>
      <c r="E1350" s="209" t="s">
        <v>544</v>
      </c>
      <c r="F1350" s="215">
        <v>21265.7</v>
      </c>
      <c r="G1350" s="203">
        <v>0</v>
      </c>
      <c r="H1350" s="215">
        <f>'Ведомственная 2020'!H1063</f>
        <v>18264.7</v>
      </c>
      <c r="I1350" s="203">
        <v>0</v>
      </c>
      <c r="J1350" s="216">
        <f t="shared" si="339"/>
        <v>-3001</v>
      </c>
      <c r="K1350" s="204">
        <f t="shared" si="340"/>
        <v>0</v>
      </c>
    </row>
    <row r="1351" spans="1:11" s="97" customFormat="1" x14ac:dyDescent="0.2">
      <c r="A1351" s="199" t="s">
        <v>781</v>
      </c>
      <c r="B1351" s="212" t="s">
        <v>592</v>
      </c>
      <c r="C1351" s="212"/>
      <c r="D1351" s="212"/>
      <c r="E1351" s="212"/>
      <c r="F1351" s="213">
        <v>104568.8</v>
      </c>
      <c r="G1351" s="200">
        <v>0</v>
      </c>
      <c r="H1351" s="213">
        <f t="shared" ref="H1351:I1357" si="351">H1352</f>
        <v>56879</v>
      </c>
      <c r="I1351" s="200">
        <f t="shared" si="351"/>
        <v>0</v>
      </c>
      <c r="J1351" s="214">
        <f t="shared" si="339"/>
        <v>-47689.8</v>
      </c>
      <c r="K1351" s="201">
        <f t="shared" si="340"/>
        <v>0</v>
      </c>
    </row>
    <row r="1352" spans="1:11" s="97" customFormat="1" x14ac:dyDescent="0.2">
      <c r="A1352" s="202" t="s">
        <v>780</v>
      </c>
      <c r="B1352" s="209" t="s">
        <v>592</v>
      </c>
      <c r="C1352" s="209" t="s">
        <v>498</v>
      </c>
      <c r="D1352" s="209"/>
      <c r="E1352" s="209"/>
      <c r="F1352" s="215">
        <v>104568.8</v>
      </c>
      <c r="G1352" s="203">
        <v>0</v>
      </c>
      <c r="H1352" s="215">
        <f t="shared" si="351"/>
        <v>56879</v>
      </c>
      <c r="I1352" s="203">
        <f t="shared" si="351"/>
        <v>0</v>
      </c>
      <c r="J1352" s="216">
        <f t="shared" si="339"/>
        <v>-47689.8</v>
      </c>
      <c r="K1352" s="204">
        <f t="shared" si="340"/>
        <v>0</v>
      </c>
    </row>
    <row r="1353" spans="1:11" x14ac:dyDescent="0.2">
      <c r="A1353" s="202" t="s">
        <v>604</v>
      </c>
      <c r="B1353" s="209" t="s">
        <v>592</v>
      </c>
      <c r="C1353" s="209" t="s">
        <v>498</v>
      </c>
      <c r="D1353" s="209" t="s">
        <v>603</v>
      </c>
      <c r="E1353" s="209"/>
      <c r="F1353" s="215">
        <v>104568.8</v>
      </c>
      <c r="G1353" s="203">
        <v>0</v>
      </c>
      <c r="H1353" s="215">
        <f t="shared" si="351"/>
        <v>56879</v>
      </c>
      <c r="I1353" s="203">
        <f t="shared" si="351"/>
        <v>0</v>
      </c>
      <c r="J1353" s="216">
        <f t="shared" si="339"/>
        <v>-47689.8</v>
      </c>
      <c r="K1353" s="204">
        <f t="shared" si="340"/>
        <v>0</v>
      </c>
    </row>
    <row r="1354" spans="1:11" x14ac:dyDescent="0.2">
      <c r="A1354" s="202" t="s">
        <v>779</v>
      </c>
      <c r="B1354" s="209" t="s">
        <v>592</v>
      </c>
      <c r="C1354" s="209" t="s">
        <v>498</v>
      </c>
      <c r="D1354" s="209" t="s">
        <v>778</v>
      </c>
      <c r="E1354" s="209"/>
      <c r="F1354" s="215">
        <v>104568.8</v>
      </c>
      <c r="G1354" s="203">
        <v>0</v>
      </c>
      <c r="H1354" s="215">
        <f t="shared" si="351"/>
        <v>56879</v>
      </c>
      <c r="I1354" s="203">
        <f t="shared" si="351"/>
        <v>0</v>
      </c>
      <c r="J1354" s="216">
        <f t="shared" si="339"/>
        <v>-47689.8</v>
      </c>
      <c r="K1354" s="204">
        <f t="shared" si="340"/>
        <v>0</v>
      </c>
    </row>
    <row r="1355" spans="1:11" x14ac:dyDescent="0.2">
      <c r="A1355" s="202" t="s">
        <v>777</v>
      </c>
      <c r="B1355" s="209" t="s">
        <v>592</v>
      </c>
      <c r="C1355" s="209" t="s">
        <v>498</v>
      </c>
      <c r="D1355" s="209" t="s">
        <v>776</v>
      </c>
      <c r="E1355" s="209"/>
      <c r="F1355" s="215">
        <v>104568.8</v>
      </c>
      <c r="G1355" s="203">
        <v>0</v>
      </c>
      <c r="H1355" s="215">
        <f t="shared" si="351"/>
        <v>56879</v>
      </c>
      <c r="I1355" s="203">
        <f t="shared" si="351"/>
        <v>0</v>
      </c>
      <c r="J1355" s="216">
        <f t="shared" si="339"/>
        <v>-47689.8</v>
      </c>
      <c r="K1355" s="204">
        <f t="shared" si="340"/>
        <v>0</v>
      </c>
    </row>
    <row r="1356" spans="1:11" x14ac:dyDescent="0.2">
      <c r="A1356" s="202" t="s">
        <v>774</v>
      </c>
      <c r="B1356" s="209" t="s">
        <v>592</v>
      </c>
      <c r="C1356" s="209" t="s">
        <v>498</v>
      </c>
      <c r="D1356" s="209" t="s">
        <v>773</v>
      </c>
      <c r="E1356" s="209"/>
      <c r="F1356" s="215">
        <v>104568.8</v>
      </c>
      <c r="G1356" s="203">
        <v>0</v>
      </c>
      <c r="H1356" s="215">
        <f t="shared" si="351"/>
        <v>56879</v>
      </c>
      <c r="I1356" s="203">
        <f t="shared" si="351"/>
        <v>0</v>
      </c>
      <c r="J1356" s="216">
        <f t="shared" si="339"/>
        <v>-47689.8</v>
      </c>
      <c r="K1356" s="204">
        <f t="shared" si="340"/>
        <v>0</v>
      </c>
    </row>
    <row r="1357" spans="1:11" x14ac:dyDescent="0.2">
      <c r="A1357" s="202" t="s">
        <v>775</v>
      </c>
      <c r="B1357" s="209" t="s">
        <v>592</v>
      </c>
      <c r="C1357" s="209" t="s">
        <v>498</v>
      </c>
      <c r="D1357" s="209" t="s">
        <v>773</v>
      </c>
      <c r="E1357" s="209" t="s">
        <v>504</v>
      </c>
      <c r="F1357" s="215">
        <v>104568.8</v>
      </c>
      <c r="G1357" s="203">
        <v>0</v>
      </c>
      <c r="H1357" s="215">
        <f t="shared" si="351"/>
        <v>56879</v>
      </c>
      <c r="I1357" s="203">
        <f t="shared" si="351"/>
        <v>0</v>
      </c>
      <c r="J1357" s="216">
        <f t="shared" si="339"/>
        <v>-47689.8</v>
      </c>
      <c r="K1357" s="204">
        <f t="shared" si="340"/>
        <v>0</v>
      </c>
    </row>
    <row r="1358" spans="1:11" x14ac:dyDescent="0.2">
      <c r="A1358" s="202" t="s">
        <v>774</v>
      </c>
      <c r="B1358" s="209" t="s">
        <v>592</v>
      </c>
      <c r="C1358" s="209" t="s">
        <v>498</v>
      </c>
      <c r="D1358" s="209" t="s">
        <v>773</v>
      </c>
      <c r="E1358" s="209" t="s">
        <v>772</v>
      </c>
      <c r="F1358" s="215">
        <v>104568.8</v>
      </c>
      <c r="G1358" s="203">
        <v>0</v>
      </c>
      <c r="H1358" s="215">
        <f>'Ведомственная 2020'!H1071</f>
        <v>56879</v>
      </c>
      <c r="I1358" s="203">
        <v>0</v>
      </c>
      <c r="J1358" s="216">
        <f t="shared" si="339"/>
        <v>-47689.8</v>
      </c>
      <c r="K1358" s="204">
        <f t="shared" si="340"/>
        <v>0</v>
      </c>
    </row>
    <row r="1359" spans="1:11" x14ac:dyDescent="0.2">
      <c r="A1359" s="199" t="s">
        <v>528</v>
      </c>
      <c r="B1359" s="212"/>
      <c r="C1359" s="212"/>
      <c r="D1359" s="212"/>
      <c r="E1359" s="212"/>
      <c r="F1359" s="213">
        <v>11624593.9</v>
      </c>
      <c r="G1359" s="217">
        <v>4472322</v>
      </c>
      <c r="H1359" s="213">
        <f>H11+H252+H324+H572+H852+H884+H1085+H1161+H1224+H1287+H1351</f>
        <v>11745008.950000003</v>
      </c>
      <c r="I1359" s="217">
        <f>I11+I252+I324+I572+I852+I884+I1085+I1161+I1224+I1287+I1351</f>
        <v>4689170.4000000004</v>
      </c>
      <c r="J1359" s="214">
        <f t="shared" si="339"/>
        <v>120415.05000000261</v>
      </c>
      <c r="K1359" s="201">
        <f t="shared" si="340"/>
        <v>216848.40000000037</v>
      </c>
    </row>
    <row r="1360" spans="1:11" x14ac:dyDescent="0.2">
      <c r="A1360" s="147"/>
      <c r="B1360" s="148"/>
      <c r="C1360" s="148"/>
      <c r="D1360" s="148"/>
      <c r="E1360" s="148"/>
      <c r="F1360" s="107"/>
    </row>
    <row r="1361" spans="1:11" x14ac:dyDescent="0.2">
      <c r="A1361" s="98"/>
      <c r="B1361" s="148"/>
      <c r="C1361" s="148"/>
      <c r="D1361" s="148"/>
      <c r="E1361" s="148"/>
      <c r="F1361" s="99"/>
      <c r="G1361" s="113"/>
    </row>
    <row r="1362" spans="1:11" x14ac:dyDescent="0.2">
      <c r="A1362" s="218" t="s">
        <v>1279</v>
      </c>
      <c r="B1362" s="219"/>
      <c r="C1362" s="219"/>
      <c r="D1362" s="219"/>
      <c r="E1362" s="219"/>
      <c r="F1362" s="220">
        <f>F1175+F1193+F1205+F823+F113</f>
        <v>126170</v>
      </c>
      <c r="G1362" s="220">
        <f>G1175+G1193+G1205+G823+G113</f>
        <v>105567</v>
      </c>
      <c r="H1362" s="220">
        <f>H1175+H1193+H1205+H823+H113</f>
        <v>108574</v>
      </c>
      <c r="I1362" s="220">
        <f>I1175+I1193+I1205+I823+I113</f>
        <v>87971</v>
      </c>
      <c r="J1362" s="412">
        <f t="shared" ref="J1362" si="352">H1362-F1362</f>
        <v>-17596</v>
      </c>
      <c r="K1362" s="412">
        <f t="shared" ref="K1362" si="353">I1362-G1362</f>
        <v>-17596</v>
      </c>
    </row>
    <row r="1364" spans="1:11" x14ac:dyDescent="0.2">
      <c r="F1364" s="140"/>
    </row>
  </sheetData>
  <mergeCells count="13">
    <mergeCell ref="H8:I8"/>
    <mergeCell ref="J8:K8"/>
    <mergeCell ref="J7:K7"/>
    <mergeCell ref="F1:K1"/>
    <mergeCell ref="D2:K2"/>
    <mergeCell ref="D3:K3"/>
    <mergeCell ref="A5:K5"/>
    <mergeCell ref="E8:E9"/>
    <mergeCell ref="F8:G8"/>
    <mergeCell ref="A8:A9"/>
    <mergeCell ref="B8:B9"/>
    <mergeCell ref="C8:C9"/>
    <mergeCell ref="D8:D9"/>
  </mergeCells>
  <pageMargins left="0.78740157480314965" right="0.39370078740157483" top="0.78740157480314965" bottom="0.78740157480314965" header="0" footer="0"/>
  <pageSetup paperSize="9" scale="55" firstPageNumber="74" fitToHeight="0" orientation="portrait" useFirstPageNumber="1" r:id="rId1"/>
  <headerFooter>
    <oddFooter>Страница &amp;P</oddFooter>
    <evenHeader>&amp;LФинансовое управление Администрации городского округа Мытищи</evenHeader>
    <evenFooter>&amp;L 27.10.2017 16:16:54&amp;R&amp;P/&amp;N</evenFooter>
    <firstHeader>&amp;LФинансовое управление Администрации городского округа Мытищи</firstHeader>
    <firstFooter>&amp;L 27.10.2017 16:16:54&amp;R&amp;P/&amp;N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08"/>
  <sheetViews>
    <sheetView zoomScale="90" zoomScaleNormal="90" workbookViewId="0">
      <selection activeCell="L3" sqref="L3:Q3"/>
    </sheetView>
  </sheetViews>
  <sheetFormatPr defaultColWidth="9" defaultRowHeight="12.75" x14ac:dyDescent="0.2"/>
  <cols>
    <col min="1" max="1" width="82.85546875" style="143" customWidth="1"/>
    <col min="2" max="3" width="5.28515625" style="74" customWidth="1"/>
    <col min="4" max="4" width="15.42578125" style="74" customWidth="1"/>
    <col min="5" max="5" width="6.42578125" style="116" customWidth="1"/>
    <col min="6" max="6" width="13.42578125" style="148" customWidth="1"/>
    <col min="7" max="7" width="15.5703125" style="148" customWidth="1"/>
    <col min="8" max="11" width="12.5703125" style="239" customWidth="1"/>
    <col min="12" max="12" width="13.5703125" style="148" customWidth="1"/>
    <col min="13" max="13" width="12.5703125" style="148" customWidth="1"/>
    <col min="14" max="14" width="14.42578125" style="148" customWidth="1"/>
    <col min="15" max="15" width="13.140625" style="148" customWidth="1"/>
    <col min="16" max="16" width="12.140625" style="148" bestFit="1" customWidth="1"/>
    <col min="17" max="17" width="12" style="148" customWidth="1"/>
    <col min="18" max="16384" width="9" style="148"/>
  </cols>
  <sheetData>
    <row r="1" spans="1:17" x14ac:dyDescent="0.2">
      <c r="A1" s="100"/>
      <c r="F1" s="255"/>
      <c r="G1" s="256"/>
      <c r="H1" s="256"/>
      <c r="I1" s="256"/>
      <c r="J1" s="256"/>
      <c r="K1" s="256"/>
      <c r="L1" s="550" t="s">
        <v>1334</v>
      </c>
      <c r="M1" s="463"/>
      <c r="N1" s="463"/>
      <c r="O1" s="463"/>
      <c r="P1" s="463"/>
      <c r="Q1" s="463"/>
    </row>
    <row r="2" spans="1:17" x14ac:dyDescent="0.2">
      <c r="A2" s="103"/>
      <c r="B2" s="104"/>
      <c r="C2" s="104"/>
      <c r="D2" s="104"/>
      <c r="E2" s="117"/>
      <c r="F2" s="257"/>
      <c r="G2" s="256"/>
      <c r="H2" s="256"/>
      <c r="I2" s="256"/>
      <c r="J2" s="256"/>
      <c r="K2" s="256"/>
      <c r="L2" s="550" t="s">
        <v>1</v>
      </c>
      <c r="M2" s="463"/>
      <c r="N2" s="463"/>
      <c r="O2" s="463"/>
      <c r="P2" s="463"/>
      <c r="Q2" s="463"/>
    </row>
    <row r="3" spans="1:17" x14ac:dyDescent="0.2">
      <c r="A3" s="103"/>
      <c r="B3" s="104"/>
      <c r="C3" s="104"/>
      <c r="D3" s="104"/>
      <c r="E3" s="117"/>
      <c r="F3" s="257"/>
      <c r="G3" s="256"/>
      <c r="H3" s="256"/>
      <c r="I3" s="256"/>
      <c r="J3" s="256"/>
      <c r="K3" s="256"/>
      <c r="L3" s="550" t="s">
        <v>1738</v>
      </c>
      <c r="M3" s="463"/>
      <c r="N3" s="463"/>
      <c r="O3" s="463"/>
      <c r="P3" s="463"/>
      <c r="Q3" s="463"/>
    </row>
    <row r="4" spans="1:17" x14ac:dyDescent="0.2">
      <c r="A4" s="100"/>
      <c r="F4" s="105"/>
      <c r="G4" s="101"/>
      <c r="H4" s="101"/>
      <c r="I4" s="101"/>
      <c r="J4" s="101"/>
      <c r="K4" s="101"/>
      <c r="L4" s="101"/>
      <c r="M4" s="102"/>
    </row>
    <row r="5" spans="1:17" ht="63.6" customHeight="1" x14ac:dyDescent="0.2">
      <c r="A5" s="551" t="s">
        <v>1335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463"/>
      <c r="O5" s="463"/>
      <c r="P5" s="463"/>
      <c r="Q5" s="463"/>
    </row>
    <row r="6" spans="1:17" x14ac:dyDescent="0.2">
      <c r="A6" s="142"/>
      <c r="B6" s="106"/>
      <c r="C6" s="106"/>
      <c r="D6" s="106"/>
      <c r="E6" s="112"/>
      <c r="F6" s="106"/>
      <c r="G6" s="106"/>
      <c r="H6" s="106"/>
      <c r="I6" s="106"/>
      <c r="J6" s="106"/>
      <c r="K6" s="106"/>
      <c r="L6" s="106"/>
      <c r="M6" s="106"/>
      <c r="N6" s="106"/>
    </row>
    <row r="7" spans="1:17" x14ac:dyDescent="0.2">
      <c r="A7" s="552"/>
      <c r="B7" s="553"/>
      <c r="C7" s="553"/>
      <c r="D7" s="148"/>
      <c r="M7" s="530" t="s">
        <v>1280</v>
      </c>
      <c r="N7" s="472"/>
      <c r="O7" s="472"/>
      <c r="P7" s="472"/>
      <c r="Q7" s="472"/>
    </row>
    <row r="8" spans="1:17" x14ac:dyDescent="0.2">
      <c r="A8" s="541" t="s">
        <v>1276</v>
      </c>
      <c r="B8" s="544" t="s">
        <v>1274</v>
      </c>
      <c r="C8" s="544" t="s">
        <v>1273</v>
      </c>
      <c r="D8" s="544" t="s">
        <v>1272</v>
      </c>
      <c r="E8" s="547" t="s">
        <v>1271</v>
      </c>
      <c r="F8" s="533" t="s">
        <v>28</v>
      </c>
      <c r="G8" s="534"/>
      <c r="H8" s="535"/>
      <c r="I8" s="535"/>
      <c r="J8" s="535"/>
      <c r="K8" s="535"/>
      <c r="L8" s="556" t="s">
        <v>1379</v>
      </c>
      <c r="M8" s="556"/>
      <c r="N8" s="470"/>
      <c r="O8" s="470"/>
      <c r="P8" s="470"/>
      <c r="Q8" s="470"/>
    </row>
    <row r="9" spans="1:17" s="239" customFormat="1" x14ac:dyDescent="0.2">
      <c r="A9" s="542"/>
      <c r="B9" s="545"/>
      <c r="C9" s="545"/>
      <c r="D9" s="545"/>
      <c r="E9" s="548"/>
      <c r="F9" s="536" t="s">
        <v>4</v>
      </c>
      <c r="G9" s="537"/>
      <c r="H9" s="538" t="s">
        <v>1373</v>
      </c>
      <c r="I9" s="539"/>
      <c r="J9" s="538" t="s">
        <v>1372</v>
      </c>
      <c r="K9" s="540"/>
      <c r="L9" s="554" t="s">
        <v>4</v>
      </c>
      <c r="M9" s="555"/>
      <c r="N9" s="538" t="s">
        <v>1373</v>
      </c>
      <c r="O9" s="539"/>
      <c r="P9" s="538" t="s">
        <v>1372</v>
      </c>
      <c r="Q9" s="540"/>
    </row>
    <row r="10" spans="1:17" ht="161.65" customHeight="1" x14ac:dyDescent="0.2">
      <c r="A10" s="543"/>
      <c r="B10" s="546"/>
      <c r="C10" s="546"/>
      <c r="D10" s="546"/>
      <c r="E10" s="549"/>
      <c r="F10" s="258" t="s">
        <v>1331</v>
      </c>
      <c r="G10" s="259" t="s">
        <v>1332</v>
      </c>
      <c r="H10" s="258" t="s">
        <v>1331</v>
      </c>
      <c r="I10" s="259" t="s">
        <v>1332</v>
      </c>
      <c r="J10" s="258" t="s">
        <v>1331</v>
      </c>
      <c r="K10" s="259" t="s">
        <v>1332</v>
      </c>
      <c r="L10" s="260" t="s">
        <v>1331</v>
      </c>
      <c r="M10" s="268" t="s">
        <v>1332</v>
      </c>
      <c r="N10" s="258" t="s">
        <v>1331</v>
      </c>
      <c r="O10" s="259" t="s">
        <v>1332</v>
      </c>
      <c r="P10" s="258" t="s">
        <v>1331</v>
      </c>
      <c r="Q10" s="259" t="s">
        <v>1332</v>
      </c>
    </row>
    <row r="11" spans="1:17" x14ac:dyDescent="0.2">
      <c r="A11" s="261">
        <v>1</v>
      </c>
      <c r="B11" s="195">
        <v>2</v>
      </c>
      <c r="C11" s="195">
        <v>3</v>
      </c>
      <c r="D11" s="195">
        <v>4</v>
      </c>
      <c r="E11" s="223">
        <v>5</v>
      </c>
      <c r="F11" s="195">
        <v>6</v>
      </c>
      <c r="G11" s="195">
        <v>7</v>
      </c>
      <c r="H11" s="195">
        <v>8</v>
      </c>
      <c r="I11" s="195">
        <v>9</v>
      </c>
      <c r="J11" s="195">
        <v>10</v>
      </c>
      <c r="K11" s="195">
        <v>11</v>
      </c>
      <c r="L11" s="195">
        <v>12</v>
      </c>
      <c r="M11" s="196">
        <v>13</v>
      </c>
      <c r="N11" s="196">
        <v>14</v>
      </c>
      <c r="O11" s="196">
        <v>15</v>
      </c>
      <c r="P11" s="196">
        <v>16</v>
      </c>
      <c r="Q11" s="269">
        <v>17</v>
      </c>
    </row>
    <row r="12" spans="1:17" s="97" customFormat="1" x14ac:dyDescent="0.2">
      <c r="A12" s="262" t="s">
        <v>606</v>
      </c>
      <c r="B12" s="199" t="s">
        <v>498</v>
      </c>
      <c r="C12" s="199"/>
      <c r="D12" s="199"/>
      <c r="E12" s="199"/>
      <c r="F12" s="263">
        <v>1637070.3000000003</v>
      </c>
      <c r="G12" s="263">
        <v>38952</v>
      </c>
      <c r="H12" s="263">
        <f>H13+H20+H35+H109+H134+H142</f>
        <v>1545363.5000000002</v>
      </c>
      <c r="I12" s="263">
        <f>I13+I20+I35+I109+I134+I142</f>
        <v>38952</v>
      </c>
      <c r="J12" s="282">
        <f>H12-F12</f>
        <v>-91706.800000000047</v>
      </c>
      <c r="K12" s="263">
        <f>I12-G12</f>
        <v>0</v>
      </c>
      <c r="L12" s="263">
        <v>1307442.7000000002</v>
      </c>
      <c r="M12" s="205">
        <v>40710</v>
      </c>
      <c r="N12" s="263">
        <f>N13+N20+N35+N109+N134+N142</f>
        <v>1301242.7000000002</v>
      </c>
      <c r="O12" s="205">
        <f>O13+O20+O35+O109+O134+O142</f>
        <v>40710</v>
      </c>
      <c r="P12" s="282">
        <f>N12-L12</f>
        <v>-6200</v>
      </c>
      <c r="Q12" s="270">
        <f>O12-M12</f>
        <v>0</v>
      </c>
    </row>
    <row r="13" spans="1:17" ht="22.5" x14ac:dyDescent="0.2">
      <c r="A13" s="264" t="s">
        <v>1270</v>
      </c>
      <c r="B13" s="202" t="s">
        <v>498</v>
      </c>
      <c r="C13" s="202" t="s">
        <v>502</v>
      </c>
      <c r="D13" s="202"/>
      <c r="E13" s="202"/>
      <c r="F13" s="265">
        <v>3683.1</v>
      </c>
      <c r="G13" s="265">
        <v>0</v>
      </c>
      <c r="H13" s="265">
        <v>3683.1</v>
      </c>
      <c r="I13" s="265">
        <v>0</v>
      </c>
      <c r="J13" s="265">
        <f t="shared" ref="J13:J76" si="0">H13-F13</f>
        <v>0</v>
      </c>
      <c r="K13" s="265">
        <f t="shared" ref="K13:K76" si="1">I13-G13</f>
        <v>0</v>
      </c>
      <c r="L13" s="265">
        <v>3328.1</v>
      </c>
      <c r="M13" s="226">
        <v>0</v>
      </c>
      <c r="N13" s="265">
        <f t="shared" ref="N13:N18" si="2">N14</f>
        <v>3328.1</v>
      </c>
      <c r="O13" s="226">
        <v>0</v>
      </c>
      <c r="P13" s="281">
        <f t="shared" ref="P13:P76" si="3">N13-L13</f>
        <v>0</v>
      </c>
      <c r="Q13" s="271">
        <f t="shared" ref="Q13:Q76" si="4">O13-M13</f>
        <v>0</v>
      </c>
    </row>
    <row r="14" spans="1:17" x14ac:dyDescent="0.2">
      <c r="A14" s="264" t="s">
        <v>604</v>
      </c>
      <c r="B14" s="202" t="s">
        <v>498</v>
      </c>
      <c r="C14" s="202" t="s">
        <v>502</v>
      </c>
      <c r="D14" s="202" t="s">
        <v>603</v>
      </c>
      <c r="E14" s="202"/>
      <c r="F14" s="265">
        <v>3683.1</v>
      </c>
      <c r="G14" s="265">
        <v>0</v>
      </c>
      <c r="H14" s="265">
        <v>3683.1</v>
      </c>
      <c r="I14" s="265">
        <v>0</v>
      </c>
      <c r="J14" s="265">
        <f t="shared" si="0"/>
        <v>0</v>
      </c>
      <c r="K14" s="265">
        <f t="shared" si="1"/>
        <v>0</v>
      </c>
      <c r="L14" s="265">
        <v>3328.1</v>
      </c>
      <c r="M14" s="226">
        <v>0</v>
      </c>
      <c r="N14" s="265">
        <f t="shared" si="2"/>
        <v>3328.1</v>
      </c>
      <c r="O14" s="226">
        <v>0</v>
      </c>
      <c r="P14" s="281">
        <f t="shared" si="3"/>
        <v>0</v>
      </c>
      <c r="Q14" s="271">
        <f t="shared" si="4"/>
        <v>0</v>
      </c>
    </row>
    <row r="15" spans="1:17" x14ac:dyDescent="0.2">
      <c r="A15" s="264" t="s">
        <v>602</v>
      </c>
      <c r="B15" s="202" t="s">
        <v>498</v>
      </c>
      <c r="C15" s="202" t="s">
        <v>502</v>
      </c>
      <c r="D15" s="202" t="s">
        <v>601</v>
      </c>
      <c r="E15" s="202"/>
      <c r="F15" s="265">
        <v>3683.1</v>
      </c>
      <c r="G15" s="265">
        <v>0</v>
      </c>
      <c r="H15" s="265">
        <v>3683.1</v>
      </c>
      <c r="I15" s="265">
        <v>0</v>
      </c>
      <c r="J15" s="265">
        <f t="shared" si="0"/>
        <v>0</v>
      </c>
      <c r="K15" s="265">
        <f t="shared" si="1"/>
        <v>0</v>
      </c>
      <c r="L15" s="265">
        <v>3328.1</v>
      </c>
      <c r="M15" s="226">
        <v>0</v>
      </c>
      <c r="N15" s="265">
        <f t="shared" si="2"/>
        <v>3328.1</v>
      </c>
      <c r="O15" s="226">
        <v>0</v>
      </c>
      <c r="P15" s="281">
        <f t="shared" si="3"/>
        <v>0</v>
      </c>
      <c r="Q15" s="271">
        <f t="shared" si="4"/>
        <v>0</v>
      </c>
    </row>
    <row r="16" spans="1:17" ht="22.5" x14ac:dyDescent="0.2">
      <c r="A16" s="264" t="s">
        <v>600</v>
      </c>
      <c r="B16" s="202" t="s">
        <v>498</v>
      </c>
      <c r="C16" s="202" t="s">
        <v>502</v>
      </c>
      <c r="D16" s="202" t="s">
        <v>599</v>
      </c>
      <c r="E16" s="202"/>
      <c r="F16" s="265">
        <v>3683.1</v>
      </c>
      <c r="G16" s="265">
        <v>0</v>
      </c>
      <c r="H16" s="265">
        <v>3683.1</v>
      </c>
      <c r="I16" s="265">
        <v>0</v>
      </c>
      <c r="J16" s="265">
        <f t="shared" si="0"/>
        <v>0</v>
      </c>
      <c r="K16" s="265">
        <f t="shared" si="1"/>
        <v>0</v>
      </c>
      <c r="L16" s="265">
        <v>3328.1</v>
      </c>
      <c r="M16" s="226">
        <v>0</v>
      </c>
      <c r="N16" s="265">
        <f t="shared" si="2"/>
        <v>3328.1</v>
      </c>
      <c r="O16" s="226">
        <v>0</v>
      </c>
      <c r="P16" s="281">
        <f t="shared" si="3"/>
        <v>0</v>
      </c>
      <c r="Q16" s="271">
        <f t="shared" si="4"/>
        <v>0</v>
      </c>
    </row>
    <row r="17" spans="1:17" x14ac:dyDescent="0.2">
      <c r="A17" s="264" t="s">
        <v>1269</v>
      </c>
      <c r="B17" s="202" t="s">
        <v>498</v>
      </c>
      <c r="C17" s="202" t="s">
        <v>502</v>
      </c>
      <c r="D17" s="202" t="s">
        <v>1268</v>
      </c>
      <c r="E17" s="202"/>
      <c r="F17" s="265">
        <v>3683.1</v>
      </c>
      <c r="G17" s="265">
        <v>0</v>
      </c>
      <c r="H17" s="265">
        <v>3683.1</v>
      </c>
      <c r="I17" s="265">
        <v>0</v>
      </c>
      <c r="J17" s="265">
        <f t="shared" si="0"/>
        <v>0</v>
      </c>
      <c r="K17" s="265">
        <f t="shared" si="1"/>
        <v>0</v>
      </c>
      <c r="L17" s="265">
        <v>3328.1</v>
      </c>
      <c r="M17" s="226">
        <v>0</v>
      </c>
      <c r="N17" s="265">
        <f t="shared" si="2"/>
        <v>3328.1</v>
      </c>
      <c r="O17" s="226">
        <v>0</v>
      </c>
      <c r="P17" s="281">
        <f t="shared" si="3"/>
        <v>0</v>
      </c>
      <c r="Q17" s="271">
        <f t="shared" si="4"/>
        <v>0</v>
      </c>
    </row>
    <row r="18" spans="1:17" ht="33.75" x14ac:dyDescent="0.2">
      <c r="A18" s="264" t="s">
        <v>1348</v>
      </c>
      <c r="B18" s="202" t="s">
        <v>498</v>
      </c>
      <c r="C18" s="202" t="s">
        <v>502</v>
      </c>
      <c r="D18" s="202" t="s">
        <v>1268</v>
      </c>
      <c r="E18" s="202" t="s">
        <v>556</v>
      </c>
      <c r="F18" s="265">
        <v>3683.1</v>
      </c>
      <c r="G18" s="265">
        <v>0</v>
      </c>
      <c r="H18" s="265">
        <v>3683.1</v>
      </c>
      <c r="I18" s="265">
        <v>0</v>
      </c>
      <c r="J18" s="265">
        <f t="shared" si="0"/>
        <v>0</v>
      </c>
      <c r="K18" s="265">
        <f t="shared" si="1"/>
        <v>0</v>
      </c>
      <c r="L18" s="265">
        <v>3328.1</v>
      </c>
      <c r="M18" s="226">
        <v>0</v>
      </c>
      <c r="N18" s="265">
        <f t="shared" si="2"/>
        <v>3328.1</v>
      </c>
      <c r="O18" s="226">
        <v>0</v>
      </c>
      <c r="P18" s="281">
        <f t="shared" si="3"/>
        <v>0</v>
      </c>
      <c r="Q18" s="271">
        <f t="shared" si="4"/>
        <v>0</v>
      </c>
    </row>
    <row r="19" spans="1:17" x14ac:dyDescent="0.2">
      <c r="A19" s="264" t="s">
        <v>749</v>
      </c>
      <c r="B19" s="202" t="s">
        <v>498</v>
      </c>
      <c r="C19" s="202" t="s">
        <v>502</v>
      </c>
      <c r="D19" s="202" t="s">
        <v>1268</v>
      </c>
      <c r="E19" s="202" t="s">
        <v>745</v>
      </c>
      <c r="F19" s="265">
        <v>3683.1</v>
      </c>
      <c r="G19" s="265">
        <v>0</v>
      </c>
      <c r="H19" s="265">
        <v>3683.1</v>
      </c>
      <c r="I19" s="265">
        <v>0</v>
      </c>
      <c r="J19" s="265">
        <f t="shared" si="0"/>
        <v>0</v>
      </c>
      <c r="K19" s="265">
        <f t="shared" si="1"/>
        <v>0</v>
      </c>
      <c r="L19" s="265">
        <v>3328.1</v>
      </c>
      <c r="M19" s="226">
        <v>0</v>
      </c>
      <c r="N19" s="265">
        <f>'Ведомственная 2021-2022'!K20</f>
        <v>3328.1</v>
      </c>
      <c r="O19" s="226">
        <v>0</v>
      </c>
      <c r="P19" s="281">
        <f t="shared" si="3"/>
        <v>0</v>
      </c>
      <c r="Q19" s="271">
        <f t="shared" si="4"/>
        <v>0</v>
      </c>
    </row>
    <row r="20" spans="1:17" ht="22.5" x14ac:dyDescent="0.2">
      <c r="A20" s="264" t="s">
        <v>771</v>
      </c>
      <c r="B20" s="202" t="s">
        <v>498</v>
      </c>
      <c r="C20" s="202" t="s">
        <v>531</v>
      </c>
      <c r="D20" s="202"/>
      <c r="E20" s="202"/>
      <c r="F20" s="265">
        <v>25494.799999999999</v>
      </c>
      <c r="G20" s="265">
        <v>0</v>
      </c>
      <c r="H20" s="265">
        <v>25494.799999999999</v>
      </c>
      <c r="I20" s="265">
        <v>0</v>
      </c>
      <c r="J20" s="265">
        <f t="shared" si="0"/>
        <v>0</v>
      </c>
      <c r="K20" s="265">
        <f t="shared" si="1"/>
        <v>0</v>
      </c>
      <c r="L20" s="265">
        <v>22909.8</v>
      </c>
      <c r="M20" s="226">
        <v>0</v>
      </c>
      <c r="N20" s="265">
        <f>N21</f>
        <v>22909.8</v>
      </c>
      <c r="O20" s="226">
        <v>0</v>
      </c>
      <c r="P20" s="281">
        <f t="shared" si="3"/>
        <v>0</v>
      </c>
      <c r="Q20" s="271">
        <f t="shared" si="4"/>
        <v>0</v>
      </c>
    </row>
    <row r="21" spans="1:17" x14ac:dyDescent="0.2">
      <c r="A21" s="264" t="s">
        <v>757</v>
      </c>
      <c r="B21" s="202" t="s">
        <v>498</v>
      </c>
      <c r="C21" s="202" t="s">
        <v>531</v>
      </c>
      <c r="D21" s="202" t="s">
        <v>756</v>
      </c>
      <c r="E21" s="202"/>
      <c r="F21" s="265">
        <v>25494.799999999999</v>
      </c>
      <c r="G21" s="265">
        <v>0</v>
      </c>
      <c r="H21" s="265">
        <v>25494.799999999999</v>
      </c>
      <c r="I21" s="265">
        <v>0</v>
      </c>
      <c r="J21" s="265">
        <f t="shared" si="0"/>
        <v>0</v>
      </c>
      <c r="K21" s="265">
        <f t="shared" si="1"/>
        <v>0</v>
      </c>
      <c r="L21" s="265">
        <v>22909.8</v>
      </c>
      <c r="M21" s="226">
        <v>0</v>
      </c>
      <c r="N21" s="265">
        <f>N22+N25+N28</f>
        <v>22909.8</v>
      </c>
      <c r="O21" s="226">
        <v>0</v>
      </c>
      <c r="P21" s="281">
        <f t="shared" si="3"/>
        <v>0</v>
      </c>
      <c r="Q21" s="271">
        <f t="shared" si="4"/>
        <v>0</v>
      </c>
    </row>
    <row r="22" spans="1:17" x14ac:dyDescent="0.2">
      <c r="A22" s="264" t="s">
        <v>770</v>
      </c>
      <c r="B22" s="202" t="s">
        <v>498</v>
      </c>
      <c r="C22" s="202" t="s">
        <v>531</v>
      </c>
      <c r="D22" s="202" t="s">
        <v>769</v>
      </c>
      <c r="E22" s="202"/>
      <c r="F22" s="265">
        <v>3513.8</v>
      </c>
      <c r="G22" s="265">
        <v>0</v>
      </c>
      <c r="H22" s="265">
        <v>3513.8</v>
      </c>
      <c r="I22" s="265">
        <v>0</v>
      </c>
      <c r="J22" s="265">
        <f t="shared" si="0"/>
        <v>0</v>
      </c>
      <c r="K22" s="265">
        <f t="shared" si="1"/>
        <v>0</v>
      </c>
      <c r="L22" s="265">
        <v>3158.8</v>
      </c>
      <c r="M22" s="226">
        <v>0</v>
      </c>
      <c r="N22" s="265">
        <f>N23</f>
        <v>3158.8</v>
      </c>
      <c r="O22" s="226">
        <v>0</v>
      </c>
      <c r="P22" s="281">
        <f t="shared" si="3"/>
        <v>0</v>
      </c>
      <c r="Q22" s="271">
        <f t="shared" si="4"/>
        <v>0</v>
      </c>
    </row>
    <row r="23" spans="1:17" ht="33.75" x14ac:dyDescent="0.2">
      <c r="A23" s="264" t="s">
        <v>1348</v>
      </c>
      <c r="B23" s="202" t="s">
        <v>498</v>
      </c>
      <c r="C23" s="202" t="s">
        <v>531</v>
      </c>
      <c r="D23" s="202" t="s">
        <v>769</v>
      </c>
      <c r="E23" s="202" t="s">
        <v>556</v>
      </c>
      <c r="F23" s="265">
        <v>3513.8</v>
      </c>
      <c r="G23" s="265">
        <v>0</v>
      </c>
      <c r="H23" s="265">
        <v>3513.8</v>
      </c>
      <c r="I23" s="265">
        <v>0</v>
      </c>
      <c r="J23" s="265">
        <f t="shared" si="0"/>
        <v>0</v>
      </c>
      <c r="K23" s="265">
        <f t="shared" si="1"/>
        <v>0</v>
      </c>
      <c r="L23" s="265">
        <v>3158.8</v>
      </c>
      <c r="M23" s="226">
        <v>0</v>
      </c>
      <c r="N23" s="265">
        <f>N24</f>
        <v>3158.8</v>
      </c>
      <c r="O23" s="226">
        <v>0</v>
      </c>
      <c r="P23" s="281">
        <f t="shared" si="3"/>
        <v>0</v>
      </c>
      <c r="Q23" s="271">
        <f t="shared" si="4"/>
        <v>0</v>
      </c>
    </row>
    <row r="24" spans="1:17" x14ac:dyDescent="0.2">
      <c r="A24" s="264" t="s">
        <v>749</v>
      </c>
      <c r="B24" s="202" t="s">
        <v>498</v>
      </c>
      <c r="C24" s="202" t="s">
        <v>531</v>
      </c>
      <c r="D24" s="202" t="s">
        <v>769</v>
      </c>
      <c r="E24" s="202" t="s">
        <v>745</v>
      </c>
      <c r="F24" s="265">
        <v>3513.8</v>
      </c>
      <c r="G24" s="265">
        <v>0</v>
      </c>
      <c r="H24" s="265">
        <v>3513.8</v>
      </c>
      <c r="I24" s="265">
        <v>0</v>
      </c>
      <c r="J24" s="265">
        <f t="shared" si="0"/>
        <v>0</v>
      </c>
      <c r="K24" s="265">
        <f t="shared" si="1"/>
        <v>0</v>
      </c>
      <c r="L24" s="265">
        <v>3158.8</v>
      </c>
      <c r="M24" s="226">
        <v>0</v>
      </c>
      <c r="N24" s="265">
        <f>'Ведомственная 2021-2022'!K924</f>
        <v>3158.8</v>
      </c>
      <c r="O24" s="226">
        <v>0</v>
      </c>
      <c r="P24" s="281">
        <f t="shared" si="3"/>
        <v>0</v>
      </c>
      <c r="Q24" s="271">
        <f t="shared" si="4"/>
        <v>0</v>
      </c>
    </row>
    <row r="25" spans="1:17" ht="22.5" x14ac:dyDescent="0.2">
      <c r="A25" s="264" t="s">
        <v>1343</v>
      </c>
      <c r="B25" s="202" t="s">
        <v>498</v>
      </c>
      <c r="C25" s="202" t="s">
        <v>531</v>
      </c>
      <c r="D25" s="202" t="s">
        <v>768</v>
      </c>
      <c r="E25" s="202"/>
      <c r="F25" s="265">
        <v>2993</v>
      </c>
      <c r="G25" s="265">
        <v>0</v>
      </c>
      <c r="H25" s="265">
        <v>2993</v>
      </c>
      <c r="I25" s="265">
        <v>0</v>
      </c>
      <c r="J25" s="265">
        <f t="shared" si="0"/>
        <v>0</v>
      </c>
      <c r="K25" s="265">
        <f t="shared" si="1"/>
        <v>0</v>
      </c>
      <c r="L25" s="265">
        <v>2638</v>
      </c>
      <c r="M25" s="226">
        <v>0</v>
      </c>
      <c r="N25" s="265">
        <f>N26</f>
        <v>2638</v>
      </c>
      <c r="O25" s="226">
        <v>0</v>
      </c>
      <c r="P25" s="281">
        <f t="shared" si="3"/>
        <v>0</v>
      </c>
      <c r="Q25" s="271">
        <f t="shared" si="4"/>
        <v>0</v>
      </c>
    </row>
    <row r="26" spans="1:17" ht="33.75" x14ac:dyDescent="0.2">
      <c r="A26" s="264" t="s">
        <v>1348</v>
      </c>
      <c r="B26" s="202" t="s">
        <v>498</v>
      </c>
      <c r="C26" s="202" t="s">
        <v>531</v>
      </c>
      <c r="D26" s="202" t="s">
        <v>768</v>
      </c>
      <c r="E26" s="202" t="s">
        <v>556</v>
      </c>
      <c r="F26" s="265">
        <v>2993</v>
      </c>
      <c r="G26" s="265">
        <v>0</v>
      </c>
      <c r="H26" s="265">
        <v>2993</v>
      </c>
      <c r="I26" s="265">
        <v>0</v>
      </c>
      <c r="J26" s="265">
        <f t="shared" si="0"/>
        <v>0</v>
      </c>
      <c r="K26" s="265">
        <f t="shared" si="1"/>
        <v>0</v>
      </c>
      <c r="L26" s="265">
        <v>2638</v>
      </c>
      <c r="M26" s="226">
        <v>0</v>
      </c>
      <c r="N26" s="265">
        <f>N27</f>
        <v>2638</v>
      </c>
      <c r="O26" s="226">
        <v>0</v>
      </c>
      <c r="P26" s="281">
        <f t="shared" si="3"/>
        <v>0</v>
      </c>
      <c r="Q26" s="271">
        <f t="shared" si="4"/>
        <v>0</v>
      </c>
    </row>
    <row r="27" spans="1:17" x14ac:dyDescent="0.2">
      <c r="A27" s="264" t="s">
        <v>749</v>
      </c>
      <c r="B27" s="202" t="s">
        <v>498</v>
      </c>
      <c r="C27" s="202" t="s">
        <v>531</v>
      </c>
      <c r="D27" s="202" t="s">
        <v>768</v>
      </c>
      <c r="E27" s="202" t="s">
        <v>745</v>
      </c>
      <c r="F27" s="265">
        <v>2993</v>
      </c>
      <c r="G27" s="265">
        <v>0</v>
      </c>
      <c r="H27" s="265">
        <v>2993</v>
      </c>
      <c r="I27" s="265">
        <v>0</v>
      </c>
      <c r="J27" s="265">
        <f t="shared" si="0"/>
        <v>0</v>
      </c>
      <c r="K27" s="265">
        <f t="shared" si="1"/>
        <v>0</v>
      </c>
      <c r="L27" s="265">
        <v>2638</v>
      </c>
      <c r="M27" s="226">
        <v>0</v>
      </c>
      <c r="N27" s="265">
        <f>'Ведомственная 2021-2022'!K927</f>
        <v>2638</v>
      </c>
      <c r="O27" s="226">
        <v>0</v>
      </c>
      <c r="P27" s="281">
        <f t="shared" si="3"/>
        <v>0</v>
      </c>
      <c r="Q27" s="271">
        <f t="shared" si="4"/>
        <v>0</v>
      </c>
    </row>
    <row r="28" spans="1:17" x14ac:dyDescent="0.2">
      <c r="A28" s="264" t="s">
        <v>767</v>
      </c>
      <c r="B28" s="202" t="s">
        <v>498</v>
      </c>
      <c r="C28" s="202" t="s">
        <v>531</v>
      </c>
      <c r="D28" s="202" t="s">
        <v>765</v>
      </c>
      <c r="E28" s="202"/>
      <c r="F28" s="265">
        <v>18988</v>
      </c>
      <c r="G28" s="265">
        <v>0</v>
      </c>
      <c r="H28" s="265">
        <v>18988</v>
      </c>
      <c r="I28" s="265">
        <v>0</v>
      </c>
      <c r="J28" s="265">
        <f t="shared" si="0"/>
        <v>0</v>
      </c>
      <c r="K28" s="265">
        <f t="shared" si="1"/>
        <v>0</v>
      </c>
      <c r="L28" s="265">
        <v>17113</v>
      </c>
      <c r="M28" s="226">
        <v>0</v>
      </c>
      <c r="N28" s="265">
        <f>N29+N31+N33</f>
        <v>17113</v>
      </c>
      <c r="O28" s="226">
        <v>0</v>
      </c>
      <c r="P28" s="281">
        <f t="shared" si="3"/>
        <v>0</v>
      </c>
      <c r="Q28" s="271">
        <f t="shared" si="4"/>
        <v>0</v>
      </c>
    </row>
    <row r="29" spans="1:17" ht="33.75" x14ac:dyDescent="0.2">
      <c r="A29" s="264" t="s">
        <v>1348</v>
      </c>
      <c r="B29" s="202" t="s">
        <v>498</v>
      </c>
      <c r="C29" s="202" t="s">
        <v>531</v>
      </c>
      <c r="D29" s="202" t="s">
        <v>765</v>
      </c>
      <c r="E29" s="202" t="s">
        <v>556</v>
      </c>
      <c r="F29" s="265">
        <v>10856.1</v>
      </c>
      <c r="G29" s="265">
        <v>0</v>
      </c>
      <c r="H29" s="265">
        <v>10856.1</v>
      </c>
      <c r="I29" s="265">
        <v>0</v>
      </c>
      <c r="J29" s="265">
        <f t="shared" si="0"/>
        <v>0</v>
      </c>
      <c r="K29" s="265">
        <f t="shared" si="1"/>
        <v>0</v>
      </c>
      <c r="L29" s="265">
        <v>8981.1</v>
      </c>
      <c r="M29" s="226">
        <v>0</v>
      </c>
      <c r="N29" s="265">
        <f>N30</f>
        <v>8981.1</v>
      </c>
      <c r="O29" s="226">
        <v>0</v>
      </c>
      <c r="P29" s="281">
        <f t="shared" si="3"/>
        <v>0</v>
      </c>
      <c r="Q29" s="271">
        <f t="shared" si="4"/>
        <v>0</v>
      </c>
    </row>
    <row r="30" spans="1:17" x14ac:dyDescent="0.2">
      <c r="A30" s="264" t="s">
        <v>749</v>
      </c>
      <c r="B30" s="202" t="s">
        <v>498</v>
      </c>
      <c r="C30" s="202" t="s">
        <v>531</v>
      </c>
      <c r="D30" s="202" t="s">
        <v>765</v>
      </c>
      <c r="E30" s="202" t="s">
        <v>745</v>
      </c>
      <c r="F30" s="265">
        <v>10856.1</v>
      </c>
      <c r="G30" s="265">
        <v>0</v>
      </c>
      <c r="H30" s="265">
        <v>10856.1</v>
      </c>
      <c r="I30" s="265">
        <v>0</v>
      </c>
      <c r="J30" s="265">
        <f t="shared" si="0"/>
        <v>0</v>
      </c>
      <c r="K30" s="265">
        <f t="shared" si="1"/>
        <v>0</v>
      </c>
      <c r="L30" s="265">
        <v>8981.1</v>
      </c>
      <c r="M30" s="226">
        <v>0</v>
      </c>
      <c r="N30" s="265">
        <f>'Ведомственная 2021-2022'!K930</f>
        <v>8981.1</v>
      </c>
      <c r="O30" s="226">
        <v>0</v>
      </c>
      <c r="P30" s="281">
        <f t="shared" si="3"/>
        <v>0</v>
      </c>
      <c r="Q30" s="271">
        <f t="shared" si="4"/>
        <v>0</v>
      </c>
    </row>
    <row r="31" spans="1:17" ht="26.65" customHeight="1" x14ac:dyDescent="0.2">
      <c r="A31" s="264" t="s">
        <v>1347</v>
      </c>
      <c r="B31" s="202" t="s">
        <v>498</v>
      </c>
      <c r="C31" s="202" t="s">
        <v>531</v>
      </c>
      <c r="D31" s="202" t="s">
        <v>765</v>
      </c>
      <c r="E31" s="202" t="s">
        <v>535</v>
      </c>
      <c r="F31" s="265">
        <v>8081.9</v>
      </c>
      <c r="G31" s="265">
        <v>0</v>
      </c>
      <c r="H31" s="265">
        <v>8081.9</v>
      </c>
      <c r="I31" s="265">
        <v>0</v>
      </c>
      <c r="J31" s="265">
        <f t="shared" si="0"/>
        <v>0</v>
      </c>
      <c r="K31" s="265">
        <f t="shared" si="1"/>
        <v>0</v>
      </c>
      <c r="L31" s="265">
        <v>8081.9</v>
      </c>
      <c r="M31" s="226">
        <v>0</v>
      </c>
      <c r="N31" s="265">
        <v>8081.9</v>
      </c>
      <c r="O31" s="226">
        <v>0</v>
      </c>
      <c r="P31" s="265">
        <f t="shared" si="3"/>
        <v>0</v>
      </c>
      <c r="Q31" s="271">
        <f t="shared" si="4"/>
        <v>0</v>
      </c>
    </row>
    <row r="32" spans="1:17" x14ac:dyDescent="0.2">
      <c r="A32" s="264" t="s">
        <v>534</v>
      </c>
      <c r="B32" s="202" t="s">
        <v>498</v>
      </c>
      <c r="C32" s="202" t="s">
        <v>531</v>
      </c>
      <c r="D32" s="202" t="s">
        <v>765</v>
      </c>
      <c r="E32" s="202" t="s">
        <v>529</v>
      </c>
      <c r="F32" s="265">
        <v>8081.9</v>
      </c>
      <c r="G32" s="265">
        <v>0</v>
      </c>
      <c r="H32" s="265">
        <v>8081.9</v>
      </c>
      <c r="I32" s="265">
        <v>0</v>
      </c>
      <c r="J32" s="265">
        <f t="shared" si="0"/>
        <v>0</v>
      </c>
      <c r="K32" s="265">
        <f t="shared" si="1"/>
        <v>0</v>
      </c>
      <c r="L32" s="265">
        <v>8081.9</v>
      </c>
      <c r="M32" s="226">
        <v>0</v>
      </c>
      <c r="N32" s="265">
        <v>8081.9</v>
      </c>
      <c r="O32" s="226">
        <v>0</v>
      </c>
      <c r="P32" s="265">
        <f t="shared" si="3"/>
        <v>0</v>
      </c>
      <c r="Q32" s="271">
        <f t="shared" si="4"/>
        <v>0</v>
      </c>
    </row>
    <row r="33" spans="1:17" x14ac:dyDescent="0.2">
      <c r="A33" s="264" t="s">
        <v>615</v>
      </c>
      <c r="B33" s="202" t="s">
        <v>498</v>
      </c>
      <c r="C33" s="202" t="s">
        <v>531</v>
      </c>
      <c r="D33" s="202" t="s">
        <v>765</v>
      </c>
      <c r="E33" s="202" t="s">
        <v>509</v>
      </c>
      <c r="F33" s="265">
        <v>50</v>
      </c>
      <c r="G33" s="265">
        <v>0</v>
      </c>
      <c r="H33" s="265">
        <v>50</v>
      </c>
      <c r="I33" s="265">
        <v>0</v>
      </c>
      <c r="J33" s="265">
        <f t="shared" si="0"/>
        <v>0</v>
      </c>
      <c r="K33" s="265">
        <f t="shared" si="1"/>
        <v>0</v>
      </c>
      <c r="L33" s="265">
        <v>50</v>
      </c>
      <c r="M33" s="226">
        <v>0</v>
      </c>
      <c r="N33" s="265">
        <v>50</v>
      </c>
      <c r="O33" s="226">
        <v>0</v>
      </c>
      <c r="P33" s="265">
        <f t="shared" si="3"/>
        <v>0</v>
      </c>
      <c r="Q33" s="271">
        <f t="shared" si="4"/>
        <v>0</v>
      </c>
    </row>
    <row r="34" spans="1:17" x14ac:dyDescent="0.2">
      <c r="A34" s="264" t="s">
        <v>614</v>
      </c>
      <c r="B34" s="202" t="s">
        <v>498</v>
      </c>
      <c r="C34" s="202" t="s">
        <v>531</v>
      </c>
      <c r="D34" s="202" t="s">
        <v>765</v>
      </c>
      <c r="E34" s="202" t="s">
        <v>613</v>
      </c>
      <c r="F34" s="265">
        <v>50</v>
      </c>
      <c r="G34" s="265">
        <v>0</v>
      </c>
      <c r="H34" s="265">
        <v>50</v>
      </c>
      <c r="I34" s="265">
        <v>0</v>
      </c>
      <c r="J34" s="265">
        <f t="shared" si="0"/>
        <v>0</v>
      </c>
      <c r="K34" s="265">
        <f t="shared" si="1"/>
        <v>0</v>
      </c>
      <c r="L34" s="265">
        <v>50</v>
      </c>
      <c r="M34" s="226">
        <v>0</v>
      </c>
      <c r="N34" s="265">
        <v>50</v>
      </c>
      <c r="O34" s="226">
        <v>0</v>
      </c>
      <c r="P34" s="265">
        <f t="shared" si="3"/>
        <v>0</v>
      </c>
      <c r="Q34" s="271">
        <f t="shared" si="4"/>
        <v>0</v>
      </c>
    </row>
    <row r="35" spans="1:17" ht="22.5" x14ac:dyDescent="0.2">
      <c r="A35" s="264" t="s">
        <v>605</v>
      </c>
      <c r="B35" s="202" t="s">
        <v>498</v>
      </c>
      <c r="C35" s="202" t="s">
        <v>507</v>
      </c>
      <c r="D35" s="202"/>
      <c r="E35" s="202"/>
      <c r="F35" s="265">
        <v>675786.3</v>
      </c>
      <c r="G35" s="265">
        <v>34293</v>
      </c>
      <c r="H35" s="265">
        <f>H36+H49+H57+H65+H73+H89+H105+H81+H99</f>
        <v>584079.50000000012</v>
      </c>
      <c r="I35" s="265">
        <f>I36+I49+I57+I65+I73+I89+I105+I81+I99</f>
        <v>34293</v>
      </c>
      <c r="J35" s="281">
        <f t="shared" si="0"/>
        <v>-91706.79999999993</v>
      </c>
      <c r="K35" s="265">
        <f t="shared" si="1"/>
        <v>0</v>
      </c>
      <c r="L35" s="265">
        <v>346559.2</v>
      </c>
      <c r="M35" s="226">
        <v>34307</v>
      </c>
      <c r="N35" s="265">
        <f>N36+N49+N57+N65+N73+N89+N105+N81+N99</f>
        <v>340359.2</v>
      </c>
      <c r="O35" s="226">
        <f>O36+O49+O57+O65+O73+O89+O105+O81+O99</f>
        <v>34307</v>
      </c>
      <c r="P35" s="281">
        <f t="shared" si="3"/>
        <v>-6200</v>
      </c>
      <c r="Q35" s="271">
        <f t="shared" si="4"/>
        <v>0</v>
      </c>
    </row>
    <row r="36" spans="1:17" x14ac:dyDescent="0.2">
      <c r="A36" s="264" t="s">
        <v>653</v>
      </c>
      <c r="B36" s="202" t="s">
        <v>498</v>
      </c>
      <c r="C36" s="202" t="s">
        <v>507</v>
      </c>
      <c r="D36" s="202" t="s">
        <v>652</v>
      </c>
      <c r="E36" s="202"/>
      <c r="F36" s="265">
        <v>4752</v>
      </c>
      <c r="G36" s="265">
        <v>4277</v>
      </c>
      <c r="H36" s="265">
        <v>4752</v>
      </c>
      <c r="I36" s="265">
        <v>4277</v>
      </c>
      <c r="J36" s="265">
        <f t="shared" si="0"/>
        <v>0</v>
      </c>
      <c r="K36" s="265">
        <f t="shared" si="1"/>
        <v>0</v>
      </c>
      <c r="L36" s="265">
        <v>4766</v>
      </c>
      <c r="M36" s="226">
        <v>4291</v>
      </c>
      <c r="N36" s="265">
        <v>4766</v>
      </c>
      <c r="O36" s="226">
        <v>4291</v>
      </c>
      <c r="P36" s="265">
        <f t="shared" si="3"/>
        <v>0</v>
      </c>
      <c r="Q36" s="271">
        <f t="shared" si="4"/>
        <v>0</v>
      </c>
    </row>
    <row r="37" spans="1:17" x14ac:dyDescent="0.2">
      <c r="A37" s="264" t="s">
        <v>1267</v>
      </c>
      <c r="B37" s="202" t="s">
        <v>498</v>
      </c>
      <c r="C37" s="202" t="s">
        <v>507</v>
      </c>
      <c r="D37" s="202" t="s">
        <v>1266</v>
      </c>
      <c r="E37" s="202"/>
      <c r="F37" s="265">
        <v>4752</v>
      </c>
      <c r="G37" s="265">
        <v>4277</v>
      </c>
      <c r="H37" s="265">
        <v>4752</v>
      </c>
      <c r="I37" s="265">
        <v>4277</v>
      </c>
      <c r="J37" s="265">
        <f t="shared" si="0"/>
        <v>0</v>
      </c>
      <c r="K37" s="265">
        <f t="shared" si="1"/>
        <v>0</v>
      </c>
      <c r="L37" s="265">
        <v>4766</v>
      </c>
      <c r="M37" s="226">
        <v>4291</v>
      </c>
      <c r="N37" s="265">
        <v>4766</v>
      </c>
      <c r="O37" s="226">
        <v>4291</v>
      </c>
      <c r="P37" s="265">
        <f t="shared" si="3"/>
        <v>0</v>
      </c>
      <c r="Q37" s="271">
        <f t="shared" si="4"/>
        <v>0</v>
      </c>
    </row>
    <row r="38" spans="1:17" ht="22.5" x14ac:dyDescent="0.2">
      <c r="A38" s="264" t="s">
        <v>1265</v>
      </c>
      <c r="B38" s="202" t="s">
        <v>498</v>
      </c>
      <c r="C38" s="202" t="s">
        <v>507</v>
      </c>
      <c r="D38" s="202" t="s">
        <v>1264</v>
      </c>
      <c r="E38" s="202"/>
      <c r="F38" s="265">
        <v>400</v>
      </c>
      <c r="G38" s="265">
        <v>0</v>
      </c>
      <c r="H38" s="265">
        <v>400</v>
      </c>
      <c r="I38" s="265">
        <v>0</v>
      </c>
      <c r="J38" s="265">
        <f t="shared" si="0"/>
        <v>0</v>
      </c>
      <c r="K38" s="265">
        <f t="shared" si="1"/>
        <v>0</v>
      </c>
      <c r="L38" s="265">
        <v>400</v>
      </c>
      <c r="M38" s="265">
        <v>0</v>
      </c>
      <c r="N38" s="265">
        <v>400</v>
      </c>
      <c r="O38" s="265">
        <v>0</v>
      </c>
      <c r="P38" s="265">
        <f t="shared" si="3"/>
        <v>0</v>
      </c>
      <c r="Q38" s="271">
        <f t="shared" si="4"/>
        <v>0</v>
      </c>
    </row>
    <row r="39" spans="1:17" x14ac:dyDescent="0.2">
      <c r="A39" s="264" t="s">
        <v>1263</v>
      </c>
      <c r="B39" s="202" t="s">
        <v>498</v>
      </c>
      <c r="C39" s="202" t="s">
        <v>507</v>
      </c>
      <c r="D39" s="202" t="s">
        <v>1262</v>
      </c>
      <c r="E39" s="202"/>
      <c r="F39" s="265">
        <v>400</v>
      </c>
      <c r="G39" s="265">
        <v>0</v>
      </c>
      <c r="H39" s="265">
        <v>400</v>
      </c>
      <c r="I39" s="265">
        <v>0</v>
      </c>
      <c r="J39" s="265">
        <f t="shared" si="0"/>
        <v>0</v>
      </c>
      <c r="K39" s="265">
        <f t="shared" si="1"/>
        <v>0</v>
      </c>
      <c r="L39" s="265">
        <v>400</v>
      </c>
      <c r="M39" s="265">
        <v>0</v>
      </c>
      <c r="N39" s="265">
        <v>400</v>
      </c>
      <c r="O39" s="265">
        <v>0</v>
      </c>
      <c r="P39" s="265">
        <f t="shared" si="3"/>
        <v>0</v>
      </c>
      <c r="Q39" s="271">
        <f t="shared" si="4"/>
        <v>0</v>
      </c>
    </row>
    <row r="40" spans="1:17" x14ac:dyDescent="0.2">
      <c r="A40" s="264" t="s">
        <v>1347</v>
      </c>
      <c r="B40" s="202" t="s">
        <v>498</v>
      </c>
      <c r="C40" s="202" t="s">
        <v>507</v>
      </c>
      <c r="D40" s="202" t="s">
        <v>1262</v>
      </c>
      <c r="E40" s="202" t="s">
        <v>535</v>
      </c>
      <c r="F40" s="265">
        <v>400</v>
      </c>
      <c r="G40" s="265">
        <v>0</v>
      </c>
      <c r="H40" s="265">
        <v>400</v>
      </c>
      <c r="I40" s="265">
        <v>0</v>
      </c>
      <c r="J40" s="265">
        <f t="shared" si="0"/>
        <v>0</v>
      </c>
      <c r="K40" s="265">
        <f t="shared" si="1"/>
        <v>0</v>
      </c>
      <c r="L40" s="265">
        <v>400</v>
      </c>
      <c r="M40" s="265">
        <v>0</v>
      </c>
      <c r="N40" s="265">
        <v>400</v>
      </c>
      <c r="O40" s="265">
        <v>0</v>
      </c>
      <c r="P40" s="265">
        <f t="shared" si="3"/>
        <v>0</v>
      </c>
      <c r="Q40" s="271">
        <f t="shared" si="4"/>
        <v>0</v>
      </c>
    </row>
    <row r="41" spans="1:17" x14ac:dyDescent="0.2">
      <c r="A41" s="264" t="s">
        <v>534</v>
      </c>
      <c r="B41" s="202" t="s">
        <v>498</v>
      </c>
      <c r="C41" s="202" t="s">
        <v>507</v>
      </c>
      <c r="D41" s="202" t="s">
        <v>1262</v>
      </c>
      <c r="E41" s="202" t="s">
        <v>529</v>
      </c>
      <c r="F41" s="265">
        <v>400</v>
      </c>
      <c r="G41" s="265">
        <v>0</v>
      </c>
      <c r="H41" s="265">
        <v>400</v>
      </c>
      <c r="I41" s="265">
        <v>0</v>
      </c>
      <c r="J41" s="265">
        <f t="shared" si="0"/>
        <v>0</v>
      </c>
      <c r="K41" s="265">
        <f t="shared" si="1"/>
        <v>0</v>
      </c>
      <c r="L41" s="265">
        <v>400</v>
      </c>
      <c r="M41" s="265">
        <v>0</v>
      </c>
      <c r="N41" s="265">
        <v>400</v>
      </c>
      <c r="O41" s="265">
        <v>0</v>
      </c>
      <c r="P41" s="265">
        <f t="shared" si="3"/>
        <v>0</v>
      </c>
      <c r="Q41" s="271">
        <f t="shared" si="4"/>
        <v>0</v>
      </c>
    </row>
    <row r="42" spans="1:17" ht="33.75" x14ac:dyDescent="0.2">
      <c r="A42" s="264" t="s">
        <v>1261</v>
      </c>
      <c r="B42" s="202" t="s">
        <v>498</v>
      </c>
      <c r="C42" s="202" t="s">
        <v>507</v>
      </c>
      <c r="D42" s="202" t="s">
        <v>1260</v>
      </c>
      <c r="E42" s="202"/>
      <c r="F42" s="265">
        <v>4352</v>
      </c>
      <c r="G42" s="265">
        <v>4277</v>
      </c>
      <c r="H42" s="265">
        <v>4352</v>
      </c>
      <c r="I42" s="265">
        <v>4277</v>
      </c>
      <c r="J42" s="265">
        <f t="shared" si="0"/>
        <v>0</v>
      </c>
      <c r="K42" s="265">
        <f t="shared" si="1"/>
        <v>0</v>
      </c>
      <c r="L42" s="265">
        <v>4366</v>
      </c>
      <c r="M42" s="226">
        <v>4291</v>
      </c>
      <c r="N42" s="265">
        <v>4366</v>
      </c>
      <c r="O42" s="226">
        <v>4291</v>
      </c>
      <c r="P42" s="265">
        <f t="shared" si="3"/>
        <v>0</v>
      </c>
      <c r="Q42" s="271">
        <f t="shared" si="4"/>
        <v>0</v>
      </c>
    </row>
    <row r="43" spans="1:17" ht="33.75" x14ac:dyDescent="0.2">
      <c r="A43" s="264" t="s">
        <v>1259</v>
      </c>
      <c r="B43" s="202" t="s">
        <v>498</v>
      </c>
      <c r="C43" s="202" t="s">
        <v>507</v>
      </c>
      <c r="D43" s="202" t="s">
        <v>1258</v>
      </c>
      <c r="E43" s="202"/>
      <c r="F43" s="265">
        <v>4277</v>
      </c>
      <c r="G43" s="265">
        <v>4277</v>
      </c>
      <c r="H43" s="265">
        <v>4277</v>
      </c>
      <c r="I43" s="265">
        <v>4277</v>
      </c>
      <c r="J43" s="265">
        <f t="shared" si="0"/>
        <v>0</v>
      </c>
      <c r="K43" s="265">
        <f t="shared" si="1"/>
        <v>0</v>
      </c>
      <c r="L43" s="265">
        <v>4291</v>
      </c>
      <c r="M43" s="226">
        <v>4291</v>
      </c>
      <c r="N43" s="265">
        <v>4291</v>
      </c>
      <c r="O43" s="226">
        <v>4291</v>
      </c>
      <c r="P43" s="265">
        <f t="shared" si="3"/>
        <v>0</v>
      </c>
      <c r="Q43" s="271">
        <f t="shared" si="4"/>
        <v>0</v>
      </c>
    </row>
    <row r="44" spans="1:17" ht="33.75" x14ac:dyDescent="0.2">
      <c r="A44" s="264" t="s">
        <v>1348</v>
      </c>
      <c r="B44" s="202" t="s">
        <v>498</v>
      </c>
      <c r="C44" s="202" t="s">
        <v>507</v>
      </c>
      <c r="D44" s="202" t="s">
        <v>1258</v>
      </c>
      <c r="E44" s="202" t="s">
        <v>556</v>
      </c>
      <c r="F44" s="265">
        <v>4277</v>
      </c>
      <c r="G44" s="265">
        <v>4277</v>
      </c>
      <c r="H44" s="265">
        <v>4277</v>
      </c>
      <c r="I44" s="265">
        <v>4277</v>
      </c>
      <c r="J44" s="265">
        <f t="shared" si="0"/>
        <v>0</v>
      </c>
      <c r="K44" s="265">
        <f t="shared" si="1"/>
        <v>0</v>
      </c>
      <c r="L44" s="265">
        <v>4291</v>
      </c>
      <c r="M44" s="226">
        <v>4291</v>
      </c>
      <c r="N44" s="265">
        <v>4291</v>
      </c>
      <c r="O44" s="226">
        <v>4291</v>
      </c>
      <c r="P44" s="265">
        <f t="shared" si="3"/>
        <v>0</v>
      </c>
      <c r="Q44" s="271">
        <f t="shared" si="4"/>
        <v>0</v>
      </c>
    </row>
    <row r="45" spans="1:17" x14ac:dyDescent="0.2">
      <c r="A45" s="264" t="s">
        <v>749</v>
      </c>
      <c r="B45" s="202" t="s">
        <v>498</v>
      </c>
      <c r="C45" s="202" t="s">
        <v>507</v>
      </c>
      <c r="D45" s="202" t="s">
        <v>1258</v>
      </c>
      <c r="E45" s="202" t="s">
        <v>745</v>
      </c>
      <c r="F45" s="265">
        <v>4277</v>
      </c>
      <c r="G45" s="265">
        <v>4277</v>
      </c>
      <c r="H45" s="265">
        <v>4277</v>
      </c>
      <c r="I45" s="265">
        <v>4277</v>
      </c>
      <c r="J45" s="265">
        <f t="shared" si="0"/>
        <v>0</v>
      </c>
      <c r="K45" s="265">
        <f t="shared" si="1"/>
        <v>0</v>
      </c>
      <c r="L45" s="265">
        <v>4291</v>
      </c>
      <c r="M45" s="226">
        <v>4291</v>
      </c>
      <c r="N45" s="265">
        <v>4291</v>
      </c>
      <c r="O45" s="226">
        <v>4291</v>
      </c>
      <c r="P45" s="265">
        <f t="shared" si="3"/>
        <v>0</v>
      </c>
      <c r="Q45" s="271">
        <f t="shared" si="4"/>
        <v>0</v>
      </c>
    </row>
    <row r="46" spans="1:17" ht="33.75" x14ac:dyDescent="0.2">
      <c r="A46" s="264" t="s">
        <v>1257</v>
      </c>
      <c r="B46" s="202" t="s">
        <v>498</v>
      </c>
      <c r="C46" s="202" t="s">
        <v>507</v>
      </c>
      <c r="D46" s="202" t="s">
        <v>1256</v>
      </c>
      <c r="E46" s="202"/>
      <c r="F46" s="265">
        <v>75</v>
      </c>
      <c r="G46" s="265">
        <v>0</v>
      </c>
      <c r="H46" s="265">
        <v>75</v>
      </c>
      <c r="I46" s="265">
        <v>0</v>
      </c>
      <c r="J46" s="265">
        <f t="shared" si="0"/>
        <v>0</v>
      </c>
      <c r="K46" s="265">
        <f t="shared" si="1"/>
        <v>0</v>
      </c>
      <c r="L46" s="265">
        <v>75</v>
      </c>
      <c r="M46" s="226">
        <v>0</v>
      </c>
      <c r="N46" s="265">
        <v>75</v>
      </c>
      <c r="O46" s="226">
        <v>0</v>
      </c>
      <c r="P46" s="265">
        <f t="shared" si="3"/>
        <v>0</v>
      </c>
      <c r="Q46" s="271">
        <f t="shared" si="4"/>
        <v>0</v>
      </c>
    </row>
    <row r="47" spans="1:17" x14ac:dyDescent="0.2">
      <c r="A47" s="264" t="s">
        <v>1347</v>
      </c>
      <c r="B47" s="202" t="s">
        <v>498</v>
      </c>
      <c r="C47" s="202" t="s">
        <v>507</v>
      </c>
      <c r="D47" s="202" t="s">
        <v>1256</v>
      </c>
      <c r="E47" s="202" t="s">
        <v>535</v>
      </c>
      <c r="F47" s="265">
        <v>75</v>
      </c>
      <c r="G47" s="265">
        <v>0</v>
      </c>
      <c r="H47" s="265">
        <v>75</v>
      </c>
      <c r="I47" s="265">
        <v>0</v>
      </c>
      <c r="J47" s="265">
        <f t="shared" si="0"/>
        <v>0</v>
      </c>
      <c r="K47" s="265">
        <f t="shared" si="1"/>
        <v>0</v>
      </c>
      <c r="L47" s="265">
        <v>75</v>
      </c>
      <c r="M47" s="226">
        <v>0</v>
      </c>
      <c r="N47" s="265">
        <v>75</v>
      </c>
      <c r="O47" s="226">
        <v>0</v>
      </c>
      <c r="P47" s="265">
        <f t="shared" si="3"/>
        <v>0</v>
      </c>
      <c r="Q47" s="271">
        <f t="shared" si="4"/>
        <v>0</v>
      </c>
    </row>
    <row r="48" spans="1:17" x14ac:dyDescent="0.2">
      <c r="A48" s="264" t="s">
        <v>534</v>
      </c>
      <c r="B48" s="202" t="s">
        <v>498</v>
      </c>
      <c r="C48" s="202" t="s">
        <v>507</v>
      </c>
      <c r="D48" s="202" t="s">
        <v>1256</v>
      </c>
      <c r="E48" s="202" t="s">
        <v>529</v>
      </c>
      <c r="F48" s="265">
        <v>75</v>
      </c>
      <c r="G48" s="265">
        <v>0</v>
      </c>
      <c r="H48" s="265">
        <v>75</v>
      </c>
      <c r="I48" s="265">
        <v>0</v>
      </c>
      <c r="J48" s="265">
        <f t="shared" si="0"/>
        <v>0</v>
      </c>
      <c r="K48" s="265">
        <f t="shared" si="1"/>
        <v>0</v>
      </c>
      <c r="L48" s="265">
        <v>75</v>
      </c>
      <c r="M48" s="226">
        <v>0</v>
      </c>
      <c r="N48" s="265">
        <v>75</v>
      </c>
      <c r="O48" s="226">
        <v>0</v>
      </c>
      <c r="P48" s="265">
        <f t="shared" si="3"/>
        <v>0</v>
      </c>
      <c r="Q48" s="271">
        <f t="shared" si="4"/>
        <v>0</v>
      </c>
    </row>
    <row r="49" spans="1:17" x14ac:dyDescent="0.2">
      <c r="A49" s="264" t="s">
        <v>666</v>
      </c>
      <c r="B49" s="202" t="s">
        <v>498</v>
      </c>
      <c r="C49" s="202" t="s">
        <v>507</v>
      </c>
      <c r="D49" s="202" t="s">
        <v>665</v>
      </c>
      <c r="E49" s="202"/>
      <c r="F49" s="265">
        <v>10805</v>
      </c>
      <c r="G49" s="265">
        <v>10805</v>
      </c>
      <c r="H49" s="265">
        <v>10805</v>
      </c>
      <c r="I49" s="265">
        <v>10805</v>
      </c>
      <c r="J49" s="265">
        <f t="shared" si="0"/>
        <v>0</v>
      </c>
      <c r="K49" s="265">
        <f t="shared" si="1"/>
        <v>0</v>
      </c>
      <c r="L49" s="265">
        <v>10805</v>
      </c>
      <c r="M49" s="226">
        <v>10805</v>
      </c>
      <c r="N49" s="265">
        <v>10805</v>
      </c>
      <c r="O49" s="226">
        <v>10805</v>
      </c>
      <c r="P49" s="265">
        <f t="shared" si="3"/>
        <v>0</v>
      </c>
      <c r="Q49" s="271">
        <f t="shared" si="4"/>
        <v>0</v>
      </c>
    </row>
    <row r="50" spans="1:17" x14ac:dyDescent="0.2">
      <c r="A50" s="264" t="s">
        <v>688</v>
      </c>
      <c r="B50" s="202" t="s">
        <v>498</v>
      </c>
      <c r="C50" s="202" t="s">
        <v>507</v>
      </c>
      <c r="D50" s="202" t="s">
        <v>687</v>
      </c>
      <c r="E50" s="202"/>
      <c r="F50" s="265">
        <v>10805</v>
      </c>
      <c r="G50" s="265">
        <v>10805</v>
      </c>
      <c r="H50" s="265">
        <v>10805</v>
      </c>
      <c r="I50" s="265">
        <v>10805</v>
      </c>
      <c r="J50" s="265">
        <f t="shared" si="0"/>
        <v>0</v>
      </c>
      <c r="K50" s="265">
        <f t="shared" si="1"/>
        <v>0</v>
      </c>
      <c r="L50" s="265">
        <v>10805</v>
      </c>
      <c r="M50" s="226">
        <v>10805</v>
      </c>
      <c r="N50" s="265">
        <v>10805</v>
      </c>
      <c r="O50" s="226">
        <v>10805</v>
      </c>
      <c r="P50" s="265">
        <f t="shared" si="3"/>
        <v>0</v>
      </c>
      <c r="Q50" s="271">
        <f t="shared" si="4"/>
        <v>0</v>
      </c>
    </row>
    <row r="51" spans="1:17" ht="33.75" x14ac:dyDescent="0.2">
      <c r="A51" s="264" t="s">
        <v>708</v>
      </c>
      <c r="B51" s="202" t="s">
        <v>498</v>
      </c>
      <c r="C51" s="202" t="s">
        <v>507</v>
      </c>
      <c r="D51" s="202" t="s">
        <v>707</v>
      </c>
      <c r="E51" s="202"/>
      <c r="F51" s="265">
        <v>10805</v>
      </c>
      <c r="G51" s="265">
        <v>10805</v>
      </c>
      <c r="H51" s="265">
        <v>10805</v>
      </c>
      <c r="I51" s="265">
        <v>10805</v>
      </c>
      <c r="J51" s="265">
        <f t="shared" si="0"/>
        <v>0</v>
      </c>
      <c r="K51" s="265">
        <f t="shared" si="1"/>
        <v>0</v>
      </c>
      <c r="L51" s="265">
        <v>10805</v>
      </c>
      <c r="M51" s="226">
        <v>10805</v>
      </c>
      <c r="N51" s="265">
        <v>10805</v>
      </c>
      <c r="O51" s="226">
        <v>10805</v>
      </c>
      <c r="P51" s="265">
        <f t="shared" si="3"/>
        <v>0</v>
      </c>
      <c r="Q51" s="271">
        <f t="shared" si="4"/>
        <v>0</v>
      </c>
    </row>
    <row r="52" spans="1:17" ht="33.75" x14ac:dyDescent="0.2">
      <c r="A52" s="264" t="s">
        <v>1255</v>
      </c>
      <c r="B52" s="202" t="s">
        <v>498</v>
      </c>
      <c r="C52" s="202" t="s">
        <v>507</v>
      </c>
      <c r="D52" s="202" t="s">
        <v>1254</v>
      </c>
      <c r="E52" s="202"/>
      <c r="F52" s="265">
        <v>10805</v>
      </c>
      <c r="G52" s="265">
        <v>10805</v>
      </c>
      <c r="H52" s="265">
        <v>10805</v>
      </c>
      <c r="I52" s="265">
        <v>10805</v>
      </c>
      <c r="J52" s="265">
        <f t="shared" si="0"/>
        <v>0</v>
      </c>
      <c r="K52" s="265">
        <f t="shared" si="1"/>
        <v>0</v>
      </c>
      <c r="L52" s="265">
        <v>10805</v>
      </c>
      <c r="M52" s="226">
        <v>10805</v>
      </c>
      <c r="N52" s="265">
        <v>10805</v>
      </c>
      <c r="O52" s="226">
        <v>10805</v>
      </c>
      <c r="P52" s="265">
        <f t="shared" si="3"/>
        <v>0</v>
      </c>
      <c r="Q52" s="271">
        <f t="shared" si="4"/>
        <v>0</v>
      </c>
    </row>
    <row r="53" spans="1:17" ht="33.75" x14ac:dyDescent="0.2">
      <c r="A53" s="264" t="s">
        <v>1348</v>
      </c>
      <c r="B53" s="202" t="s">
        <v>498</v>
      </c>
      <c r="C53" s="202" t="s">
        <v>507</v>
      </c>
      <c r="D53" s="202" t="s">
        <v>1254</v>
      </c>
      <c r="E53" s="202" t="s">
        <v>556</v>
      </c>
      <c r="F53" s="265">
        <v>10627</v>
      </c>
      <c r="G53" s="265">
        <v>10627</v>
      </c>
      <c r="H53" s="265">
        <v>10627</v>
      </c>
      <c r="I53" s="265">
        <v>10627</v>
      </c>
      <c r="J53" s="265">
        <f t="shared" si="0"/>
        <v>0</v>
      </c>
      <c r="K53" s="265">
        <f t="shared" si="1"/>
        <v>0</v>
      </c>
      <c r="L53" s="265">
        <v>10627</v>
      </c>
      <c r="M53" s="226">
        <v>10627</v>
      </c>
      <c r="N53" s="265">
        <v>10627</v>
      </c>
      <c r="O53" s="226">
        <v>10627</v>
      </c>
      <c r="P53" s="265">
        <f t="shared" si="3"/>
        <v>0</v>
      </c>
      <c r="Q53" s="271">
        <f t="shared" si="4"/>
        <v>0</v>
      </c>
    </row>
    <row r="54" spans="1:17" x14ac:dyDescent="0.2">
      <c r="A54" s="264" t="s">
        <v>749</v>
      </c>
      <c r="B54" s="202" t="s">
        <v>498</v>
      </c>
      <c r="C54" s="202" t="s">
        <v>507</v>
      </c>
      <c r="D54" s="202" t="s">
        <v>1254</v>
      </c>
      <c r="E54" s="202" t="s">
        <v>745</v>
      </c>
      <c r="F54" s="265">
        <v>10627</v>
      </c>
      <c r="G54" s="265">
        <v>10627</v>
      </c>
      <c r="H54" s="265">
        <v>10627</v>
      </c>
      <c r="I54" s="265">
        <v>10627</v>
      </c>
      <c r="J54" s="265">
        <f t="shared" si="0"/>
        <v>0</v>
      </c>
      <c r="K54" s="265">
        <f t="shared" si="1"/>
        <v>0</v>
      </c>
      <c r="L54" s="265">
        <v>10627</v>
      </c>
      <c r="M54" s="226">
        <v>10627</v>
      </c>
      <c r="N54" s="265">
        <v>10627</v>
      </c>
      <c r="O54" s="226">
        <v>10627</v>
      </c>
      <c r="P54" s="265">
        <f t="shared" si="3"/>
        <v>0</v>
      </c>
      <c r="Q54" s="271">
        <f t="shared" si="4"/>
        <v>0</v>
      </c>
    </row>
    <row r="55" spans="1:17" x14ac:dyDescent="0.2">
      <c r="A55" s="264" t="s">
        <v>1347</v>
      </c>
      <c r="B55" s="202" t="s">
        <v>498</v>
      </c>
      <c r="C55" s="202" t="s">
        <v>507</v>
      </c>
      <c r="D55" s="202" t="s">
        <v>1254</v>
      </c>
      <c r="E55" s="202" t="s">
        <v>535</v>
      </c>
      <c r="F55" s="265">
        <v>178</v>
      </c>
      <c r="G55" s="265">
        <v>178</v>
      </c>
      <c r="H55" s="265">
        <v>178</v>
      </c>
      <c r="I55" s="265">
        <v>178</v>
      </c>
      <c r="J55" s="265">
        <f t="shared" si="0"/>
        <v>0</v>
      </c>
      <c r="K55" s="265">
        <f t="shared" si="1"/>
        <v>0</v>
      </c>
      <c r="L55" s="265">
        <v>178</v>
      </c>
      <c r="M55" s="226">
        <v>178</v>
      </c>
      <c r="N55" s="265">
        <v>178</v>
      </c>
      <c r="O55" s="226">
        <v>178</v>
      </c>
      <c r="P55" s="265">
        <f t="shared" si="3"/>
        <v>0</v>
      </c>
      <c r="Q55" s="271">
        <f t="shared" si="4"/>
        <v>0</v>
      </c>
    </row>
    <row r="56" spans="1:17" x14ac:dyDescent="0.2">
      <c r="A56" s="264" t="s">
        <v>534</v>
      </c>
      <c r="B56" s="202" t="s">
        <v>498</v>
      </c>
      <c r="C56" s="202" t="s">
        <v>507</v>
      </c>
      <c r="D56" s="202" t="s">
        <v>1254</v>
      </c>
      <c r="E56" s="202" t="s">
        <v>529</v>
      </c>
      <c r="F56" s="265">
        <v>178</v>
      </c>
      <c r="G56" s="265">
        <v>178</v>
      </c>
      <c r="H56" s="265">
        <v>178</v>
      </c>
      <c r="I56" s="265">
        <v>178</v>
      </c>
      <c r="J56" s="265">
        <f t="shared" si="0"/>
        <v>0</v>
      </c>
      <c r="K56" s="265">
        <f t="shared" si="1"/>
        <v>0</v>
      </c>
      <c r="L56" s="265">
        <v>178</v>
      </c>
      <c r="M56" s="226">
        <v>178</v>
      </c>
      <c r="N56" s="265">
        <v>178</v>
      </c>
      <c r="O56" s="226">
        <v>178</v>
      </c>
      <c r="P56" s="265">
        <f t="shared" si="3"/>
        <v>0</v>
      </c>
      <c r="Q56" s="271">
        <f t="shared" si="4"/>
        <v>0</v>
      </c>
    </row>
    <row r="57" spans="1:17" x14ac:dyDescent="0.2">
      <c r="A57" s="264" t="s">
        <v>568</v>
      </c>
      <c r="B57" s="202" t="s">
        <v>498</v>
      </c>
      <c r="C57" s="202" t="s">
        <v>507</v>
      </c>
      <c r="D57" s="202" t="s">
        <v>567</v>
      </c>
      <c r="E57" s="202"/>
      <c r="F57" s="265">
        <v>10658</v>
      </c>
      <c r="G57" s="265">
        <v>10658</v>
      </c>
      <c r="H57" s="265">
        <v>10658</v>
      </c>
      <c r="I57" s="265">
        <v>10658</v>
      </c>
      <c r="J57" s="265">
        <f t="shared" si="0"/>
        <v>0</v>
      </c>
      <c r="K57" s="265">
        <f t="shared" si="1"/>
        <v>0</v>
      </c>
      <c r="L57" s="265">
        <v>10658</v>
      </c>
      <c r="M57" s="226">
        <v>10658</v>
      </c>
      <c r="N57" s="265">
        <v>10658</v>
      </c>
      <c r="O57" s="226">
        <v>10658</v>
      </c>
      <c r="P57" s="265">
        <f t="shared" si="3"/>
        <v>0</v>
      </c>
      <c r="Q57" s="271">
        <f t="shared" si="4"/>
        <v>0</v>
      </c>
    </row>
    <row r="58" spans="1:17" x14ac:dyDescent="0.2">
      <c r="A58" s="264" t="s">
        <v>855</v>
      </c>
      <c r="B58" s="202" t="s">
        <v>498</v>
      </c>
      <c r="C58" s="202" t="s">
        <v>507</v>
      </c>
      <c r="D58" s="202" t="s">
        <v>854</v>
      </c>
      <c r="E58" s="202"/>
      <c r="F58" s="265">
        <v>10658</v>
      </c>
      <c r="G58" s="265">
        <v>10658</v>
      </c>
      <c r="H58" s="265">
        <v>10658</v>
      </c>
      <c r="I58" s="265">
        <v>10658</v>
      </c>
      <c r="J58" s="265">
        <f t="shared" si="0"/>
        <v>0</v>
      </c>
      <c r="K58" s="265">
        <f t="shared" si="1"/>
        <v>0</v>
      </c>
      <c r="L58" s="265">
        <v>10658</v>
      </c>
      <c r="M58" s="226">
        <v>10658</v>
      </c>
      <c r="N58" s="265">
        <v>10658</v>
      </c>
      <c r="O58" s="226">
        <v>10658</v>
      </c>
      <c r="P58" s="265">
        <f t="shared" si="3"/>
        <v>0</v>
      </c>
      <c r="Q58" s="271">
        <f t="shared" si="4"/>
        <v>0</v>
      </c>
    </row>
    <row r="59" spans="1:17" ht="33.75" x14ac:dyDescent="0.2">
      <c r="A59" s="264" t="s">
        <v>853</v>
      </c>
      <c r="B59" s="202" t="s">
        <v>498</v>
      </c>
      <c r="C59" s="202" t="s">
        <v>507</v>
      </c>
      <c r="D59" s="202" t="s">
        <v>852</v>
      </c>
      <c r="E59" s="202"/>
      <c r="F59" s="265">
        <v>10658</v>
      </c>
      <c r="G59" s="265">
        <v>10658</v>
      </c>
      <c r="H59" s="265">
        <v>10658</v>
      </c>
      <c r="I59" s="265">
        <v>10658</v>
      </c>
      <c r="J59" s="265">
        <f t="shared" si="0"/>
        <v>0</v>
      </c>
      <c r="K59" s="265">
        <f t="shared" si="1"/>
        <v>0</v>
      </c>
      <c r="L59" s="265">
        <v>10658</v>
      </c>
      <c r="M59" s="226">
        <v>10658</v>
      </c>
      <c r="N59" s="265">
        <v>10658</v>
      </c>
      <c r="O59" s="226">
        <v>10658</v>
      </c>
      <c r="P59" s="265">
        <f t="shared" si="3"/>
        <v>0</v>
      </c>
      <c r="Q59" s="271">
        <f t="shared" si="4"/>
        <v>0</v>
      </c>
    </row>
    <row r="60" spans="1:17" x14ac:dyDescent="0.2">
      <c r="A60" s="264" t="s">
        <v>1253</v>
      </c>
      <c r="B60" s="202" t="s">
        <v>498</v>
      </c>
      <c r="C60" s="202" t="s">
        <v>507</v>
      </c>
      <c r="D60" s="202" t="s">
        <v>1252</v>
      </c>
      <c r="E60" s="202"/>
      <c r="F60" s="265">
        <v>10658</v>
      </c>
      <c r="G60" s="265">
        <v>10658</v>
      </c>
      <c r="H60" s="265">
        <v>10658</v>
      </c>
      <c r="I60" s="265">
        <v>10658</v>
      </c>
      <c r="J60" s="265">
        <f t="shared" si="0"/>
        <v>0</v>
      </c>
      <c r="K60" s="265">
        <f t="shared" si="1"/>
        <v>0</v>
      </c>
      <c r="L60" s="265">
        <v>10658</v>
      </c>
      <c r="M60" s="226">
        <v>10658</v>
      </c>
      <c r="N60" s="265">
        <v>10658</v>
      </c>
      <c r="O60" s="226">
        <v>10658</v>
      </c>
      <c r="P60" s="265">
        <f t="shared" si="3"/>
        <v>0</v>
      </c>
      <c r="Q60" s="271">
        <f t="shared" si="4"/>
        <v>0</v>
      </c>
    </row>
    <row r="61" spans="1:17" ht="33.75" x14ac:dyDescent="0.2">
      <c r="A61" s="264" t="s">
        <v>1348</v>
      </c>
      <c r="B61" s="202" t="s">
        <v>498</v>
      </c>
      <c r="C61" s="202" t="s">
        <v>507</v>
      </c>
      <c r="D61" s="202" t="s">
        <v>1252</v>
      </c>
      <c r="E61" s="202" t="s">
        <v>556</v>
      </c>
      <c r="F61" s="265">
        <v>9543.4</v>
      </c>
      <c r="G61" s="265">
        <v>9543.4</v>
      </c>
      <c r="H61" s="265">
        <v>9543.4</v>
      </c>
      <c r="I61" s="265">
        <v>9543.4</v>
      </c>
      <c r="J61" s="265">
        <f t="shared" si="0"/>
        <v>0</v>
      </c>
      <c r="K61" s="265">
        <f t="shared" si="1"/>
        <v>0</v>
      </c>
      <c r="L61" s="265">
        <v>9543.4</v>
      </c>
      <c r="M61" s="226">
        <v>9543.4</v>
      </c>
      <c r="N61" s="265">
        <v>9543.4</v>
      </c>
      <c r="O61" s="226">
        <v>9543.4</v>
      </c>
      <c r="P61" s="265">
        <f t="shared" si="3"/>
        <v>0</v>
      </c>
      <c r="Q61" s="271">
        <f t="shared" si="4"/>
        <v>0</v>
      </c>
    </row>
    <row r="62" spans="1:17" x14ac:dyDescent="0.2">
      <c r="A62" s="264" t="s">
        <v>749</v>
      </c>
      <c r="B62" s="202" t="s">
        <v>498</v>
      </c>
      <c r="C62" s="202" t="s">
        <v>507</v>
      </c>
      <c r="D62" s="202" t="s">
        <v>1252</v>
      </c>
      <c r="E62" s="202" t="s">
        <v>745</v>
      </c>
      <c r="F62" s="265">
        <v>9543.4</v>
      </c>
      <c r="G62" s="265">
        <v>9543.4</v>
      </c>
      <c r="H62" s="265">
        <v>9543.4</v>
      </c>
      <c r="I62" s="265">
        <v>9543.4</v>
      </c>
      <c r="J62" s="265">
        <f t="shared" si="0"/>
        <v>0</v>
      </c>
      <c r="K62" s="265">
        <f t="shared" si="1"/>
        <v>0</v>
      </c>
      <c r="L62" s="265">
        <v>9543.4</v>
      </c>
      <c r="M62" s="226">
        <v>9543.4</v>
      </c>
      <c r="N62" s="265">
        <v>9543.4</v>
      </c>
      <c r="O62" s="226">
        <v>9543.4</v>
      </c>
      <c r="P62" s="265">
        <f t="shared" si="3"/>
        <v>0</v>
      </c>
      <c r="Q62" s="271">
        <f t="shared" si="4"/>
        <v>0</v>
      </c>
    </row>
    <row r="63" spans="1:17" x14ac:dyDescent="0.2">
      <c r="A63" s="264" t="s">
        <v>1347</v>
      </c>
      <c r="B63" s="202" t="s">
        <v>498</v>
      </c>
      <c r="C63" s="202" t="s">
        <v>507</v>
      </c>
      <c r="D63" s="202" t="s">
        <v>1252</v>
      </c>
      <c r="E63" s="202" t="s">
        <v>535</v>
      </c>
      <c r="F63" s="265">
        <v>1114.5999999999999</v>
      </c>
      <c r="G63" s="265">
        <v>1114.5999999999999</v>
      </c>
      <c r="H63" s="265">
        <v>1114.5999999999999</v>
      </c>
      <c r="I63" s="265">
        <v>1114.5999999999999</v>
      </c>
      <c r="J63" s="265">
        <f t="shared" si="0"/>
        <v>0</v>
      </c>
      <c r="K63" s="265">
        <f t="shared" si="1"/>
        <v>0</v>
      </c>
      <c r="L63" s="265">
        <v>1114.5999999999999</v>
      </c>
      <c r="M63" s="226">
        <v>1114.5999999999999</v>
      </c>
      <c r="N63" s="265">
        <v>1114.5999999999999</v>
      </c>
      <c r="O63" s="226">
        <v>1114.5999999999999</v>
      </c>
      <c r="P63" s="265">
        <f t="shared" si="3"/>
        <v>0</v>
      </c>
      <c r="Q63" s="271">
        <f t="shared" si="4"/>
        <v>0</v>
      </c>
    </row>
    <row r="64" spans="1:17" x14ac:dyDescent="0.2">
      <c r="A64" s="264" t="s">
        <v>534</v>
      </c>
      <c r="B64" s="202" t="s">
        <v>498</v>
      </c>
      <c r="C64" s="202" t="s">
        <v>507</v>
      </c>
      <c r="D64" s="202" t="s">
        <v>1252</v>
      </c>
      <c r="E64" s="202" t="s">
        <v>529</v>
      </c>
      <c r="F64" s="265">
        <v>1114.5999999999999</v>
      </c>
      <c r="G64" s="265">
        <v>1114.5999999999999</v>
      </c>
      <c r="H64" s="265">
        <v>1114.5999999999999</v>
      </c>
      <c r="I64" s="265">
        <v>1114.5999999999999</v>
      </c>
      <c r="J64" s="265">
        <f t="shared" si="0"/>
        <v>0</v>
      </c>
      <c r="K64" s="265">
        <f t="shared" si="1"/>
        <v>0</v>
      </c>
      <c r="L64" s="265">
        <v>1114.5999999999999</v>
      </c>
      <c r="M64" s="226">
        <v>1114.5999999999999</v>
      </c>
      <c r="N64" s="265">
        <v>1114.5999999999999</v>
      </c>
      <c r="O64" s="226">
        <v>1114.5999999999999</v>
      </c>
      <c r="P64" s="265">
        <f t="shared" si="3"/>
        <v>0</v>
      </c>
      <c r="Q64" s="271">
        <f t="shared" si="4"/>
        <v>0</v>
      </c>
    </row>
    <row r="65" spans="1:17" x14ac:dyDescent="0.2">
      <c r="A65" s="264" t="s">
        <v>1145</v>
      </c>
      <c r="B65" s="202" t="s">
        <v>498</v>
      </c>
      <c r="C65" s="202" t="s">
        <v>507</v>
      </c>
      <c r="D65" s="202" t="s">
        <v>1144</v>
      </c>
      <c r="E65" s="202"/>
      <c r="F65" s="265">
        <v>1283</v>
      </c>
      <c r="G65" s="265">
        <v>1283</v>
      </c>
      <c r="H65" s="265">
        <v>1283</v>
      </c>
      <c r="I65" s="265">
        <v>1283</v>
      </c>
      <c r="J65" s="265">
        <f t="shared" si="0"/>
        <v>0</v>
      </c>
      <c r="K65" s="265">
        <f t="shared" si="1"/>
        <v>0</v>
      </c>
      <c r="L65" s="265">
        <v>1283</v>
      </c>
      <c r="M65" s="226">
        <v>1283</v>
      </c>
      <c r="N65" s="265">
        <v>1283</v>
      </c>
      <c r="O65" s="226">
        <v>1283</v>
      </c>
      <c r="P65" s="265">
        <f t="shared" si="3"/>
        <v>0</v>
      </c>
      <c r="Q65" s="271">
        <f t="shared" si="4"/>
        <v>0</v>
      </c>
    </row>
    <row r="66" spans="1:17" x14ac:dyDescent="0.2">
      <c r="A66" s="264" t="s">
        <v>1137</v>
      </c>
      <c r="B66" s="202" t="s">
        <v>498</v>
      </c>
      <c r="C66" s="202" t="s">
        <v>507</v>
      </c>
      <c r="D66" s="202" t="s">
        <v>1136</v>
      </c>
      <c r="E66" s="202"/>
      <c r="F66" s="265">
        <v>1283</v>
      </c>
      <c r="G66" s="265">
        <v>1283</v>
      </c>
      <c r="H66" s="265">
        <v>1283</v>
      </c>
      <c r="I66" s="265">
        <v>1283</v>
      </c>
      <c r="J66" s="265">
        <f t="shared" si="0"/>
        <v>0</v>
      </c>
      <c r="K66" s="265">
        <f t="shared" si="1"/>
        <v>0</v>
      </c>
      <c r="L66" s="265">
        <v>1283</v>
      </c>
      <c r="M66" s="226">
        <v>1283</v>
      </c>
      <c r="N66" s="265">
        <v>1283</v>
      </c>
      <c r="O66" s="226">
        <v>1283</v>
      </c>
      <c r="P66" s="265">
        <f t="shared" si="3"/>
        <v>0</v>
      </c>
      <c r="Q66" s="271">
        <f t="shared" si="4"/>
        <v>0</v>
      </c>
    </row>
    <row r="67" spans="1:17" ht="33.75" x14ac:dyDescent="0.2">
      <c r="A67" s="264" t="s">
        <v>1135</v>
      </c>
      <c r="B67" s="202" t="s">
        <v>498</v>
      </c>
      <c r="C67" s="202" t="s">
        <v>507</v>
      </c>
      <c r="D67" s="202" t="s">
        <v>1134</v>
      </c>
      <c r="E67" s="202"/>
      <c r="F67" s="265">
        <v>1283</v>
      </c>
      <c r="G67" s="265">
        <v>1283</v>
      </c>
      <c r="H67" s="265">
        <v>1283</v>
      </c>
      <c r="I67" s="265">
        <v>1283</v>
      </c>
      <c r="J67" s="265">
        <f t="shared" si="0"/>
        <v>0</v>
      </c>
      <c r="K67" s="265">
        <f t="shared" si="1"/>
        <v>0</v>
      </c>
      <c r="L67" s="265">
        <v>1283</v>
      </c>
      <c r="M67" s="226">
        <v>1283</v>
      </c>
      <c r="N67" s="265">
        <v>1283</v>
      </c>
      <c r="O67" s="226">
        <v>1283</v>
      </c>
      <c r="P67" s="265">
        <f t="shared" si="3"/>
        <v>0</v>
      </c>
      <c r="Q67" s="271">
        <f t="shared" si="4"/>
        <v>0</v>
      </c>
    </row>
    <row r="68" spans="1:17" ht="22.5" x14ac:dyDescent="0.2">
      <c r="A68" s="264" t="s">
        <v>1606</v>
      </c>
      <c r="B68" s="202" t="s">
        <v>498</v>
      </c>
      <c r="C68" s="202" t="s">
        <v>507</v>
      </c>
      <c r="D68" s="202" t="s">
        <v>1133</v>
      </c>
      <c r="E68" s="202"/>
      <c r="F68" s="265">
        <v>1283</v>
      </c>
      <c r="G68" s="265">
        <v>1283</v>
      </c>
      <c r="H68" s="265">
        <v>1283</v>
      </c>
      <c r="I68" s="265">
        <v>1283</v>
      </c>
      <c r="J68" s="265">
        <f t="shared" si="0"/>
        <v>0</v>
      </c>
      <c r="K68" s="265">
        <f t="shared" si="1"/>
        <v>0</v>
      </c>
      <c r="L68" s="265">
        <v>1283</v>
      </c>
      <c r="M68" s="226">
        <v>1283</v>
      </c>
      <c r="N68" s="265">
        <v>1283</v>
      </c>
      <c r="O68" s="226">
        <v>1283</v>
      </c>
      <c r="P68" s="265">
        <f t="shared" si="3"/>
        <v>0</v>
      </c>
      <c r="Q68" s="271">
        <f t="shared" si="4"/>
        <v>0</v>
      </c>
    </row>
    <row r="69" spans="1:17" ht="33.75" x14ac:dyDescent="0.2">
      <c r="A69" s="264" t="s">
        <v>1348</v>
      </c>
      <c r="B69" s="202" t="s">
        <v>498</v>
      </c>
      <c r="C69" s="202" t="s">
        <v>507</v>
      </c>
      <c r="D69" s="202" t="s">
        <v>1133</v>
      </c>
      <c r="E69" s="202" t="s">
        <v>556</v>
      </c>
      <c r="F69" s="265">
        <v>1069.2</v>
      </c>
      <c r="G69" s="265">
        <v>1069.2</v>
      </c>
      <c r="H69" s="265">
        <v>1069.2</v>
      </c>
      <c r="I69" s="265">
        <v>1069.2</v>
      </c>
      <c r="J69" s="265">
        <f t="shared" si="0"/>
        <v>0</v>
      </c>
      <c r="K69" s="265">
        <f t="shared" si="1"/>
        <v>0</v>
      </c>
      <c r="L69" s="265">
        <v>1069.2</v>
      </c>
      <c r="M69" s="226">
        <v>1069.2</v>
      </c>
      <c r="N69" s="265">
        <v>1069.2</v>
      </c>
      <c r="O69" s="226">
        <v>1069.2</v>
      </c>
      <c r="P69" s="265">
        <f t="shared" si="3"/>
        <v>0</v>
      </c>
      <c r="Q69" s="271">
        <f t="shared" si="4"/>
        <v>0</v>
      </c>
    </row>
    <row r="70" spans="1:17" x14ac:dyDescent="0.2">
      <c r="A70" s="264" t="s">
        <v>749</v>
      </c>
      <c r="B70" s="202" t="s">
        <v>498</v>
      </c>
      <c r="C70" s="202" t="s">
        <v>507</v>
      </c>
      <c r="D70" s="202" t="s">
        <v>1133</v>
      </c>
      <c r="E70" s="202" t="s">
        <v>745</v>
      </c>
      <c r="F70" s="265">
        <v>1069.2</v>
      </c>
      <c r="G70" s="265">
        <v>1069.2</v>
      </c>
      <c r="H70" s="265">
        <v>1069.2</v>
      </c>
      <c r="I70" s="265">
        <v>1069.2</v>
      </c>
      <c r="J70" s="265">
        <f t="shared" si="0"/>
        <v>0</v>
      </c>
      <c r="K70" s="265">
        <f t="shared" si="1"/>
        <v>0</v>
      </c>
      <c r="L70" s="265">
        <v>1069.2</v>
      </c>
      <c r="M70" s="226">
        <v>1069.2</v>
      </c>
      <c r="N70" s="265">
        <v>1069.2</v>
      </c>
      <c r="O70" s="226">
        <v>1069.2</v>
      </c>
      <c r="P70" s="265">
        <f t="shared" si="3"/>
        <v>0</v>
      </c>
      <c r="Q70" s="271">
        <f t="shared" si="4"/>
        <v>0</v>
      </c>
    </row>
    <row r="71" spans="1:17" x14ac:dyDescent="0.2">
      <c r="A71" s="264" t="s">
        <v>1347</v>
      </c>
      <c r="B71" s="202" t="s">
        <v>498</v>
      </c>
      <c r="C71" s="202" t="s">
        <v>507</v>
      </c>
      <c r="D71" s="202" t="s">
        <v>1133</v>
      </c>
      <c r="E71" s="202" t="s">
        <v>535</v>
      </c>
      <c r="F71" s="265">
        <v>213.8</v>
      </c>
      <c r="G71" s="265">
        <v>213.8</v>
      </c>
      <c r="H71" s="265">
        <v>213.8</v>
      </c>
      <c r="I71" s="265">
        <v>213.8</v>
      </c>
      <c r="J71" s="265">
        <f t="shared" si="0"/>
        <v>0</v>
      </c>
      <c r="K71" s="265">
        <f t="shared" si="1"/>
        <v>0</v>
      </c>
      <c r="L71" s="265">
        <v>213.8</v>
      </c>
      <c r="M71" s="226">
        <v>213.8</v>
      </c>
      <c r="N71" s="265">
        <v>213.8</v>
      </c>
      <c r="O71" s="226">
        <v>213.8</v>
      </c>
      <c r="P71" s="265">
        <f t="shared" si="3"/>
        <v>0</v>
      </c>
      <c r="Q71" s="271">
        <f t="shared" si="4"/>
        <v>0</v>
      </c>
    </row>
    <row r="72" spans="1:17" x14ac:dyDescent="0.2">
      <c r="A72" s="264" t="s">
        <v>534</v>
      </c>
      <c r="B72" s="202" t="s">
        <v>498</v>
      </c>
      <c r="C72" s="202" t="s">
        <v>507</v>
      </c>
      <c r="D72" s="202" t="s">
        <v>1133</v>
      </c>
      <c r="E72" s="202" t="s">
        <v>529</v>
      </c>
      <c r="F72" s="265">
        <v>213.8</v>
      </c>
      <c r="G72" s="265">
        <v>213.8</v>
      </c>
      <c r="H72" s="265">
        <v>213.8</v>
      </c>
      <c r="I72" s="265">
        <v>213.8</v>
      </c>
      <c r="J72" s="265">
        <f t="shared" si="0"/>
        <v>0</v>
      </c>
      <c r="K72" s="265">
        <f t="shared" si="1"/>
        <v>0</v>
      </c>
      <c r="L72" s="265">
        <v>213.8</v>
      </c>
      <c r="M72" s="226">
        <v>213.8</v>
      </c>
      <c r="N72" s="265">
        <v>213.8</v>
      </c>
      <c r="O72" s="226">
        <v>213.8</v>
      </c>
      <c r="P72" s="265">
        <f t="shared" si="3"/>
        <v>0</v>
      </c>
      <c r="Q72" s="271">
        <f t="shared" si="4"/>
        <v>0</v>
      </c>
    </row>
    <row r="73" spans="1:17" x14ac:dyDescent="0.2">
      <c r="A73" s="264" t="s">
        <v>839</v>
      </c>
      <c r="B73" s="202" t="s">
        <v>498</v>
      </c>
      <c r="C73" s="202" t="s">
        <v>507</v>
      </c>
      <c r="D73" s="202" t="s">
        <v>838</v>
      </c>
      <c r="E73" s="202"/>
      <c r="F73" s="265">
        <v>3793</v>
      </c>
      <c r="G73" s="265">
        <v>3793</v>
      </c>
      <c r="H73" s="265">
        <v>3793</v>
      </c>
      <c r="I73" s="265">
        <v>3793</v>
      </c>
      <c r="J73" s="265">
        <f t="shared" si="0"/>
        <v>0</v>
      </c>
      <c r="K73" s="265">
        <f t="shared" si="1"/>
        <v>0</v>
      </c>
      <c r="L73" s="265">
        <v>3793</v>
      </c>
      <c r="M73" s="226">
        <v>3793</v>
      </c>
      <c r="N73" s="265">
        <v>3793</v>
      </c>
      <c r="O73" s="226">
        <v>3793</v>
      </c>
      <c r="P73" s="265">
        <f t="shared" si="3"/>
        <v>0</v>
      </c>
      <c r="Q73" s="271">
        <f t="shared" si="4"/>
        <v>0</v>
      </c>
    </row>
    <row r="74" spans="1:17" ht="22.5" x14ac:dyDescent="0.2">
      <c r="A74" s="264" t="s">
        <v>1251</v>
      </c>
      <c r="B74" s="202" t="s">
        <v>498</v>
      </c>
      <c r="C74" s="202" t="s">
        <v>507</v>
      </c>
      <c r="D74" s="202" t="s">
        <v>1250</v>
      </c>
      <c r="E74" s="202"/>
      <c r="F74" s="265">
        <v>3793</v>
      </c>
      <c r="G74" s="265">
        <v>3793</v>
      </c>
      <c r="H74" s="265">
        <v>3793</v>
      </c>
      <c r="I74" s="265">
        <v>3793</v>
      </c>
      <c r="J74" s="265">
        <f t="shared" si="0"/>
        <v>0</v>
      </c>
      <c r="K74" s="265">
        <f t="shared" si="1"/>
        <v>0</v>
      </c>
      <c r="L74" s="265">
        <v>3793</v>
      </c>
      <c r="M74" s="226">
        <v>3793</v>
      </c>
      <c r="N74" s="265">
        <v>3793</v>
      </c>
      <c r="O74" s="226">
        <v>3793</v>
      </c>
      <c r="P74" s="265">
        <f t="shared" si="3"/>
        <v>0</v>
      </c>
      <c r="Q74" s="271">
        <f t="shared" si="4"/>
        <v>0</v>
      </c>
    </row>
    <row r="75" spans="1:17" ht="22.5" x14ac:dyDescent="0.2">
      <c r="A75" s="264" t="s">
        <v>1249</v>
      </c>
      <c r="B75" s="202" t="s">
        <v>498</v>
      </c>
      <c r="C75" s="202" t="s">
        <v>507</v>
      </c>
      <c r="D75" s="202" t="s">
        <v>1248</v>
      </c>
      <c r="E75" s="202"/>
      <c r="F75" s="265">
        <v>3793</v>
      </c>
      <c r="G75" s="265">
        <v>3793</v>
      </c>
      <c r="H75" s="265">
        <v>3793</v>
      </c>
      <c r="I75" s="265">
        <v>3793</v>
      </c>
      <c r="J75" s="265">
        <f t="shared" si="0"/>
        <v>0</v>
      </c>
      <c r="K75" s="265">
        <f t="shared" si="1"/>
        <v>0</v>
      </c>
      <c r="L75" s="265">
        <v>3793</v>
      </c>
      <c r="M75" s="226">
        <v>3793</v>
      </c>
      <c r="N75" s="265">
        <v>3793</v>
      </c>
      <c r="O75" s="226">
        <v>3793</v>
      </c>
      <c r="P75" s="265">
        <f t="shared" si="3"/>
        <v>0</v>
      </c>
      <c r="Q75" s="271">
        <f t="shared" si="4"/>
        <v>0</v>
      </c>
    </row>
    <row r="76" spans="1:17" ht="78.75" x14ac:dyDescent="0.2">
      <c r="A76" s="264" t="s">
        <v>1247</v>
      </c>
      <c r="B76" s="202" t="s">
        <v>498</v>
      </c>
      <c r="C76" s="202" t="s">
        <v>507</v>
      </c>
      <c r="D76" s="202" t="s">
        <v>1246</v>
      </c>
      <c r="E76" s="202"/>
      <c r="F76" s="265">
        <v>3793</v>
      </c>
      <c r="G76" s="265">
        <v>3793</v>
      </c>
      <c r="H76" s="265">
        <v>3793</v>
      </c>
      <c r="I76" s="265">
        <v>3793</v>
      </c>
      <c r="J76" s="265">
        <f t="shared" si="0"/>
        <v>0</v>
      </c>
      <c r="K76" s="265">
        <f t="shared" si="1"/>
        <v>0</v>
      </c>
      <c r="L76" s="265">
        <v>3793</v>
      </c>
      <c r="M76" s="226">
        <v>3793</v>
      </c>
      <c r="N76" s="265">
        <v>3793</v>
      </c>
      <c r="O76" s="226">
        <v>3793</v>
      </c>
      <c r="P76" s="265">
        <f t="shared" si="3"/>
        <v>0</v>
      </c>
      <c r="Q76" s="271">
        <f t="shared" si="4"/>
        <v>0</v>
      </c>
    </row>
    <row r="77" spans="1:17" ht="33.75" x14ac:dyDescent="0.2">
      <c r="A77" s="264" t="s">
        <v>1348</v>
      </c>
      <c r="B77" s="202" t="s">
        <v>498</v>
      </c>
      <c r="C77" s="202" t="s">
        <v>507</v>
      </c>
      <c r="D77" s="202" t="s">
        <v>1246</v>
      </c>
      <c r="E77" s="202" t="s">
        <v>556</v>
      </c>
      <c r="F77" s="265">
        <v>2977.8</v>
      </c>
      <c r="G77" s="265">
        <v>2977.8</v>
      </c>
      <c r="H77" s="265">
        <v>2977.8</v>
      </c>
      <c r="I77" s="265">
        <v>2977.8</v>
      </c>
      <c r="J77" s="265">
        <f t="shared" ref="J77:J154" si="5">H77-F77</f>
        <v>0</v>
      </c>
      <c r="K77" s="265">
        <f t="shared" ref="K77:K154" si="6">I77-G77</f>
        <v>0</v>
      </c>
      <c r="L77" s="265">
        <v>2977.8</v>
      </c>
      <c r="M77" s="226">
        <v>2977.8</v>
      </c>
      <c r="N77" s="265">
        <v>2977.8</v>
      </c>
      <c r="O77" s="226">
        <v>2977.8</v>
      </c>
      <c r="P77" s="265">
        <f t="shared" ref="P77:P154" si="7">N77-L77</f>
        <v>0</v>
      </c>
      <c r="Q77" s="271">
        <f t="shared" ref="Q77:Q154" si="8">O77-M77</f>
        <v>0</v>
      </c>
    </row>
    <row r="78" spans="1:17" x14ac:dyDescent="0.2">
      <c r="A78" s="264" t="s">
        <v>749</v>
      </c>
      <c r="B78" s="202" t="s">
        <v>498</v>
      </c>
      <c r="C78" s="202" t="s">
        <v>507</v>
      </c>
      <c r="D78" s="202" t="s">
        <v>1246</v>
      </c>
      <c r="E78" s="202" t="s">
        <v>745</v>
      </c>
      <c r="F78" s="265">
        <v>2977.8</v>
      </c>
      <c r="G78" s="265">
        <v>2977.8</v>
      </c>
      <c r="H78" s="265">
        <v>2977.8</v>
      </c>
      <c r="I78" s="265">
        <v>2977.8</v>
      </c>
      <c r="J78" s="265">
        <f t="shared" si="5"/>
        <v>0</v>
      </c>
      <c r="K78" s="265">
        <f t="shared" si="6"/>
        <v>0</v>
      </c>
      <c r="L78" s="265">
        <v>2977.8</v>
      </c>
      <c r="M78" s="226">
        <v>2977.8</v>
      </c>
      <c r="N78" s="265">
        <v>2977.8</v>
      </c>
      <c r="O78" s="226">
        <v>2977.8</v>
      </c>
      <c r="P78" s="265">
        <f t="shared" si="7"/>
        <v>0</v>
      </c>
      <c r="Q78" s="271">
        <f t="shared" si="8"/>
        <v>0</v>
      </c>
    </row>
    <row r="79" spans="1:17" x14ac:dyDescent="0.2">
      <c r="A79" s="264" t="s">
        <v>1347</v>
      </c>
      <c r="B79" s="202" t="s">
        <v>498</v>
      </c>
      <c r="C79" s="202" t="s">
        <v>507</v>
      </c>
      <c r="D79" s="202" t="s">
        <v>1246</v>
      </c>
      <c r="E79" s="202" t="s">
        <v>535</v>
      </c>
      <c r="F79" s="265">
        <v>815.2</v>
      </c>
      <c r="G79" s="265">
        <v>815.2</v>
      </c>
      <c r="H79" s="265">
        <v>815.2</v>
      </c>
      <c r="I79" s="265">
        <v>815.2</v>
      </c>
      <c r="J79" s="265">
        <f t="shared" si="5"/>
        <v>0</v>
      </c>
      <c r="K79" s="265">
        <f t="shared" si="6"/>
        <v>0</v>
      </c>
      <c r="L79" s="265">
        <v>815.2</v>
      </c>
      <c r="M79" s="226">
        <v>815.2</v>
      </c>
      <c r="N79" s="265">
        <v>815.2</v>
      </c>
      <c r="O79" s="226">
        <v>815.2</v>
      </c>
      <c r="P79" s="265">
        <f t="shared" si="7"/>
        <v>0</v>
      </c>
      <c r="Q79" s="271">
        <f t="shared" si="8"/>
        <v>0</v>
      </c>
    </row>
    <row r="80" spans="1:17" x14ac:dyDescent="0.2">
      <c r="A80" s="264" t="s">
        <v>534</v>
      </c>
      <c r="B80" s="202" t="s">
        <v>498</v>
      </c>
      <c r="C80" s="202" t="s">
        <v>507</v>
      </c>
      <c r="D80" s="202" t="s">
        <v>1246</v>
      </c>
      <c r="E80" s="202" t="s">
        <v>529</v>
      </c>
      <c r="F80" s="265">
        <v>815.2</v>
      </c>
      <c r="G80" s="265">
        <v>815.2</v>
      </c>
      <c r="H80" s="265">
        <v>815.2</v>
      </c>
      <c r="I80" s="265">
        <v>815.2</v>
      </c>
      <c r="J80" s="265">
        <f t="shared" si="5"/>
        <v>0</v>
      </c>
      <c r="K80" s="265">
        <f t="shared" si="6"/>
        <v>0</v>
      </c>
      <c r="L80" s="265">
        <v>815.2</v>
      </c>
      <c r="M80" s="226">
        <v>815.2</v>
      </c>
      <c r="N80" s="265">
        <v>815.2</v>
      </c>
      <c r="O80" s="226">
        <v>815.2</v>
      </c>
      <c r="P80" s="265">
        <f t="shared" si="7"/>
        <v>0</v>
      </c>
      <c r="Q80" s="271">
        <f t="shared" si="8"/>
        <v>0</v>
      </c>
    </row>
    <row r="81" spans="1:17" s="306" customFormat="1" x14ac:dyDescent="0.2">
      <c r="A81" s="298" t="s">
        <v>943</v>
      </c>
      <c r="B81" s="298" t="s">
        <v>498</v>
      </c>
      <c r="C81" s="298" t="s">
        <v>507</v>
      </c>
      <c r="D81" s="298" t="s">
        <v>942</v>
      </c>
      <c r="E81" s="298"/>
      <c r="F81" s="265">
        <v>631.99999999999989</v>
      </c>
      <c r="G81" s="265">
        <v>631.99999999999989</v>
      </c>
      <c r="H81" s="265">
        <f t="shared" ref="H81:I83" si="9">H82</f>
        <v>631.99999999999989</v>
      </c>
      <c r="I81" s="265">
        <f t="shared" si="9"/>
        <v>631.99999999999989</v>
      </c>
      <c r="J81" s="265">
        <f t="shared" ref="J81:J88" si="10">H81-F81</f>
        <v>0</v>
      </c>
      <c r="K81" s="265">
        <f t="shared" ref="K81:K88" si="11">I81-G81</f>
        <v>0</v>
      </c>
      <c r="L81" s="265">
        <v>631.99999999999989</v>
      </c>
      <c r="M81" s="226">
        <v>631.99999999999989</v>
      </c>
      <c r="N81" s="265">
        <f t="shared" ref="N81:O83" si="12">N82</f>
        <v>631.99999999999989</v>
      </c>
      <c r="O81" s="226">
        <f t="shared" si="12"/>
        <v>631.99999999999989</v>
      </c>
      <c r="P81" s="265">
        <f t="shared" ref="P81:P88" si="13">N81-L81</f>
        <v>0</v>
      </c>
      <c r="Q81" s="271">
        <f t="shared" ref="Q81:Q88" si="14">O81-M81</f>
        <v>0</v>
      </c>
    </row>
    <row r="82" spans="1:17" s="306" customFormat="1" x14ac:dyDescent="0.2">
      <c r="A82" s="298" t="s">
        <v>602</v>
      </c>
      <c r="B82" s="298" t="s">
        <v>498</v>
      </c>
      <c r="C82" s="298" t="s">
        <v>507</v>
      </c>
      <c r="D82" s="298" t="s">
        <v>941</v>
      </c>
      <c r="E82" s="298"/>
      <c r="F82" s="265">
        <v>631.99999999999989</v>
      </c>
      <c r="G82" s="265">
        <v>631.99999999999989</v>
      </c>
      <c r="H82" s="265">
        <f t="shared" si="9"/>
        <v>631.99999999999989</v>
      </c>
      <c r="I82" s="265">
        <f t="shared" si="9"/>
        <v>631.99999999999989</v>
      </c>
      <c r="J82" s="265">
        <f t="shared" si="10"/>
        <v>0</v>
      </c>
      <c r="K82" s="265">
        <f t="shared" si="11"/>
        <v>0</v>
      </c>
      <c r="L82" s="265">
        <v>631.99999999999989</v>
      </c>
      <c r="M82" s="226">
        <v>631.99999999999989</v>
      </c>
      <c r="N82" s="265">
        <f t="shared" si="12"/>
        <v>631.99999999999989</v>
      </c>
      <c r="O82" s="226">
        <f t="shared" si="12"/>
        <v>631.99999999999989</v>
      </c>
      <c r="P82" s="265">
        <f t="shared" si="13"/>
        <v>0</v>
      </c>
      <c r="Q82" s="271">
        <f t="shared" si="14"/>
        <v>0</v>
      </c>
    </row>
    <row r="83" spans="1:17" s="306" customFormat="1" ht="22.5" x14ac:dyDescent="0.2">
      <c r="A83" s="298" t="s">
        <v>600</v>
      </c>
      <c r="B83" s="298" t="s">
        <v>498</v>
      </c>
      <c r="C83" s="298" t="s">
        <v>507</v>
      </c>
      <c r="D83" s="298" t="s">
        <v>940</v>
      </c>
      <c r="E83" s="298"/>
      <c r="F83" s="265">
        <v>631.99999999999989</v>
      </c>
      <c r="G83" s="265">
        <v>631.99999999999989</v>
      </c>
      <c r="H83" s="265">
        <f t="shared" si="9"/>
        <v>631.99999999999989</v>
      </c>
      <c r="I83" s="265">
        <f t="shared" si="9"/>
        <v>631.99999999999989</v>
      </c>
      <c r="J83" s="265">
        <f t="shared" si="10"/>
        <v>0</v>
      </c>
      <c r="K83" s="265">
        <f t="shared" si="11"/>
        <v>0</v>
      </c>
      <c r="L83" s="265">
        <v>631.99999999999989</v>
      </c>
      <c r="M83" s="226">
        <v>631.99999999999989</v>
      </c>
      <c r="N83" s="265">
        <f t="shared" si="12"/>
        <v>631.99999999999989</v>
      </c>
      <c r="O83" s="226">
        <f t="shared" si="12"/>
        <v>631.99999999999989</v>
      </c>
      <c r="P83" s="265">
        <f t="shared" si="13"/>
        <v>0</v>
      </c>
      <c r="Q83" s="271">
        <f t="shared" si="14"/>
        <v>0</v>
      </c>
    </row>
    <row r="84" spans="1:17" s="306" customFormat="1" ht="22.5" x14ac:dyDescent="0.2">
      <c r="A84" s="298" t="s">
        <v>939</v>
      </c>
      <c r="B84" s="298" t="s">
        <v>498</v>
      </c>
      <c r="C84" s="298" t="s">
        <v>507</v>
      </c>
      <c r="D84" s="298" t="s">
        <v>938</v>
      </c>
      <c r="E84" s="298"/>
      <c r="F84" s="265">
        <v>631.99999999999989</v>
      </c>
      <c r="G84" s="265">
        <v>631.99999999999989</v>
      </c>
      <c r="H84" s="265">
        <f t="shared" ref="H84:I84" si="15">H85+H87</f>
        <v>631.99999999999989</v>
      </c>
      <c r="I84" s="265">
        <f t="shared" si="15"/>
        <v>631.99999999999989</v>
      </c>
      <c r="J84" s="265">
        <f t="shared" si="10"/>
        <v>0</v>
      </c>
      <c r="K84" s="265">
        <f t="shared" si="11"/>
        <v>0</v>
      </c>
      <c r="L84" s="265">
        <v>631.99999999999989</v>
      </c>
      <c r="M84" s="226">
        <v>631.99999999999989</v>
      </c>
      <c r="N84" s="265">
        <f t="shared" ref="N84:O84" si="16">N85+N87</f>
        <v>631.99999999999989</v>
      </c>
      <c r="O84" s="226">
        <f t="shared" si="16"/>
        <v>631.99999999999989</v>
      </c>
      <c r="P84" s="265">
        <f t="shared" si="13"/>
        <v>0</v>
      </c>
      <c r="Q84" s="271">
        <f t="shared" si="14"/>
        <v>0</v>
      </c>
    </row>
    <row r="85" spans="1:17" s="306" customFormat="1" ht="33.75" x14ac:dyDescent="0.2">
      <c r="A85" s="298" t="s">
        <v>1348</v>
      </c>
      <c r="B85" s="298" t="s">
        <v>498</v>
      </c>
      <c r="C85" s="298" t="s">
        <v>507</v>
      </c>
      <c r="D85" s="298" t="s">
        <v>938</v>
      </c>
      <c r="E85" s="298" t="s">
        <v>556</v>
      </c>
      <c r="F85" s="265">
        <v>569.89999999999986</v>
      </c>
      <c r="G85" s="265">
        <v>569.89999999999986</v>
      </c>
      <c r="H85" s="265">
        <f t="shared" ref="H85:I85" si="17">H86</f>
        <v>569.89999999999986</v>
      </c>
      <c r="I85" s="265">
        <f t="shared" si="17"/>
        <v>569.89999999999986</v>
      </c>
      <c r="J85" s="265">
        <f t="shared" si="10"/>
        <v>0</v>
      </c>
      <c r="K85" s="265">
        <f t="shared" si="11"/>
        <v>0</v>
      </c>
      <c r="L85" s="265">
        <v>569.89999999999986</v>
      </c>
      <c r="M85" s="226">
        <v>569.89999999999986</v>
      </c>
      <c r="N85" s="265">
        <f t="shared" ref="N85:O85" si="18">N86</f>
        <v>569.89999999999986</v>
      </c>
      <c r="O85" s="226">
        <f t="shared" si="18"/>
        <v>569.89999999999986</v>
      </c>
      <c r="P85" s="265">
        <f t="shared" si="13"/>
        <v>0</v>
      </c>
      <c r="Q85" s="271">
        <f t="shared" si="14"/>
        <v>0</v>
      </c>
    </row>
    <row r="86" spans="1:17" s="306" customFormat="1" x14ac:dyDescent="0.2">
      <c r="A86" s="298" t="s">
        <v>749</v>
      </c>
      <c r="B86" s="298" t="s">
        <v>498</v>
      </c>
      <c r="C86" s="298" t="s">
        <v>507</v>
      </c>
      <c r="D86" s="298" t="s">
        <v>938</v>
      </c>
      <c r="E86" s="298" t="s">
        <v>745</v>
      </c>
      <c r="F86" s="265">
        <v>569.89999999999986</v>
      </c>
      <c r="G86" s="265">
        <v>569.89999999999986</v>
      </c>
      <c r="H86" s="265">
        <f>'Ведомственная 2021-2022'!H72</f>
        <v>569.89999999999986</v>
      </c>
      <c r="I86" s="265">
        <f>H86</f>
        <v>569.89999999999986</v>
      </c>
      <c r="J86" s="265">
        <f t="shared" si="10"/>
        <v>0</v>
      </c>
      <c r="K86" s="265">
        <f t="shared" si="11"/>
        <v>0</v>
      </c>
      <c r="L86" s="265">
        <v>569.89999999999986</v>
      </c>
      <c r="M86" s="226">
        <v>569.89999999999986</v>
      </c>
      <c r="N86" s="265">
        <f>'Ведомственная 2021-2022'!K72</f>
        <v>569.89999999999986</v>
      </c>
      <c r="O86" s="226">
        <f>N86</f>
        <v>569.89999999999986</v>
      </c>
      <c r="P86" s="265">
        <f t="shared" si="13"/>
        <v>0</v>
      </c>
      <c r="Q86" s="271">
        <f t="shared" si="14"/>
        <v>0</v>
      </c>
    </row>
    <row r="87" spans="1:17" s="306" customFormat="1" x14ac:dyDescent="0.2">
      <c r="A87" s="298" t="s">
        <v>1347</v>
      </c>
      <c r="B87" s="298" t="s">
        <v>498</v>
      </c>
      <c r="C87" s="298" t="s">
        <v>507</v>
      </c>
      <c r="D87" s="298" t="s">
        <v>938</v>
      </c>
      <c r="E87" s="298" t="s">
        <v>535</v>
      </c>
      <c r="F87" s="265">
        <v>62.1</v>
      </c>
      <c r="G87" s="265">
        <v>62.1</v>
      </c>
      <c r="H87" s="265">
        <f>H88</f>
        <v>62.1</v>
      </c>
      <c r="I87" s="265">
        <f>I88</f>
        <v>62.1</v>
      </c>
      <c r="J87" s="265">
        <f t="shared" si="10"/>
        <v>0</v>
      </c>
      <c r="K87" s="265">
        <f t="shared" si="11"/>
        <v>0</v>
      </c>
      <c r="L87" s="265">
        <v>62.1</v>
      </c>
      <c r="M87" s="226">
        <v>62.1</v>
      </c>
      <c r="N87" s="265">
        <f>N88</f>
        <v>62.1</v>
      </c>
      <c r="O87" s="226">
        <f>O88</f>
        <v>62.1</v>
      </c>
      <c r="P87" s="265">
        <f t="shared" si="13"/>
        <v>0</v>
      </c>
      <c r="Q87" s="271">
        <f t="shared" si="14"/>
        <v>0</v>
      </c>
    </row>
    <row r="88" spans="1:17" s="306" customFormat="1" x14ac:dyDescent="0.2">
      <c r="A88" s="298" t="s">
        <v>534</v>
      </c>
      <c r="B88" s="298" t="s">
        <v>498</v>
      </c>
      <c r="C88" s="298" t="s">
        <v>507</v>
      </c>
      <c r="D88" s="298" t="s">
        <v>938</v>
      </c>
      <c r="E88" s="298" t="s">
        <v>529</v>
      </c>
      <c r="F88" s="265">
        <v>62.1</v>
      </c>
      <c r="G88" s="265">
        <v>62.1</v>
      </c>
      <c r="H88" s="265">
        <f>'Ведомственная 2021-2022'!H74</f>
        <v>62.1</v>
      </c>
      <c r="I88" s="265">
        <f>H88</f>
        <v>62.1</v>
      </c>
      <c r="J88" s="265">
        <f t="shared" si="10"/>
        <v>0</v>
      </c>
      <c r="K88" s="265">
        <f t="shared" si="11"/>
        <v>0</v>
      </c>
      <c r="L88" s="265">
        <v>62.1</v>
      </c>
      <c r="M88" s="226">
        <v>62.1</v>
      </c>
      <c r="N88" s="265">
        <f>'Ведомственная 2021-2022'!K74</f>
        <v>62.1</v>
      </c>
      <c r="O88" s="226">
        <f>N88</f>
        <v>62.1</v>
      </c>
      <c r="P88" s="265">
        <f t="shared" si="13"/>
        <v>0</v>
      </c>
      <c r="Q88" s="271">
        <f t="shared" si="14"/>
        <v>0</v>
      </c>
    </row>
    <row r="89" spans="1:17" x14ac:dyDescent="0.2">
      <c r="A89" s="264" t="s">
        <v>604</v>
      </c>
      <c r="B89" s="202" t="s">
        <v>498</v>
      </c>
      <c r="C89" s="202" t="s">
        <v>507</v>
      </c>
      <c r="D89" s="202" t="s">
        <v>603</v>
      </c>
      <c r="E89" s="202"/>
      <c r="F89" s="265">
        <v>639969.5</v>
      </c>
      <c r="G89" s="265">
        <v>0</v>
      </c>
      <c r="H89" s="265">
        <f>H90</f>
        <v>548262.70000000007</v>
      </c>
      <c r="I89" s="265">
        <v>0</v>
      </c>
      <c r="J89" s="281">
        <f t="shared" si="5"/>
        <v>-91706.79999999993</v>
      </c>
      <c r="K89" s="265">
        <f t="shared" si="6"/>
        <v>0</v>
      </c>
      <c r="L89" s="265">
        <v>310728.40000000002</v>
      </c>
      <c r="M89" s="226">
        <v>0</v>
      </c>
      <c r="N89" s="265">
        <f>N90</f>
        <v>304528.40000000002</v>
      </c>
      <c r="O89" s="226">
        <v>0</v>
      </c>
      <c r="P89" s="281">
        <f t="shared" si="7"/>
        <v>-6200</v>
      </c>
      <c r="Q89" s="271">
        <f t="shared" si="8"/>
        <v>0</v>
      </c>
    </row>
    <row r="90" spans="1:17" x14ac:dyDescent="0.2">
      <c r="A90" s="264" t="s">
        <v>602</v>
      </c>
      <c r="B90" s="202" t="s">
        <v>498</v>
      </c>
      <c r="C90" s="202" t="s">
        <v>507</v>
      </c>
      <c r="D90" s="202" t="s">
        <v>601</v>
      </c>
      <c r="E90" s="202"/>
      <c r="F90" s="265">
        <v>639969.5</v>
      </c>
      <c r="G90" s="265">
        <v>0</v>
      </c>
      <c r="H90" s="265">
        <f>H91</f>
        <v>548262.70000000007</v>
      </c>
      <c r="I90" s="265">
        <v>0</v>
      </c>
      <c r="J90" s="281">
        <f t="shared" si="5"/>
        <v>-91706.79999999993</v>
      </c>
      <c r="K90" s="265">
        <f t="shared" si="6"/>
        <v>0</v>
      </c>
      <c r="L90" s="265">
        <v>310728.40000000002</v>
      </c>
      <c r="M90" s="226">
        <v>0</v>
      </c>
      <c r="N90" s="265">
        <f>N91</f>
        <v>304528.40000000002</v>
      </c>
      <c r="O90" s="226">
        <v>0</v>
      </c>
      <c r="P90" s="281">
        <f t="shared" si="7"/>
        <v>-6200</v>
      </c>
      <c r="Q90" s="271">
        <f t="shared" si="8"/>
        <v>0</v>
      </c>
    </row>
    <row r="91" spans="1:17" ht="22.5" x14ac:dyDescent="0.2">
      <c r="A91" s="264" t="s">
        <v>600</v>
      </c>
      <c r="B91" s="202" t="s">
        <v>498</v>
      </c>
      <c r="C91" s="202" t="s">
        <v>507</v>
      </c>
      <c r="D91" s="202" t="s">
        <v>599</v>
      </c>
      <c r="E91" s="202"/>
      <c r="F91" s="265">
        <v>639969.5</v>
      </c>
      <c r="G91" s="265">
        <v>0</v>
      </c>
      <c r="H91" s="265">
        <f>H92</f>
        <v>548262.70000000007</v>
      </c>
      <c r="I91" s="265">
        <v>0</v>
      </c>
      <c r="J91" s="281">
        <f t="shared" si="5"/>
        <v>-91706.79999999993</v>
      </c>
      <c r="K91" s="265">
        <f t="shared" si="6"/>
        <v>0</v>
      </c>
      <c r="L91" s="265">
        <v>310728.40000000002</v>
      </c>
      <c r="M91" s="226">
        <v>0</v>
      </c>
      <c r="N91" s="265">
        <f>N92</f>
        <v>304528.40000000002</v>
      </c>
      <c r="O91" s="226">
        <v>0</v>
      </c>
      <c r="P91" s="281">
        <f t="shared" si="7"/>
        <v>-6200</v>
      </c>
      <c r="Q91" s="271">
        <f t="shared" si="8"/>
        <v>0</v>
      </c>
    </row>
    <row r="92" spans="1:17" x14ac:dyDescent="0.2">
      <c r="A92" s="264" t="s">
        <v>598</v>
      </c>
      <c r="B92" s="202" t="s">
        <v>498</v>
      </c>
      <c r="C92" s="202" t="s">
        <v>507</v>
      </c>
      <c r="D92" s="202" t="s">
        <v>597</v>
      </c>
      <c r="E92" s="202"/>
      <c r="F92" s="265">
        <v>639969.5</v>
      </c>
      <c r="G92" s="265">
        <v>0</v>
      </c>
      <c r="H92" s="265">
        <f>H93+H95+H97</f>
        <v>548262.70000000007</v>
      </c>
      <c r="I92" s="265">
        <v>0</v>
      </c>
      <c r="J92" s="281">
        <f t="shared" si="5"/>
        <v>-91706.79999999993</v>
      </c>
      <c r="K92" s="265">
        <f t="shared" si="6"/>
        <v>0</v>
      </c>
      <c r="L92" s="265">
        <v>310728.40000000002</v>
      </c>
      <c r="M92" s="226">
        <v>0</v>
      </c>
      <c r="N92" s="265">
        <f>N93+N95+N97</f>
        <v>304528.40000000002</v>
      </c>
      <c r="O92" s="226">
        <v>0</v>
      </c>
      <c r="P92" s="281">
        <f t="shared" si="7"/>
        <v>-6200</v>
      </c>
      <c r="Q92" s="271">
        <f t="shared" si="8"/>
        <v>0</v>
      </c>
    </row>
    <row r="93" spans="1:17" ht="33.75" x14ac:dyDescent="0.2">
      <c r="A93" s="264" t="s">
        <v>1348</v>
      </c>
      <c r="B93" s="202" t="s">
        <v>498</v>
      </c>
      <c r="C93" s="202" t="s">
        <v>507</v>
      </c>
      <c r="D93" s="202" t="s">
        <v>597</v>
      </c>
      <c r="E93" s="202" t="s">
        <v>556</v>
      </c>
      <c r="F93" s="265">
        <v>555961.4</v>
      </c>
      <c r="G93" s="265">
        <v>0</v>
      </c>
      <c r="H93" s="265">
        <f>H94</f>
        <v>464254.60000000003</v>
      </c>
      <c r="I93" s="265">
        <v>0</v>
      </c>
      <c r="J93" s="281">
        <f t="shared" si="5"/>
        <v>-91706.799999999988</v>
      </c>
      <c r="K93" s="265">
        <f t="shared" si="6"/>
        <v>0</v>
      </c>
      <c r="L93" s="265">
        <v>226630.3</v>
      </c>
      <c r="M93" s="226">
        <v>0</v>
      </c>
      <c r="N93" s="265">
        <f>N94</f>
        <v>220430.3</v>
      </c>
      <c r="O93" s="226">
        <v>0</v>
      </c>
      <c r="P93" s="281">
        <f t="shared" si="7"/>
        <v>-6200</v>
      </c>
      <c r="Q93" s="271">
        <f t="shared" si="8"/>
        <v>0</v>
      </c>
    </row>
    <row r="94" spans="1:17" x14ac:dyDescent="0.2">
      <c r="A94" s="264" t="s">
        <v>749</v>
      </c>
      <c r="B94" s="202" t="s">
        <v>498</v>
      </c>
      <c r="C94" s="202" t="s">
        <v>507</v>
      </c>
      <c r="D94" s="202" t="s">
        <v>597</v>
      </c>
      <c r="E94" s="202" t="s">
        <v>745</v>
      </c>
      <c r="F94" s="265">
        <v>555961.4</v>
      </c>
      <c r="G94" s="265">
        <v>0</v>
      </c>
      <c r="H94" s="265">
        <f>'Ведомственная 2021-2022'!H80</f>
        <v>464254.60000000003</v>
      </c>
      <c r="I94" s="265">
        <v>0</v>
      </c>
      <c r="J94" s="281">
        <f t="shared" si="5"/>
        <v>-91706.799999999988</v>
      </c>
      <c r="K94" s="265">
        <f t="shared" si="6"/>
        <v>0</v>
      </c>
      <c r="L94" s="265">
        <v>226630.3</v>
      </c>
      <c r="M94" s="226">
        <v>0</v>
      </c>
      <c r="N94" s="265">
        <f>'Ведомственная 2021-2022'!K80</f>
        <v>220430.3</v>
      </c>
      <c r="O94" s="226">
        <v>0</v>
      </c>
      <c r="P94" s="281">
        <f t="shared" si="7"/>
        <v>-6200</v>
      </c>
      <c r="Q94" s="271">
        <f t="shared" si="8"/>
        <v>0</v>
      </c>
    </row>
    <row r="95" spans="1:17" x14ac:dyDescent="0.2">
      <c r="A95" s="264" t="s">
        <v>1347</v>
      </c>
      <c r="B95" s="202" t="s">
        <v>498</v>
      </c>
      <c r="C95" s="202" t="s">
        <v>507</v>
      </c>
      <c r="D95" s="202" t="s">
        <v>597</v>
      </c>
      <c r="E95" s="202" t="s">
        <v>535</v>
      </c>
      <c r="F95" s="265">
        <v>82124.7</v>
      </c>
      <c r="G95" s="265">
        <v>0</v>
      </c>
      <c r="H95" s="265">
        <f>H96</f>
        <v>82124.7</v>
      </c>
      <c r="I95" s="265">
        <v>0</v>
      </c>
      <c r="J95" s="281">
        <f t="shared" si="5"/>
        <v>0</v>
      </c>
      <c r="K95" s="265">
        <f t="shared" si="6"/>
        <v>0</v>
      </c>
      <c r="L95" s="265">
        <v>82214.7</v>
      </c>
      <c r="M95" s="226">
        <v>0</v>
      </c>
      <c r="N95" s="265">
        <f>N96</f>
        <v>82214.7</v>
      </c>
      <c r="O95" s="226">
        <v>0</v>
      </c>
      <c r="P95" s="265">
        <f t="shared" si="7"/>
        <v>0</v>
      </c>
      <c r="Q95" s="271">
        <f t="shared" si="8"/>
        <v>0</v>
      </c>
    </row>
    <row r="96" spans="1:17" x14ac:dyDescent="0.2">
      <c r="A96" s="264" t="s">
        <v>534</v>
      </c>
      <c r="B96" s="202" t="s">
        <v>498</v>
      </c>
      <c r="C96" s="202" t="s">
        <v>507</v>
      </c>
      <c r="D96" s="202" t="s">
        <v>597</v>
      </c>
      <c r="E96" s="202" t="s">
        <v>529</v>
      </c>
      <c r="F96" s="265">
        <v>82124.7</v>
      </c>
      <c r="G96" s="265">
        <v>0</v>
      </c>
      <c r="H96" s="265">
        <f>82143.9-19.2</f>
        <v>82124.7</v>
      </c>
      <c r="I96" s="265">
        <v>0</v>
      </c>
      <c r="J96" s="281">
        <f t="shared" si="5"/>
        <v>0</v>
      </c>
      <c r="K96" s="265">
        <f t="shared" si="6"/>
        <v>0</v>
      </c>
      <c r="L96" s="265">
        <v>82214.7</v>
      </c>
      <c r="M96" s="226">
        <v>0</v>
      </c>
      <c r="N96" s="265">
        <f>82143.9+70.8</f>
        <v>82214.7</v>
      </c>
      <c r="O96" s="226">
        <v>0</v>
      </c>
      <c r="P96" s="265">
        <f t="shared" si="7"/>
        <v>0</v>
      </c>
      <c r="Q96" s="271">
        <f t="shared" si="8"/>
        <v>0</v>
      </c>
    </row>
    <row r="97" spans="1:17" x14ac:dyDescent="0.2">
      <c r="A97" s="264" t="s">
        <v>615</v>
      </c>
      <c r="B97" s="202" t="s">
        <v>498</v>
      </c>
      <c r="C97" s="202" t="s">
        <v>507</v>
      </c>
      <c r="D97" s="202" t="s">
        <v>597</v>
      </c>
      <c r="E97" s="202" t="s">
        <v>509</v>
      </c>
      <c r="F97" s="265">
        <v>1883.4</v>
      </c>
      <c r="G97" s="265">
        <v>0</v>
      </c>
      <c r="H97" s="265">
        <v>1883.4</v>
      </c>
      <c r="I97" s="265">
        <v>0</v>
      </c>
      <c r="J97" s="265">
        <f t="shared" si="5"/>
        <v>0</v>
      </c>
      <c r="K97" s="265">
        <f t="shared" si="6"/>
        <v>0</v>
      </c>
      <c r="L97" s="265">
        <v>1883.4</v>
      </c>
      <c r="M97" s="226">
        <v>0</v>
      </c>
      <c r="N97" s="265">
        <v>1883.4</v>
      </c>
      <c r="O97" s="226">
        <v>0</v>
      </c>
      <c r="P97" s="265">
        <f t="shared" si="7"/>
        <v>0</v>
      </c>
      <c r="Q97" s="271">
        <f t="shared" si="8"/>
        <v>0</v>
      </c>
    </row>
    <row r="98" spans="1:17" x14ac:dyDescent="0.2">
      <c r="A98" s="264" t="s">
        <v>614</v>
      </c>
      <c r="B98" s="202" t="s">
        <v>498</v>
      </c>
      <c r="C98" s="202" t="s">
        <v>507</v>
      </c>
      <c r="D98" s="202" t="s">
        <v>597</v>
      </c>
      <c r="E98" s="202" t="s">
        <v>613</v>
      </c>
      <c r="F98" s="265">
        <v>1883.4</v>
      </c>
      <c r="G98" s="265">
        <v>0</v>
      </c>
      <c r="H98" s="265">
        <v>1883.4</v>
      </c>
      <c r="I98" s="265">
        <v>0</v>
      </c>
      <c r="J98" s="265">
        <f t="shared" si="5"/>
        <v>0</v>
      </c>
      <c r="K98" s="265">
        <f t="shared" si="6"/>
        <v>0</v>
      </c>
      <c r="L98" s="265">
        <v>1883.4</v>
      </c>
      <c r="M98" s="226">
        <v>0</v>
      </c>
      <c r="N98" s="265">
        <v>1883.4</v>
      </c>
      <c r="O98" s="226">
        <v>0</v>
      </c>
      <c r="P98" s="265">
        <f t="shared" si="7"/>
        <v>0</v>
      </c>
      <c r="Q98" s="271">
        <f t="shared" si="8"/>
        <v>0</v>
      </c>
    </row>
    <row r="99" spans="1:17" s="306" customFormat="1" x14ac:dyDescent="0.2">
      <c r="A99" s="202" t="s">
        <v>994</v>
      </c>
      <c r="B99" s="202" t="s">
        <v>498</v>
      </c>
      <c r="C99" s="202" t="s">
        <v>507</v>
      </c>
      <c r="D99" s="202" t="s">
        <v>993</v>
      </c>
      <c r="E99" s="202"/>
      <c r="F99" s="265">
        <v>2845</v>
      </c>
      <c r="G99" s="265">
        <v>2845</v>
      </c>
      <c r="H99" s="265">
        <f t="shared" ref="H99:I103" si="19">H100</f>
        <v>2845</v>
      </c>
      <c r="I99" s="265">
        <f t="shared" si="19"/>
        <v>2845</v>
      </c>
      <c r="J99" s="265">
        <f t="shared" ref="J99:J104" si="20">H99-F99</f>
        <v>0</v>
      </c>
      <c r="K99" s="265">
        <f t="shared" ref="K99:K104" si="21">I99-G99</f>
        <v>0</v>
      </c>
      <c r="L99" s="265">
        <v>2845</v>
      </c>
      <c r="M99" s="226">
        <v>2845</v>
      </c>
      <c r="N99" s="265">
        <f t="shared" ref="N99:O103" si="22">N100</f>
        <v>2845</v>
      </c>
      <c r="O99" s="226">
        <f t="shared" si="22"/>
        <v>2845</v>
      </c>
      <c r="P99" s="265">
        <f t="shared" ref="P99:P104" si="23">N99-L99</f>
        <v>0</v>
      </c>
      <c r="Q99" s="271">
        <f t="shared" ref="Q99:Q104" si="24">O99-M99</f>
        <v>0</v>
      </c>
    </row>
    <row r="100" spans="1:17" s="306" customFormat="1" x14ac:dyDescent="0.2">
      <c r="A100" s="202" t="s">
        <v>992</v>
      </c>
      <c r="B100" s="202" t="s">
        <v>498</v>
      </c>
      <c r="C100" s="202" t="s">
        <v>507</v>
      </c>
      <c r="D100" s="202" t="s">
        <v>991</v>
      </c>
      <c r="E100" s="202"/>
      <c r="F100" s="265">
        <v>2845</v>
      </c>
      <c r="G100" s="265">
        <v>2845</v>
      </c>
      <c r="H100" s="265">
        <f t="shared" si="19"/>
        <v>2845</v>
      </c>
      <c r="I100" s="265">
        <f t="shared" si="19"/>
        <v>2845</v>
      </c>
      <c r="J100" s="265">
        <f t="shared" si="20"/>
        <v>0</v>
      </c>
      <c r="K100" s="265">
        <f t="shared" si="21"/>
        <v>0</v>
      </c>
      <c r="L100" s="265">
        <v>2845</v>
      </c>
      <c r="M100" s="226">
        <v>2845</v>
      </c>
      <c r="N100" s="265">
        <f t="shared" si="22"/>
        <v>2845</v>
      </c>
      <c r="O100" s="226">
        <f t="shared" si="22"/>
        <v>2845</v>
      </c>
      <c r="P100" s="265">
        <f t="shared" si="23"/>
        <v>0</v>
      </c>
      <c r="Q100" s="271">
        <f t="shared" si="24"/>
        <v>0</v>
      </c>
    </row>
    <row r="101" spans="1:17" s="306" customFormat="1" ht="22.5" x14ac:dyDescent="0.2">
      <c r="A101" s="202" t="s">
        <v>1050</v>
      </c>
      <c r="B101" s="202" t="s">
        <v>498</v>
      </c>
      <c r="C101" s="202" t="s">
        <v>507</v>
      </c>
      <c r="D101" s="202" t="s">
        <v>1049</v>
      </c>
      <c r="E101" s="202"/>
      <c r="F101" s="265">
        <v>2845</v>
      </c>
      <c r="G101" s="265">
        <v>2845</v>
      </c>
      <c r="H101" s="265">
        <f t="shared" si="19"/>
        <v>2845</v>
      </c>
      <c r="I101" s="265">
        <f t="shared" si="19"/>
        <v>2845</v>
      </c>
      <c r="J101" s="265">
        <f t="shared" si="20"/>
        <v>0</v>
      </c>
      <c r="K101" s="265">
        <f t="shared" si="21"/>
        <v>0</v>
      </c>
      <c r="L101" s="265">
        <v>2845</v>
      </c>
      <c r="M101" s="226">
        <v>2845</v>
      </c>
      <c r="N101" s="265">
        <f t="shared" si="22"/>
        <v>2845</v>
      </c>
      <c r="O101" s="226">
        <f t="shared" si="22"/>
        <v>2845</v>
      </c>
      <c r="P101" s="265">
        <f t="shared" si="23"/>
        <v>0</v>
      </c>
      <c r="Q101" s="271">
        <f t="shared" si="24"/>
        <v>0</v>
      </c>
    </row>
    <row r="102" spans="1:17" s="306" customFormat="1" ht="67.5" x14ac:dyDescent="0.2">
      <c r="A102" s="202" t="s">
        <v>1048</v>
      </c>
      <c r="B102" s="202" t="s">
        <v>498</v>
      </c>
      <c r="C102" s="202" t="s">
        <v>507</v>
      </c>
      <c r="D102" s="202" t="s">
        <v>1047</v>
      </c>
      <c r="E102" s="202"/>
      <c r="F102" s="265">
        <v>2845</v>
      </c>
      <c r="G102" s="265">
        <v>2845</v>
      </c>
      <c r="H102" s="265">
        <f t="shared" si="19"/>
        <v>2845</v>
      </c>
      <c r="I102" s="265">
        <f t="shared" si="19"/>
        <v>2845</v>
      </c>
      <c r="J102" s="265">
        <f t="shared" si="20"/>
        <v>0</v>
      </c>
      <c r="K102" s="265">
        <f t="shared" si="21"/>
        <v>0</v>
      </c>
      <c r="L102" s="265">
        <v>2845</v>
      </c>
      <c r="M102" s="226">
        <v>2845</v>
      </c>
      <c r="N102" s="265">
        <f t="shared" si="22"/>
        <v>2845</v>
      </c>
      <c r="O102" s="226">
        <f t="shared" si="22"/>
        <v>2845</v>
      </c>
      <c r="P102" s="265">
        <f t="shared" si="23"/>
        <v>0</v>
      </c>
      <c r="Q102" s="271">
        <f t="shared" si="24"/>
        <v>0</v>
      </c>
    </row>
    <row r="103" spans="1:17" s="306" customFormat="1" ht="33.75" x14ac:dyDescent="0.2">
      <c r="A103" s="202" t="s">
        <v>1348</v>
      </c>
      <c r="B103" s="202" t="s">
        <v>498</v>
      </c>
      <c r="C103" s="202" t="s">
        <v>507</v>
      </c>
      <c r="D103" s="202" t="s">
        <v>1047</v>
      </c>
      <c r="E103" s="202">
        <v>100</v>
      </c>
      <c r="F103" s="265">
        <v>2845</v>
      </c>
      <c r="G103" s="265">
        <v>2845</v>
      </c>
      <c r="H103" s="265">
        <f t="shared" si="19"/>
        <v>2845</v>
      </c>
      <c r="I103" s="265">
        <f t="shared" si="19"/>
        <v>2845</v>
      </c>
      <c r="J103" s="265">
        <f t="shared" si="20"/>
        <v>0</v>
      </c>
      <c r="K103" s="265">
        <f t="shared" si="21"/>
        <v>0</v>
      </c>
      <c r="L103" s="265">
        <v>2845</v>
      </c>
      <c r="M103" s="226">
        <v>2845</v>
      </c>
      <c r="N103" s="265">
        <f t="shared" si="22"/>
        <v>2845</v>
      </c>
      <c r="O103" s="226">
        <f t="shared" si="22"/>
        <v>2845</v>
      </c>
      <c r="P103" s="265">
        <f t="shared" si="23"/>
        <v>0</v>
      </c>
      <c r="Q103" s="271">
        <f t="shared" si="24"/>
        <v>0</v>
      </c>
    </row>
    <row r="104" spans="1:17" s="306" customFormat="1" x14ac:dyDescent="0.2">
      <c r="A104" s="202" t="s">
        <v>749</v>
      </c>
      <c r="B104" s="202" t="s">
        <v>498</v>
      </c>
      <c r="C104" s="202" t="s">
        <v>507</v>
      </c>
      <c r="D104" s="202" t="s">
        <v>1047</v>
      </c>
      <c r="E104" s="202">
        <v>120</v>
      </c>
      <c r="F104" s="265">
        <v>2845</v>
      </c>
      <c r="G104" s="265">
        <v>2845</v>
      </c>
      <c r="H104" s="265">
        <f>'Ведомственная 2021-2022'!H90</f>
        <v>2845</v>
      </c>
      <c r="I104" s="265">
        <f>H104</f>
        <v>2845</v>
      </c>
      <c r="J104" s="265">
        <f t="shared" si="20"/>
        <v>0</v>
      </c>
      <c r="K104" s="265">
        <f t="shared" si="21"/>
        <v>0</v>
      </c>
      <c r="L104" s="265">
        <v>2845</v>
      </c>
      <c r="M104" s="226">
        <v>2845</v>
      </c>
      <c r="N104" s="265">
        <f>'Ведомственная 2021-2022'!K90</f>
        <v>2845</v>
      </c>
      <c r="O104" s="226">
        <f>N104</f>
        <v>2845</v>
      </c>
      <c r="P104" s="265">
        <f t="shared" si="23"/>
        <v>0</v>
      </c>
      <c r="Q104" s="271">
        <f t="shared" si="24"/>
        <v>0</v>
      </c>
    </row>
    <row r="105" spans="1:17" x14ac:dyDescent="0.2">
      <c r="A105" s="264" t="s">
        <v>595</v>
      </c>
      <c r="B105" s="202" t="s">
        <v>498</v>
      </c>
      <c r="C105" s="202" t="s">
        <v>507</v>
      </c>
      <c r="D105" s="202" t="s">
        <v>594</v>
      </c>
      <c r="E105" s="202"/>
      <c r="F105" s="265">
        <v>1048.8</v>
      </c>
      <c r="G105" s="265">
        <v>0</v>
      </c>
      <c r="H105" s="265">
        <v>1048.8</v>
      </c>
      <c r="I105" s="265">
        <v>0</v>
      </c>
      <c r="J105" s="265">
        <f t="shared" si="5"/>
        <v>0</v>
      </c>
      <c r="K105" s="265">
        <f t="shared" si="6"/>
        <v>0</v>
      </c>
      <c r="L105" s="265">
        <v>1048.8</v>
      </c>
      <c r="M105" s="226">
        <v>0</v>
      </c>
      <c r="N105" s="265">
        <v>1048.8</v>
      </c>
      <c r="O105" s="226">
        <v>0</v>
      </c>
      <c r="P105" s="265">
        <f t="shared" si="7"/>
        <v>0</v>
      </c>
      <c r="Q105" s="271">
        <f t="shared" si="8"/>
        <v>0</v>
      </c>
    </row>
    <row r="106" spans="1:17" x14ac:dyDescent="0.2">
      <c r="A106" s="264" t="s">
        <v>871</v>
      </c>
      <c r="B106" s="202" t="s">
        <v>498</v>
      </c>
      <c r="C106" s="202" t="s">
        <v>507</v>
      </c>
      <c r="D106" s="202" t="s">
        <v>870</v>
      </c>
      <c r="E106" s="202"/>
      <c r="F106" s="265">
        <v>1048.8</v>
      </c>
      <c r="G106" s="265">
        <v>0</v>
      </c>
      <c r="H106" s="265">
        <v>1048.8</v>
      </c>
      <c r="I106" s="265">
        <v>0</v>
      </c>
      <c r="J106" s="265">
        <f t="shared" si="5"/>
        <v>0</v>
      </c>
      <c r="K106" s="265">
        <f t="shared" si="6"/>
        <v>0</v>
      </c>
      <c r="L106" s="265">
        <v>1048.8</v>
      </c>
      <c r="M106" s="226">
        <v>0</v>
      </c>
      <c r="N106" s="265">
        <v>1048.8</v>
      </c>
      <c r="O106" s="226">
        <v>0</v>
      </c>
      <c r="P106" s="265">
        <f t="shared" si="7"/>
        <v>0</v>
      </c>
      <c r="Q106" s="271">
        <f t="shared" si="8"/>
        <v>0</v>
      </c>
    </row>
    <row r="107" spans="1:17" x14ac:dyDescent="0.2">
      <c r="A107" s="264" t="s">
        <v>553</v>
      </c>
      <c r="B107" s="202" t="s">
        <v>498</v>
      </c>
      <c r="C107" s="202" t="s">
        <v>507</v>
      </c>
      <c r="D107" s="202" t="s">
        <v>870</v>
      </c>
      <c r="E107" s="202" t="s">
        <v>552</v>
      </c>
      <c r="F107" s="265">
        <v>1048.8</v>
      </c>
      <c r="G107" s="265">
        <v>0</v>
      </c>
      <c r="H107" s="265">
        <v>1048.8</v>
      </c>
      <c r="I107" s="265">
        <v>0</v>
      </c>
      <c r="J107" s="265">
        <f t="shared" si="5"/>
        <v>0</v>
      </c>
      <c r="K107" s="265">
        <f t="shared" si="6"/>
        <v>0</v>
      </c>
      <c r="L107" s="265">
        <v>1048.8</v>
      </c>
      <c r="M107" s="226">
        <v>0</v>
      </c>
      <c r="N107" s="265">
        <v>1048.8</v>
      </c>
      <c r="O107" s="226">
        <v>0</v>
      </c>
      <c r="P107" s="265">
        <f t="shared" si="7"/>
        <v>0</v>
      </c>
      <c r="Q107" s="271">
        <f t="shared" si="8"/>
        <v>0</v>
      </c>
    </row>
    <row r="108" spans="1:17" x14ac:dyDescent="0.2">
      <c r="A108" s="264" t="s">
        <v>936</v>
      </c>
      <c r="B108" s="202" t="s">
        <v>498</v>
      </c>
      <c r="C108" s="202" t="s">
        <v>507</v>
      </c>
      <c r="D108" s="202" t="s">
        <v>870</v>
      </c>
      <c r="E108" s="202" t="s">
        <v>934</v>
      </c>
      <c r="F108" s="265">
        <v>1048.8</v>
      </c>
      <c r="G108" s="265">
        <v>0</v>
      </c>
      <c r="H108" s="265">
        <v>1048.8</v>
      </c>
      <c r="I108" s="265">
        <v>0</v>
      </c>
      <c r="J108" s="265">
        <f t="shared" si="5"/>
        <v>0</v>
      </c>
      <c r="K108" s="265">
        <f t="shared" si="6"/>
        <v>0</v>
      </c>
      <c r="L108" s="265">
        <v>1048.8</v>
      </c>
      <c r="M108" s="226">
        <v>0</v>
      </c>
      <c r="N108" s="265">
        <v>1048.8</v>
      </c>
      <c r="O108" s="226">
        <v>0</v>
      </c>
      <c r="P108" s="265">
        <f t="shared" si="7"/>
        <v>0</v>
      </c>
      <c r="Q108" s="271">
        <f t="shared" si="8"/>
        <v>0</v>
      </c>
    </row>
    <row r="109" spans="1:17" ht="22.5" x14ac:dyDescent="0.2">
      <c r="A109" s="264" t="s">
        <v>758</v>
      </c>
      <c r="B109" s="202" t="s">
        <v>498</v>
      </c>
      <c r="C109" s="202" t="s">
        <v>747</v>
      </c>
      <c r="D109" s="202"/>
      <c r="E109" s="202"/>
      <c r="F109" s="265">
        <v>65800.5</v>
      </c>
      <c r="G109" s="265">
        <v>0</v>
      </c>
      <c r="H109" s="265">
        <v>65800.5</v>
      </c>
      <c r="I109" s="265">
        <v>0</v>
      </c>
      <c r="J109" s="265">
        <f t="shared" si="5"/>
        <v>0</v>
      </c>
      <c r="K109" s="265">
        <f t="shared" si="6"/>
        <v>0</v>
      </c>
      <c r="L109" s="265">
        <v>55860</v>
      </c>
      <c r="M109" s="226">
        <v>0</v>
      </c>
      <c r="N109" s="265">
        <f>N110+N120</f>
        <v>55860</v>
      </c>
      <c r="O109" s="226">
        <v>0</v>
      </c>
      <c r="P109" s="281">
        <f t="shared" si="7"/>
        <v>0</v>
      </c>
      <c r="Q109" s="271">
        <f t="shared" si="8"/>
        <v>0</v>
      </c>
    </row>
    <row r="110" spans="1:17" x14ac:dyDescent="0.2">
      <c r="A110" s="264" t="s">
        <v>604</v>
      </c>
      <c r="B110" s="202" t="s">
        <v>498</v>
      </c>
      <c r="C110" s="202" t="s">
        <v>747</v>
      </c>
      <c r="D110" s="202" t="s">
        <v>603</v>
      </c>
      <c r="E110" s="202"/>
      <c r="F110" s="265">
        <v>41320</v>
      </c>
      <c r="G110" s="265">
        <v>0</v>
      </c>
      <c r="H110" s="265">
        <v>41320</v>
      </c>
      <c r="I110" s="265">
        <v>0</v>
      </c>
      <c r="J110" s="265">
        <f t="shared" si="5"/>
        <v>0</v>
      </c>
      <c r="K110" s="265">
        <f t="shared" si="6"/>
        <v>0</v>
      </c>
      <c r="L110" s="265">
        <v>35270</v>
      </c>
      <c r="M110" s="226">
        <v>0</v>
      </c>
      <c r="N110" s="265">
        <f>N111</f>
        <v>35270</v>
      </c>
      <c r="O110" s="226">
        <v>0</v>
      </c>
      <c r="P110" s="281">
        <f t="shared" si="7"/>
        <v>0</v>
      </c>
      <c r="Q110" s="271">
        <f t="shared" si="8"/>
        <v>0</v>
      </c>
    </row>
    <row r="111" spans="1:17" x14ac:dyDescent="0.2">
      <c r="A111" s="264" t="s">
        <v>602</v>
      </c>
      <c r="B111" s="202" t="s">
        <v>498</v>
      </c>
      <c r="C111" s="202" t="s">
        <v>747</v>
      </c>
      <c r="D111" s="202" t="s">
        <v>601</v>
      </c>
      <c r="E111" s="202"/>
      <c r="F111" s="265">
        <v>41320</v>
      </c>
      <c r="G111" s="265">
        <v>0</v>
      </c>
      <c r="H111" s="265">
        <v>41320</v>
      </c>
      <c r="I111" s="265">
        <v>0</v>
      </c>
      <c r="J111" s="265">
        <f t="shared" si="5"/>
        <v>0</v>
      </c>
      <c r="K111" s="265">
        <f t="shared" si="6"/>
        <v>0</v>
      </c>
      <c r="L111" s="265">
        <v>35270</v>
      </c>
      <c r="M111" s="226">
        <v>0</v>
      </c>
      <c r="N111" s="265">
        <f>N112</f>
        <v>35270</v>
      </c>
      <c r="O111" s="226">
        <v>0</v>
      </c>
      <c r="P111" s="281">
        <f t="shared" si="7"/>
        <v>0</v>
      </c>
      <c r="Q111" s="271">
        <f t="shared" si="8"/>
        <v>0</v>
      </c>
    </row>
    <row r="112" spans="1:17" ht="22.5" x14ac:dyDescent="0.2">
      <c r="A112" s="264" t="s">
        <v>600</v>
      </c>
      <c r="B112" s="202" t="s">
        <v>498</v>
      </c>
      <c r="C112" s="202" t="s">
        <v>747</v>
      </c>
      <c r="D112" s="202" t="s">
        <v>599</v>
      </c>
      <c r="E112" s="202"/>
      <c r="F112" s="265">
        <v>41320</v>
      </c>
      <c r="G112" s="265">
        <v>0</v>
      </c>
      <c r="H112" s="265">
        <v>41320</v>
      </c>
      <c r="I112" s="265">
        <v>0</v>
      </c>
      <c r="J112" s="265">
        <f t="shared" si="5"/>
        <v>0</v>
      </c>
      <c r="K112" s="265">
        <f t="shared" si="6"/>
        <v>0</v>
      </c>
      <c r="L112" s="265">
        <v>35270</v>
      </c>
      <c r="M112" s="226">
        <v>0</v>
      </c>
      <c r="N112" s="265">
        <f>N113</f>
        <v>35270</v>
      </c>
      <c r="O112" s="226">
        <v>0</v>
      </c>
      <c r="P112" s="281">
        <f t="shared" si="7"/>
        <v>0</v>
      </c>
      <c r="Q112" s="271">
        <f t="shared" si="8"/>
        <v>0</v>
      </c>
    </row>
    <row r="113" spans="1:17" x14ac:dyDescent="0.2">
      <c r="A113" s="264" t="s">
        <v>763</v>
      </c>
      <c r="B113" s="202" t="s">
        <v>498</v>
      </c>
      <c r="C113" s="202" t="s">
        <v>747</v>
      </c>
      <c r="D113" s="202" t="s">
        <v>762</v>
      </c>
      <c r="E113" s="202"/>
      <c r="F113" s="265">
        <v>41320</v>
      </c>
      <c r="G113" s="265">
        <v>0</v>
      </c>
      <c r="H113" s="265">
        <v>41320</v>
      </c>
      <c r="I113" s="265">
        <v>0</v>
      </c>
      <c r="J113" s="265">
        <f t="shared" si="5"/>
        <v>0</v>
      </c>
      <c r="K113" s="265">
        <f t="shared" si="6"/>
        <v>0</v>
      </c>
      <c r="L113" s="265">
        <v>35270</v>
      </c>
      <c r="M113" s="226">
        <v>0</v>
      </c>
      <c r="N113" s="265">
        <f>N114+N116+N118</f>
        <v>35270</v>
      </c>
      <c r="O113" s="226">
        <v>0</v>
      </c>
      <c r="P113" s="281">
        <f t="shared" si="7"/>
        <v>0</v>
      </c>
      <c r="Q113" s="271">
        <f t="shared" si="8"/>
        <v>0</v>
      </c>
    </row>
    <row r="114" spans="1:17" ht="33.75" x14ac:dyDescent="0.2">
      <c r="A114" s="264" t="s">
        <v>1348</v>
      </c>
      <c r="B114" s="202" t="s">
        <v>498</v>
      </c>
      <c r="C114" s="202" t="s">
        <v>747</v>
      </c>
      <c r="D114" s="202" t="s">
        <v>762</v>
      </c>
      <c r="E114" s="202" t="s">
        <v>556</v>
      </c>
      <c r="F114" s="265">
        <v>34919.599999999999</v>
      </c>
      <c r="G114" s="265">
        <v>0</v>
      </c>
      <c r="H114" s="265">
        <v>34919.599999999999</v>
      </c>
      <c r="I114" s="265">
        <v>0</v>
      </c>
      <c r="J114" s="265">
        <f t="shared" si="5"/>
        <v>0</v>
      </c>
      <c r="K114" s="265">
        <f t="shared" si="6"/>
        <v>0</v>
      </c>
      <c r="L114" s="265">
        <v>28869.599999999999</v>
      </c>
      <c r="M114" s="226">
        <v>0</v>
      </c>
      <c r="N114" s="265">
        <f>N115</f>
        <v>28869.599999999999</v>
      </c>
      <c r="O114" s="226">
        <v>0</v>
      </c>
      <c r="P114" s="281">
        <f t="shared" si="7"/>
        <v>0</v>
      </c>
      <c r="Q114" s="271">
        <f t="shared" si="8"/>
        <v>0</v>
      </c>
    </row>
    <row r="115" spans="1:17" x14ac:dyDescent="0.2">
      <c r="A115" s="264" t="s">
        <v>749</v>
      </c>
      <c r="B115" s="202" t="s">
        <v>498</v>
      </c>
      <c r="C115" s="202" t="s">
        <v>747</v>
      </c>
      <c r="D115" s="202" t="s">
        <v>762</v>
      </c>
      <c r="E115" s="202" t="s">
        <v>745</v>
      </c>
      <c r="F115" s="265">
        <v>34919.599999999999</v>
      </c>
      <c r="G115" s="265">
        <v>0</v>
      </c>
      <c r="H115" s="265">
        <v>34919.599999999999</v>
      </c>
      <c r="I115" s="265">
        <v>0</v>
      </c>
      <c r="J115" s="265">
        <f t="shared" si="5"/>
        <v>0</v>
      </c>
      <c r="K115" s="265">
        <f t="shared" si="6"/>
        <v>0</v>
      </c>
      <c r="L115" s="265">
        <v>28869.599999999999</v>
      </c>
      <c r="M115" s="226">
        <v>0</v>
      </c>
      <c r="N115" s="265">
        <f>'Ведомственная 2021-2022'!K943</f>
        <v>28869.599999999999</v>
      </c>
      <c r="O115" s="226">
        <v>0</v>
      </c>
      <c r="P115" s="281">
        <f t="shared" si="7"/>
        <v>0</v>
      </c>
      <c r="Q115" s="271">
        <f t="shared" si="8"/>
        <v>0</v>
      </c>
    </row>
    <row r="116" spans="1:17" x14ac:dyDescent="0.2">
      <c r="A116" s="264" t="s">
        <v>1347</v>
      </c>
      <c r="B116" s="202" t="s">
        <v>498</v>
      </c>
      <c r="C116" s="202" t="s">
        <v>747</v>
      </c>
      <c r="D116" s="202" t="s">
        <v>762</v>
      </c>
      <c r="E116" s="202" t="s">
        <v>535</v>
      </c>
      <c r="F116" s="265">
        <v>6370.4</v>
      </c>
      <c r="G116" s="265">
        <v>0</v>
      </c>
      <c r="H116" s="265">
        <v>6370.4</v>
      </c>
      <c r="I116" s="265">
        <v>0</v>
      </c>
      <c r="J116" s="265">
        <f t="shared" si="5"/>
        <v>0</v>
      </c>
      <c r="K116" s="265">
        <f t="shared" si="6"/>
        <v>0</v>
      </c>
      <c r="L116" s="265">
        <v>6370.4</v>
      </c>
      <c r="M116" s="226">
        <v>0</v>
      </c>
      <c r="N116" s="265">
        <v>6370.4</v>
      </c>
      <c r="O116" s="226">
        <v>0</v>
      </c>
      <c r="P116" s="265">
        <f t="shared" si="7"/>
        <v>0</v>
      </c>
      <c r="Q116" s="271">
        <f t="shared" si="8"/>
        <v>0</v>
      </c>
    </row>
    <row r="117" spans="1:17" x14ac:dyDescent="0.2">
      <c r="A117" s="264" t="s">
        <v>534</v>
      </c>
      <c r="B117" s="202" t="s">
        <v>498</v>
      </c>
      <c r="C117" s="202" t="s">
        <v>747</v>
      </c>
      <c r="D117" s="202" t="s">
        <v>762</v>
      </c>
      <c r="E117" s="202" t="s">
        <v>529</v>
      </c>
      <c r="F117" s="265">
        <v>6370.4</v>
      </c>
      <c r="G117" s="265">
        <v>0</v>
      </c>
      <c r="H117" s="265">
        <v>6370.4</v>
      </c>
      <c r="I117" s="265">
        <v>0</v>
      </c>
      <c r="J117" s="265">
        <f t="shared" si="5"/>
        <v>0</v>
      </c>
      <c r="K117" s="265">
        <f t="shared" si="6"/>
        <v>0</v>
      </c>
      <c r="L117" s="265">
        <v>6370.4</v>
      </c>
      <c r="M117" s="226">
        <v>0</v>
      </c>
      <c r="N117" s="265">
        <v>6370.4</v>
      </c>
      <c r="O117" s="226">
        <v>0</v>
      </c>
      <c r="P117" s="265">
        <f t="shared" si="7"/>
        <v>0</v>
      </c>
      <c r="Q117" s="271">
        <f t="shared" si="8"/>
        <v>0</v>
      </c>
    </row>
    <row r="118" spans="1:17" x14ac:dyDescent="0.2">
      <c r="A118" s="264" t="s">
        <v>615</v>
      </c>
      <c r="B118" s="202" t="s">
        <v>498</v>
      </c>
      <c r="C118" s="202" t="s">
        <v>747</v>
      </c>
      <c r="D118" s="202" t="s">
        <v>762</v>
      </c>
      <c r="E118" s="202" t="s">
        <v>509</v>
      </c>
      <c r="F118" s="265">
        <v>30</v>
      </c>
      <c r="G118" s="265">
        <v>0</v>
      </c>
      <c r="H118" s="265">
        <v>30</v>
      </c>
      <c r="I118" s="265">
        <v>0</v>
      </c>
      <c r="J118" s="265">
        <f t="shared" si="5"/>
        <v>0</v>
      </c>
      <c r="K118" s="265">
        <f t="shared" si="6"/>
        <v>0</v>
      </c>
      <c r="L118" s="265">
        <v>30</v>
      </c>
      <c r="M118" s="226">
        <v>0</v>
      </c>
      <c r="N118" s="265">
        <v>30</v>
      </c>
      <c r="O118" s="226">
        <v>0</v>
      </c>
      <c r="P118" s="265">
        <f t="shared" si="7"/>
        <v>0</v>
      </c>
      <c r="Q118" s="271">
        <f t="shared" si="8"/>
        <v>0</v>
      </c>
    </row>
    <row r="119" spans="1:17" x14ac:dyDescent="0.2">
      <c r="A119" s="264" t="s">
        <v>614</v>
      </c>
      <c r="B119" s="202" t="s">
        <v>498</v>
      </c>
      <c r="C119" s="202" t="s">
        <v>747</v>
      </c>
      <c r="D119" s="202" t="s">
        <v>762</v>
      </c>
      <c r="E119" s="202" t="s">
        <v>613</v>
      </c>
      <c r="F119" s="265">
        <v>30</v>
      </c>
      <c r="G119" s="265">
        <v>0</v>
      </c>
      <c r="H119" s="265">
        <v>30</v>
      </c>
      <c r="I119" s="265">
        <v>0</v>
      </c>
      <c r="J119" s="265">
        <f t="shared" si="5"/>
        <v>0</v>
      </c>
      <c r="K119" s="265">
        <f t="shared" si="6"/>
        <v>0</v>
      </c>
      <c r="L119" s="265">
        <v>30</v>
      </c>
      <c r="M119" s="226">
        <v>0</v>
      </c>
      <c r="N119" s="265">
        <v>30</v>
      </c>
      <c r="O119" s="226">
        <v>0</v>
      </c>
      <c r="P119" s="265">
        <f t="shared" si="7"/>
        <v>0</v>
      </c>
      <c r="Q119" s="271">
        <f t="shared" si="8"/>
        <v>0</v>
      </c>
    </row>
    <row r="120" spans="1:17" x14ac:dyDescent="0.2">
      <c r="A120" s="264" t="s">
        <v>757</v>
      </c>
      <c r="B120" s="202" t="s">
        <v>498</v>
      </c>
      <c r="C120" s="202" t="s">
        <v>747</v>
      </c>
      <c r="D120" s="202" t="s">
        <v>756</v>
      </c>
      <c r="E120" s="202"/>
      <c r="F120" s="265">
        <v>24480.5</v>
      </c>
      <c r="G120" s="265">
        <v>0</v>
      </c>
      <c r="H120" s="265">
        <v>24480.5</v>
      </c>
      <c r="I120" s="265">
        <v>0</v>
      </c>
      <c r="J120" s="265">
        <f t="shared" si="5"/>
        <v>0</v>
      </c>
      <c r="K120" s="265">
        <f t="shared" si="6"/>
        <v>0</v>
      </c>
      <c r="L120" s="265">
        <v>20590</v>
      </c>
      <c r="M120" s="226">
        <v>0</v>
      </c>
      <c r="N120" s="265">
        <f>N121+N124+N131</f>
        <v>20590</v>
      </c>
      <c r="O120" s="226">
        <v>0</v>
      </c>
      <c r="P120" s="281">
        <f t="shared" si="7"/>
        <v>0</v>
      </c>
      <c r="Q120" s="271">
        <f t="shared" si="8"/>
        <v>0</v>
      </c>
    </row>
    <row r="121" spans="1:17" x14ac:dyDescent="0.2">
      <c r="A121" s="264" t="s">
        <v>755</v>
      </c>
      <c r="B121" s="202" t="s">
        <v>498</v>
      </c>
      <c r="C121" s="202" t="s">
        <v>747</v>
      </c>
      <c r="D121" s="202" t="s">
        <v>754</v>
      </c>
      <c r="E121" s="202"/>
      <c r="F121" s="265">
        <v>3139.4</v>
      </c>
      <c r="G121" s="265">
        <v>0</v>
      </c>
      <c r="H121" s="265">
        <v>3139.4</v>
      </c>
      <c r="I121" s="265">
        <v>0</v>
      </c>
      <c r="J121" s="265">
        <f t="shared" si="5"/>
        <v>0</v>
      </c>
      <c r="K121" s="265">
        <f t="shared" si="6"/>
        <v>0</v>
      </c>
      <c r="L121" s="265">
        <v>3139.4</v>
      </c>
      <c r="M121" s="226">
        <v>0</v>
      </c>
      <c r="N121" s="265">
        <v>3139.4</v>
      </c>
      <c r="O121" s="226">
        <v>0</v>
      </c>
      <c r="P121" s="265">
        <f t="shared" si="7"/>
        <v>0</v>
      </c>
      <c r="Q121" s="271">
        <f t="shared" si="8"/>
        <v>0</v>
      </c>
    </row>
    <row r="122" spans="1:17" ht="33.75" x14ac:dyDescent="0.2">
      <c r="A122" s="264" t="s">
        <v>1348</v>
      </c>
      <c r="B122" s="202" t="s">
        <v>498</v>
      </c>
      <c r="C122" s="202" t="s">
        <v>747</v>
      </c>
      <c r="D122" s="202" t="s">
        <v>754</v>
      </c>
      <c r="E122" s="202" t="s">
        <v>556</v>
      </c>
      <c r="F122" s="265">
        <v>3139.4</v>
      </c>
      <c r="G122" s="265">
        <v>0</v>
      </c>
      <c r="H122" s="265">
        <v>3139.4</v>
      </c>
      <c r="I122" s="265">
        <v>0</v>
      </c>
      <c r="J122" s="265">
        <f t="shared" si="5"/>
        <v>0</v>
      </c>
      <c r="K122" s="265">
        <f t="shared" si="6"/>
        <v>0</v>
      </c>
      <c r="L122" s="265">
        <v>3139.4</v>
      </c>
      <c r="M122" s="226">
        <v>0</v>
      </c>
      <c r="N122" s="265">
        <v>3139.4</v>
      </c>
      <c r="O122" s="226">
        <v>0</v>
      </c>
      <c r="P122" s="265">
        <f t="shared" si="7"/>
        <v>0</v>
      </c>
      <c r="Q122" s="271">
        <f t="shared" si="8"/>
        <v>0</v>
      </c>
    </row>
    <row r="123" spans="1:17" x14ac:dyDescent="0.2">
      <c r="A123" s="264" t="s">
        <v>749</v>
      </c>
      <c r="B123" s="202" t="s">
        <v>498</v>
      </c>
      <c r="C123" s="202" t="s">
        <v>747</v>
      </c>
      <c r="D123" s="202" t="s">
        <v>754</v>
      </c>
      <c r="E123" s="202" t="s">
        <v>745</v>
      </c>
      <c r="F123" s="265">
        <v>3139.4</v>
      </c>
      <c r="G123" s="265">
        <v>0</v>
      </c>
      <c r="H123" s="265">
        <v>3139.4</v>
      </c>
      <c r="I123" s="265">
        <v>0</v>
      </c>
      <c r="J123" s="265">
        <f t="shared" si="5"/>
        <v>0</v>
      </c>
      <c r="K123" s="265">
        <f t="shared" si="6"/>
        <v>0</v>
      </c>
      <c r="L123" s="265">
        <v>3139.4</v>
      </c>
      <c r="M123" s="226">
        <v>0</v>
      </c>
      <c r="N123" s="265">
        <v>3139.4</v>
      </c>
      <c r="O123" s="226">
        <v>0</v>
      </c>
      <c r="P123" s="265">
        <f t="shared" si="7"/>
        <v>0</v>
      </c>
      <c r="Q123" s="271">
        <f t="shared" si="8"/>
        <v>0</v>
      </c>
    </row>
    <row r="124" spans="1:17" x14ac:dyDescent="0.2">
      <c r="A124" s="264" t="s">
        <v>753</v>
      </c>
      <c r="B124" s="202" t="s">
        <v>498</v>
      </c>
      <c r="C124" s="202" t="s">
        <v>747</v>
      </c>
      <c r="D124" s="202" t="s">
        <v>751</v>
      </c>
      <c r="E124" s="202"/>
      <c r="F124" s="265">
        <v>19533.900000000001</v>
      </c>
      <c r="G124" s="265">
        <v>0</v>
      </c>
      <c r="H124" s="265">
        <v>19533.900000000001</v>
      </c>
      <c r="I124" s="265">
        <v>0</v>
      </c>
      <c r="J124" s="265">
        <f t="shared" si="5"/>
        <v>0</v>
      </c>
      <c r="K124" s="265">
        <f t="shared" si="6"/>
        <v>0</v>
      </c>
      <c r="L124" s="265">
        <v>15982.8</v>
      </c>
      <c r="M124" s="226">
        <v>0</v>
      </c>
      <c r="N124" s="265">
        <f>N125+N127+N129</f>
        <v>15982.8</v>
      </c>
      <c r="O124" s="226">
        <v>0</v>
      </c>
      <c r="P124" s="281">
        <f t="shared" si="7"/>
        <v>0</v>
      </c>
      <c r="Q124" s="271">
        <f t="shared" si="8"/>
        <v>0</v>
      </c>
    </row>
    <row r="125" spans="1:17" ht="33.75" x14ac:dyDescent="0.2">
      <c r="A125" s="264" t="s">
        <v>1348</v>
      </c>
      <c r="B125" s="202" t="s">
        <v>498</v>
      </c>
      <c r="C125" s="202" t="s">
        <v>747</v>
      </c>
      <c r="D125" s="202" t="s">
        <v>751</v>
      </c>
      <c r="E125" s="202" t="s">
        <v>556</v>
      </c>
      <c r="F125" s="265">
        <v>16851.5</v>
      </c>
      <c r="G125" s="265">
        <v>0</v>
      </c>
      <c r="H125" s="265">
        <v>16851.5</v>
      </c>
      <c r="I125" s="265">
        <v>0</v>
      </c>
      <c r="J125" s="265">
        <f t="shared" si="5"/>
        <v>0</v>
      </c>
      <c r="K125" s="265">
        <f t="shared" si="6"/>
        <v>0</v>
      </c>
      <c r="L125" s="265">
        <v>13300.4</v>
      </c>
      <c r="M125" s="226">
        <v>0</v>
      </c>
      <c r="N125" s="265">
        <f>N126</f>
        <v>13300.4</v>
      </c>
      <c r="O125" s="226">
        <v>0</v>
      </c>
      <c r="P125" s="281">
        <f t="shared" si="7"/>
        <v>0</v>
      </c>
      <c r="Q125" s="271">
        <f t="shared" si="8"/>
        <v>0</v>
      </c>
    </row>
    <row r="126" spans="1:17" x14ac:dyDescent="0.2">
      <c r="A126" s="264" t="s">
        <v>749</v>
      </c>
      <c r="B126" s="202" t="s">
        <v>498</v>
      </c>
      <c r="C126" s="202" t="s">
        <v>747</v>
      </c>
      <c r="D126" s="202" t="s">
        <v>751</v>
      </c>
      <c r="E126" s="202" t="s">
        <v>745</v>
      </c>
      <c r="F126" s="265">
        <v>16851.5</v>
      </c>
      <c r="G126" s="265">
        <v>0</v>
      </c>
      <c r="H126" s="265">
        <v>16851.5</v>
      </c>
      <c r="I126" s="265">
        <v>0</v>
      </c>
      <c r="J126" s="265">
        <f t="shared" si="5"/>
        <v>0</v>
      </c>
      <c r="K126" s="265">
        <f t="shared" si="6"/>
        <v>0</v>
      </c>
      <c r="L126" s="265">
        <v>13300.4</v>
      </c>
      <c r="M126" s="226">
        <v>0</v>
      </c>
      <c r="N126" s="265">
        <f>'Ведомственная 2021-2022'!K957</f>
        <v>13300.4</v>
      </c>
      <c r="O126" s="226">
        <v>0</v>
      </c>
      <c r="P126" s="281">
        <f t="shared" si="7"/>
        <v>0</v>
      </c>
      <c r="Q126" s="271">
        <f t="shared" si="8"/>
        <v>0</v>
      </c>
    </row>
    <row r="127" spans="1:17" x14ac:dyDescent="0.2">
      <c r="A127" s="264" t="s">
        <v>1347</v>
      </c>
      <c r="B127" s="202" t="s">
        <v>498</v>
      </c>
      <c r="C127" s="202" t="s">
        <v>747</v>
      </c>
      <c r="D127" s="202" t="s">
        <v>751</v>
      </c>
      <c r="E127" s="202" t="s">
        <v>535</v>
      </c>
      <c r="F127" s="265">
        <v>2644.4</v>
      </c>
      <c r="G127" s="265">
        <v>0</v>
      </c>
      <c r="H127" s="265">
        <v>2644.4</v>
      </c>
      <c r="I127" s="265">
        <v>0</v>
      </c>
      <c r="J127" s="265">
        <f t="shared" si="5"/>
        <v>0</v>
      </c>
      <c r="K127" s="265">
        <f t="shared" si="6"/>
        <v>0</v>
      </c>
      <c r="L127" s="265">
        <v>2644.4</v>
      </c>
      <c r="M127" s="226">
        <v>0</v>
      </c>
      <c r="N127" s="265">
        <v>2644.4</v>
      </c>
      <c r="O127" s="226">
        <v>0</v>
      </c>
      <c r="P127" s="265">
        <f t="shared" si="7"/>
        <v>0</v>
      </c>
      <c r="Q127" s="271">
        <f t="shared" si="8"/>
        <v>0</v>
      </c>
    </row>
    <row r="128" spans="1:17" x14ac:dyDescent="0.2">
      <c r="A128" s="264" t="s">
        <v>534</v>
      </c>
      <c r="B128" s="202" t="s">
        <v>498</v>
      </c>
      <c r="C128" s="202" t="s">
        <v>747</v>
      </c>
      <c r="D128" s="202" t="s">
        <v>751</v>
      </c>
      <c r="E128" s="202" t="s">
        <v>529</v>
      </c>
      <c r="F128" s="265">
        <v>2644.4</v>
      </c>
      <c r="G128" s="265">
        <v>0</v>
      </c>
      <c r="H128" s="265">
        <v>2644.4</v>
      </c>
      <c r="I128" s="265">
        <v>0</v>
      </c>
      <c r="J128" s="265">
        <f t="shared" si="5"/>
        <v>0</v>
      </c>
      <c r="K128" s="265">
        <f t="shared" si="6"/>
        <v>0</v>
      </c>
      <c r="L128" s="265">
        <v>2644.4</v>
      </c>
      <c r="M128" s="226">
        <v>0</v>
      </c>
      <c r="N128" s="265">
        <v>2644.4</v>
      </c>
      <c r="O128" s="226">
        <v>0</v>
      </c>
      <c r="P128" s="265">
        <f t="shared" si="7"/>
        <v>0</v>
      </c>
      <c r="Q128" s="271">
        <f t="shared" si="8"/>
        <v>0</v>
      </c>
    </row>
    <row r="129" spans="1:17" x14ac:dyDescent="0.2">
      <c r="A129" s="264" t="s">
        <v>615</v>
      </c>
      <c r="B129" s="202" t="s">
        <v>498</v>
      </c>
      <c r="C129" s="202" t="s">
        <v>747</v>
      </c>
      <c r="D129" s="202" t="s">
        <v>751</v>
      </c>
      <c r="E129" s="202" t="s">
        <v>509</v>
      </c>
      <c r="F129" s="265">
        <v>38</v>
      </c>
      <c r="G129" s="265">
        <v>0</v>
      </c>
      <c r="H129" s="265">
        <v>38</v>
      </c>
      <c r="I129" s="265">
        <v>0</v>
      </c>
      <c r="J129" s="265">
        <f t="shared" si="5"/>
        <v>0</v>
      </c>
      <c r="K129" s="265">
        <f t="shared" si="6"/>
        <v>0</v>
      </c>
      <c r="L129" s="265">
        <v>38</v>
      </c>
      <c r="M129" s="226">
        <v>0</v>
      </c>
      <c r="N129" s="265">
        <v>38</v>
      </c>
      <c r="O129" s="226">
        <v>0</v>
      </c>
      <c r="P129" s="265">
        <f t="shared" si="7"/>
        <v>0</v>
      </c>
      <c r="Q129" s="271">
        <f t="shared" si="8"/>
        <v>0</v>
      </c>
    </row>
    <row r="130" spans="1:17" x14ac:dyDescent="0.2">
      <c r="A130" s="264" t="s">
        <v>752</v>
      </c>
      <c r="B130" s="202" t="s">
        <v>498</v>
      </c>
      <c r="C130" s="202" t="s">
        <v>747</v>
      </c>
      <c r="D130" s="202" t="s">
        <v>751</v>
      </c>
      <c r="E130" s="202" t="s">
        <v>750</v>
      </c>
      <c r="F130" s="265">
        <v>38</v>
      </c>
      <c r="G130" s="265">
        <v>0</v>
      </c>
      <c r="H130" s="265">
        <v>38</v>
      </c>
      <c r="I130" s="265">
        <v>0</v>
      </c>
      <c r="J130" s="265">
        <f t="shared" si="5"/>
        <v>0</v>
      </c>
      <c r="K130" s="265">
        <f t="shared" si="6"/>
        <v>0</v>
      </c>
      <c r="L130" s="265">
        <v>38</v>
      </c>
      <c r="M130" s="226">
        <v>0</v>
      </c>
      <c r="N130" s="265">
        <v>38</v>
      </c>
      <c r="O130" s="226">
        <v>0</v>
      </c>
      <c r="P130" s="265">
        <f t="shared" si="7"/>
        <v>0</v>
      </c>
      <c r="Q130" s="271">
        <f t="shared" si="8"/>
        <v>0</v>
      </c>
    </row>
    <row r="131" spans="1:17" ht="22.5" x14ac:dyDescent="0.2">
      <c r="A131" s="264" t="s">
        <v>1342</v>
      </c>
      <c r="B131" s="202" t="s">
        <v>498</v>
      </c>
      <c r="C131" s="202" t="s">
        <v>747</v>
      </c>
      <c r="D131" s="202" t="s">
        <v>746</v>
      </c>
      <c r="E131" s="202"/>
      <c r="F131" s="265">
        <v>1807.2</v>
      </c>
      <c r="G131" s="265">
        <v>0</v>
      </c>
      <c r="H131" s="265">
        <v>1807.2</v>
      </c>
      <c r="I131" s="265">
        <v>0</v>
      </c>
      <c r="J131" s="265">
        <f t="shared" si="5"/>
        <v>0</v>
      </c>
      <c r="K131" s="265">
        <f t="shared" si="6"/>
        <v>0</v>
      </c>
      <c r="L131" s="265">
        <v>1467.8000000000002</v>
      </c>
      <c r="M131" s="226">
        <v>0</v>
      </c>
      <c r="N131" s="265">
        <f>N132</f>
        <v>1467.8000000000002</v>
      </c>
      <c r="O131" s="226">
        <v>0</v>
      </c>
      <c r="P131" s="281">
        <f t="shared" si="7"/>
        <v>0</v>
      </c>
      <c r="Q131" s="271">
        <f t="shared" si="8"/>
        <v>0</v>
      </c>
    </row>
    <row r="132" spans="1:17" ht="33.75" x14ac:dyDescent="0.2">
      <c r="A132" s="264" t="s">
        <v>1348</v>
      </c>
      <c r="B132" s="202" t="s">
        <v>498</v>
      </c>
      <c r="C132" s="202" t="s">
        <v>747</v>
      </c>
      <c r="D132" s="202" t="s">
        <v>746</v>
      </c>
      <c r="E132" s="202" t="s">
        <v>556</v>
      </c>
      <c r="F132" s="265">
        <v>1807.2</v>
      </c>
      <c r="G132" s="265">
        <v>0</v>
      </c>
      <c r="H132" s="265">
        <v>1807.2</v>
      </c>
      <c r="I132" s="265">
        <v>0</v>
      </c>
      <c r="J132" s="265">
        <f t="shared" si="5"/>
        <v>0</v>
      </c>
      <c r="K132" s="265">
        <f t="shared" si="6"/>
        <v>0</v>
      </c>
      <c r="L132" s="265">
        <v>1467.8000000000002</v>
      </c>
      <c r="M132" s="226">
        <v>0</v>
      </c>
      <c r="N132" s="265">
        <f>N133</f>
        <v>1467.8000000000002</v>
      </c>
      <c r="O132" s="226">
        <v>0</v>
      </c>
      <c r="P132" s="281">
        <f t="shared" si="7"/>
        <v>0</v>
      </c>
      <c r="Q132" s="271">
        <f t="shared" si="8"/>
        <v>0</v>
      </c>
    </row>
    <row r="133" spans="1:17" x14ac:dyDescent="0.2">
      <c r="A133" s="264" t="s">
        <v>749</v>
      </c>
      <c r="B133" s="202" t="s">
        <v>498</v>
      </c>
      <c r="C133" s="202" t="s">
        <v>747</v>
      </c>
      <c r="D133" s="202" t="s">
        <v>746</v>
      </c>
      <c r="E133" s="202" t="s">
        <v>745</v>
      </c>
      <c r="F133" s="265">
        <v>1807.2</v>
      </c>
      <c r="G133" s="265">
        <v>0</v>
      </c>
      <c r="H133" s="265">
        <v>1807.2</v>
      </c>
      <c r="I133" s="265">
        <v>0</v>
      </c>
      <c r="J133" s="265">
        <f t="shared" si="5"/>
        <v>0</v>
      </c>
      <c r="K133" s="265">
        <f t="shared" si="6"/>
        <v>0</v>
      </c>
      <c r="L133" s="265">
        <v>1467.8000000000002</v>
      </c>
      <c r="M133" s="226">
        <v>0</v>
      </c>
      <c r="N133" s="265">
        <f>'Ведомственная 2021-2022'!K964</f>
        <v>1467.8000000000002</v>
      </c>
      <c r="O133" s="226">
        <v>0</v>
      </c>
      <c r="P133" s="281">
        <f t="shared" si="7"/>
        <v>0</v>
      </c>
      <c r="Q133" s="271">
        <f t="shared" si="8"/>
        <v>0</v>
      </c>
    </row>
    <row r="134" spans="1:17" x14ac:dyDescent="0.2">
      <c r="A134" s="264" t="s">
        <v>1241</v>
      </c>
      <c r="B134" s="202" t="s">
        <v>498</v>
      </c>
      <c r="C134" s="202" t="s">
        <v>532</v>
      </c>
      <c r="D134" s="202"/>
      <c r="E134" s="202"/>
      <c r="F134" s="265">
        <v>11118.8</v>
      </c>
      <c r="G134" s="265">
        <v>0</v>
      </c>
      <c r="H134" s="265">
        <v>11118.8</v>
      </c>
      <c r="I134" s="265">
        <v>0</v>
      </c>
      <c r="J134" s="265">
        <f t="shared" si="5"/>
        <v>0</v>
      </c>
      <c r="K134" s="265">
        <f t="shared" si="6"/>
        <v>0</v>
      </c>
      <c r="L134" s="265">
        <v>13348.8</v>
      </c>
      <c r="M134" s="226">
        <v>0</v>
      </c>
      <c r="N134" s="265">
        <v>13348.8</v>
      </c>
      <c r="O134" s="226">
        <v>0</v>
      </c>
      <c r="P134" s="265">
        <f t="shared" si="7"/>
        <v>0</v>
      </c>
      <c r="Q134" s="271">
        <f t="shared" si="8"/>
        <v>0</v>
      </c>
    </row>
    <row r="135" spans="1:17" x14ac:dyDescent="0.2">
      <c r="A135" s="264" t="s">
        <v>595</v>
      </c>
      <c r="B135" s="202" t="s">
        <v>498</v>
      </c>
      <c r="C135" s="202" t="s">
        <v>532</v>
      </c>
      <c r="D135" s="202" t="s">
        <v>594</v>
      </c>
      <c r="E135" s="202"/>
      <c r="F135" s="265">
        <v>11118.8</v>
      </c>
      <c r="G135" s="265">
        <v>0</v>
      </c>
      <c r="H135" s="265">
        <v>11118.8</v>
      </c>
      <c r="I135" s="265">
        <v>0</v>
      </c>
      <c r="J135" s="265">
        <f t="shared" si="5"/>
        <v>0</v>
      </c>
      <c r="K135" s="265">
        <f t="shared" si="6"/>
        <v>0</v>
      </c>
      <c r="L135" s="265">
        <v>13348.8</v>
      </c>
      <c r="M135" s="226">
        <v>0</v>
      </c>
      <c r="N135" s="265">
        <v>13348.8</v>
      </c>
      <c r="O135" s="226">
        <v>0</v>
      </c>
      <c r="P135" s="265">
        <f t="shared" si="7"/>
        <v>0</v>
      </c>
      <c r="Q135" s="271">
        <f t="shared" si="8"/>
        <v>0</v>
      </c>
    </row>
    <row r="136" spans="1:17" x14ac:dyDescent="0.2">
      <c r="A136" s="264" t="s">
        <v>1240</v>
      </c>
      <c r="B136" s="202" t="s">
        <v>498</v>
      </c>
      <c r="C136" s="202" t="s">
        <v>532</v>
      </c>
      <c r="D136" s="202" t="s">
        <v>1239</v>
      </c>
      <c r="E136" s="202"/>
      <c r="F136" s="265">
        <v>10118.799999999999</v>
      </c>
      <c r="G136" s="265">
        <v>0</v>
      </c>
      <c r="H136" s="265">
        <v>10118.799999999999</v>
      </c>
      <c r="I136" s="265">
        <v>0</v>
      </c>
      <c r="J136" s="265">
        <f t="shared" si="5"/>
        <v>0</v>
      </c>
      <c r="K136" s="265">
        <f t="shared" si="6"/>
        <v>0</v>
      </c>
      <c r="L136" s="265">
        <v>12348.8</v>
      </c>
      <c r="M136" s="226">
        <v>0</v>
      </c>
      <c r="N136" s="265">
        <v>12348.8</v>
      </c>
      <c r="O136" s="226">
        <v>0</v>
      </c>
      <c r="P136" s="265">
        <f t="shared" si="7"/>
        <v>0</v>
      </c>
      <c r="Q136" s="271">
        <f t="shared" si="8"/>
        <v>0</v>
      </c>
    </row>
    <row r="137" spans="1:17" x14ac:dyDescent="0.2">
      <c r="A137" s="264" t="s">
        <v>615</v>
      </c>
      <c r="B137" s="202" t="s">
        <v>498</v>
      </c>
      <c r="C137" s="202" t="s">
        <v>532</v>
      </c>
      <c r="D137" s="202" t="s">
        <v>1239</v>
      </c>
      <c r="E137" s="202" t="s">
        <v>509</v>
      </c>
      <c r="F137" s="265">
        <v>10118.799999999999</v>
      </c>
      <c r="G137" s="265">
        <v>0</v>
      </c>
      <c r="H137" s="265">
        <v>10118.799999999999</v>
      </c>
      <c r="I137" s="265">
        <v>0</v>
      </c>
      <c r="J137" s="265">
        <f t="shared" si="5"/>
        <v>0</v>
      </c>
      <c r="K137" s="265">
        <f t="shared" si="6"/>
        <v>0</v>
      </c>
      <c r="L137" s="265">
        <v>12348.8</v>
      </c>
      <c r="M137" s="226">
        <v>0</v>
      </c>
      <c r="N137" s="265">
        <v>12348.8</v>
      </c>
      <c r="O137" s="226">
        <v>0</v>
      </c>
      <c r="P137" s="265">
        <f t="shared" si="7"/>
        <v>0</v>
      </c>
      <c r="Q137" s="271">
        <f t="shared" si="8"/>
        <v>0</v>
      </c>
    </row>
    <row r="138" spans="1:17" x14ac:dyDescent="0.2">
      <c r="A138" s="264" t="s">
        <v>1237</v>
      </c>
      <c r="B138" s="202" t="s">
        <v>498</v>
      </c>
      <c r="C138" s="202" t="s">
        <v>532</v>
      </c>
      <c r="D138" s="202" t="s">
        <v>1239</v>
      </c>
      <c r="E138" s="202" t="s">
        <v>1235</v>
      </c>
      <c r="F138" s="265">
        <v>10118.799999999999</v>
      </c>
      <c r="G138" s="265">
        <v>0</v>
      </c>
      <c r="H138" s="265">
        <v>10118.799999999999</v>
      </c>
      <c r="I138" s="265">
        <v>0</v>
      </c>
      <c r="J138" s="265">
        <f t="shared" si="5"/>
        <v>0</v>
      </c>
      <c r="K138" s="265">
        <f t="shared" si="6"/>
        <v>0</v>
      </c>
      <c r="L138" s="265">
        <v>12348.8</v>
      </c>
      <c r="M138" s="226">
        <v>0</v>
      </c>
      <c r="N138" s="265">
        <v>12348.8</v>
      </c>
      <c r="O138" s="226">
        <v>0</v>
      </c>
      <c r="P138" s="265">
        <f t="shared" si="7"/>
        <v>0</v>
      </c>
      <c r="Q138" s="271">
        <f t="shared" si="8"/>
        <v>0</v>
      </c>
    </row>
    <row r="139" spans="1:17" ht="22.5" x14ac:dyDescent="0.2">
      <c r="A139" s="264" t="s">
        <v>1238</v>
      </c>
      <c r="B139" s="202" t="s">
        <v>498</v>
      </c>
      <c r="C139" s="202" t="s">
        <v>532</v>
      </c>
      <c r="D139" s="202" t="s">
        <v>1236</v>
      </c>
      <c r="E139" s="202"/>
      <c r="F139" s="265">
        <v>1000</v>
      </c>
      <c r="G139" s="265">
        <v>0</v>
      </c>
      <c r="H139" s="265">
        <v>1000</v>
      </c>
      <c r="I139" s="265">
        <v>0</v>
      </c>
      <c r="J139" s="265">
        <f t="shared" si="5"/>
        <v>0</v>
      </c>
      <c r="K139" s="265">
        <f t="shared" si="6"/>
        <v>0</v>
      </c>
      <c r="L139" s="265">
        <v>1000</v>
      </c>
      <c r="M139" s="226">
        <v>0</v>
      </c>
      <c r="N139" s="265">
        <v>1000</v>
      </c>
      <c r="O139" s="226">
        <v>0</v>
      </c>
      <c r="P139" s="265">
        <f t="shared" si="7"/>
        <v>0</v>
      </c>
      <c r="Q139" s="271">
        <f t="shared" si="8"/>
        <v>0</v>
      </c>
    </row>
    <row r="140" spans="1:17" x14ac:dyDescent="0.2">
      <c r="A140" s="264" t="s">
        <v>615</v>
      </c>
      <c r="B140" s="202" t="s">
        <v>498</v>
      </c>
      <c r="C140" s="202" t="s">
        <v>532</v>
      </c>
      <c r="D140" s="202" t="s">
        <v>1236</v>
      </c>
      <c r="E140" s="202" t="s">
        <v>509</v>
      </c>
      <c r="F140" s="265">
        <v>1000</v>
      </c>
      <c r="G140" s="265">
        <v>0</v>
      </c>
      <c r="H140" s="265">
        <v>1000</v>
      </c>
      <c r="I140" s="265">
        <v>0</v>
      </c>
      <c r="J140" s="265">
        <f t="shared" si="5"/>
        <v>0</v>
      </c>
      <c r="K140" s="265">
        <f t="shared" si="6"/>
        <v>0</v>
      </c>
      <c r="L140" s="265">
        <v>1000</v>
      </c>
      <c r="M140" s="226">
        <v>0</v>
      </c>
      <c r="N140" s="265">
        <v>1000</v>
      </c>
      <c r="O140" s="226">
        <v>0</v>
      </c>
      <c r="P140" s="265">
        <f t="shared" si="7"/>
        <v>0</v>
      </c>
      <c r="Q140" s="271">
        <f t="shared" si="8"/>
        <v>0</v>
      </c>
    </row>
    <row r="141" spans="1:17" x14ac:dyDescent="0.2">
      <c r="A141" s="264" t="s">
        <v>1237</v>
      </c>
      <c r="B141" s="202" t="s">
        <v>498</v>
      </c>
      <c r="C141" s="202" t="s">
        <v>532</v>
      </c>
      <c r="D141" s="202" t="s">
        <v>1236</v>
      </c>
      <c r="E141" s="202" t="s">
        <v>1235</v>
      </c>
      <c r="F141" s="265">
        <v>1000</v>
      </c>
      <c r="G141" s="265">
        <v>0</v>
      </c>
      <c r="H141" s="265">
        <v>1000</v>
      </c>
      <c r="I141" s="265">
        <v>0</v>
      </c>
      <c r="J141" s="265">
        <f t="shared" si="5"/>
        <v>0</v>
      </c>
      <c r="K141" s="265">
        <f t="shared" si="6"/>
        <v>0</v>
      </c>
      <c r="L141" s="265">
        <v>1000</v>
      </c>
      <c r="M141" s="226">
        <v>0</v>
      </c>
      <c r="N141" s="265">
        <v>1000</v>
      </c>
      <c r="O141" s="226">
        <v>0</v>
      </c>
      <c r="P141" s="265">
        <f t="shared" si="7"/>
        <v>0</v>
      </c>
      <c r="Q141" s="271">
        <f t="shared" si="8"/>
        <v>0</v>
      </c>
    </row>
    <row r="142" spans="1:17" x14ac:dyDescent="0.2">
      <c r="A142" s="264" t="s">
        <v>596</v>
      </c>
      <c r="B142" s="202" t="s">
        <v>498</v>
      </c>
      <c r="C142" s="202" t="s">
        <v>592</v>
      </c>
      <c r="D142" s="202"/>
      <c r="E142" s="202"/>
      <c r="F142" s="265">
        <v>855186.8</v>
      </c>
      <c r="G142" s="265">
        <v>4659</v>
      </c>
      <c r="H142" s="265">
        <f>H143+H149+H186+H197+H209+H203</f>
        <v>855186.8</v>
      </c>
      <c r="I142" s="265">
        <f>I143+I149+I186+I197+I209+I203</f>
        <v>4659</v>
      </c>
      <c r="J142" s="265">
        <f t="shared" si="5"/>
        <v>0</v>
      </c>
      <c r="K142" s="265">
        <f t="shared" si="6"/>
        <v>0</v>
      </c>
      <c r="L142" s="265">
        <v>865436.8</v>
      </c>
      <c r="M142" s="226">
        <v>6403</v>
      </c>
      <c r="N142" s="265">
        <f>N143+N149+N186+N197+N209+N203</f>
        <v>865436.8</v>
      </c>
      <c r="O142" s="226">
        <f>O143+O149+O186+O197+O209+O203</f>
        <v>6403</v>
      </c>
      <c r="P142" s="265">
        <f t="shared" si="7"/>
        <v>0</v>
      </c>
      <c r="Q142" s="271">
        <f t="shared" si="8"/>
        <v>0</v>
      </c>
    </row>
    <row r="143" spans="1:17" x14ac:dyDescent="0.2">
      <c r="A143" s="264" t="s">
        <v>666</v>
      </c>
      <c r="B143" s="202" t="s">
        <v>498</v>
      </c>
      <c r="C143" s="202" t="s">
        <v>592</v>
      </c>
      <c r="D143" s="202" t="s">
        <v>665</v>
      </c>
      <c r="E143" s="202"/>
      <c r="F143" s="265">
        <v>4653</v>
      </c>
      <c r="G143" s="265">
        <v>4653</v>
      </c>
      <c r="H143" s="265">
        <v>4653</v>
      </c>
      <c r="I143" s="265">
        <v>4653</v>
      </c>
      <c r="J143" s="265">
        <f t="shared" si="5"/>
        <v>0</v>
      </c>
      <c r="K143" s="265">
        <f t="shared" si="6"/>
        <v>0</v>
      </c>
      <c r="L143" s="265">
        <v>4653</v>
      </c>
      <c r="M143" s="226">
        <v>4653</v>
      </c>
      <c r="N143" s="265">
        <v>4653</v>
      </c>
      <c r="O143" s="226">
        <v>4653</v>
      </c>
      <c r="P143" s="265">
        <f t="shared" si="7"/>
        <v>0</v>
      </c>
      <c r="Q143" s="271">
        <f t="shared" si="8"/>
        <v>0</v>
      </c>
    </row>
    <row r="144" spans="1:17" x14ac:dyDescent="0.2">
      <c r="A144" s="264" t="s">
        <v>664</v>
      </c>
      <c r="B144" s="202" t="s">
        <v>498</v>
      </c>
      <c r="C144" s="202" t="s">
        <v>592</v>
      </c>
      <c r="D144" s="202" t="s">
        <v>663</v>
      </c>
      <c r="E144" s="202"/>
      <c r="F144" s="265">
        <v>4653</v>
      </c>
      <c r="G144" s="265">
        <v>4653</v>
      </c>
      <c r="H144" s="265">
        <v>4653</v>
      </c>
      <c r="I144" s="265">
        <v>4653</v>
      </c>
      <c r="J144" s="265">
        <f t="shared" si="5"/>
        <v>0</v>
      </c>
      <c r="K144" s="265">
        <f t="shared" si="6"/>
        <v>0</v>
      </c>
      <c r="L144" s="265">
        <v>4653</v>
      </c>
      <c r="M144" s="226">
        <v>4653</v>
      </c>
      <c r="N144" s="265">
        <v>4653</v>
      </c>
      <c r="O144" s="226">
        <v>4653</v>
      </c>
      <c r="P144" s="265">
        <f t="shared" si="7"/>
        <v>0</v>
      </c>
      <c r="Q144" s="271">
        <f t="shared" si="8"/>
        <v>0</v>
      </c>
    </row>
    <row r="145" spans="1:17" ht="22.5" x14ac:dyDescent="0.2">
      <c r="A145" s="264" t="s">
        <v>662</v>
      </c>
      <c r="B145" s="202" t="s">
        <v>498</v>
      </c>
      <c r="C145" s="202" t="s">
        <v>592</v>
      </c>
      <c r="D145" s="202" t="s">
        <v>661</v>
      </c>
      <c r="E145" s="202"/>
      <c r="F145" s="265">
        <v>4653</v>
      </c>
      <c r="G145" s="265">
        <v>4653</v>
      </c>
      <c r="H145" s="265">
        <v>4653</v>
      </c>
      <c r="I145" s="265">
        <v>4653</v>
      </c>
      <c r="J145" s="265">
        <f t="shared" si="5"/>
        <v>0</v>
      </c>
      <c r="K145" s="265">
        <f t="shared" si="6"/>
        <v>0</v>
      </c>
      <c r="L145" s="265">
        <v>4653</v>
      </c>
      <c r="M145" s="226">
        <v>4653</v>
      </c>
      <c r="N145" s="265">
        <v>4653</v>
      </c>
      <c r="O145" s="226">
        <v>4653</v>
      </c>
      <c r="P145" s="265">
        <f t="shared" si="7"/>
        <v>0</v>
      </c>
      <c r="Q145" s="271">
        <f t="shared" si="8"/>
        <v>0</v>
      </c>
    </row>
    <row r="146" spans="1:17" ht="33.75" x14ac:dyDescent="0.2">
      <c r="A146" s="264" t="s">
        <v>660</v>
      </c>
      <c r="B146" s="202" t="s">
        <v>498</v>
      </c>
      <c r="C146" s="202" t="s">
        <v>592</v>
      </c>
      <c r="D146" s="202" t="s">
        <v>656</v>
      </c>
      <c r="E146" s="202"/>
      <c r="F146" s="265">
        <v>4653</v>
      </c>
      <c r="G146" s="265">
        <v>4653</v>
      </c>
      <c r="H146" s="265">
        <v>4653</v>
      </c>
      <c r="I146" s="265">
        <v>4653</v>
      </c>
      <c r="J146" s="265">
        <f t="shared" si="5"/>
        <v>0</v>
      </c>
      <c r="K146" s="265">
        <f t="shared" si="6"/>
        <v>0</v>
      </c>
      <c r="L146" s="265">
        <v>4653</v>
      </c>
      <c r="M146" s="226">
        <v>4653</v>
      </c>
      <c r="N146" s="265">
        <v>4653</v>
      </c>
      <c r="O146" s="226">
        <v>4653</v>
      </c>
      <c r="P146" s="265">
        <f t="shared" si="7"/>
        <v>0</v>
      </c>
      <c r="Q146" s="271">
        <f t="shared" si="8"/>
        <v>0</v>
      </c>
    </row>
    <row r="147" spans="1:17" ht="33.75" x14ac:dyDescent="0.2">
      <c r="A147" s="264" t="s">
        <v>1348</v>
      </c>
      <c r="B147" s="202" t="s">
        <v>498</v>
      </c>
      <c r="C147" s="202" t="s">
        <v>592</v>
      </c>
      <c r="D147" s="202" t="s">
        <v>656</v>
      </c>
      <c r="E147" s="202" t="s">
        <v>556</v>
      </c>
      <c r="F147" s="265">
        <v>4653</v>
      </c>
      <c r="G147" s="265">
        <v>4653</v>
      </c>
      <c r="H147" s="265">
        <v>4653</v>
      </c>
      <c r="I147" s="265">
        <v>4653</v>
      </c>
      <c r="J147" s="265">
        <f t="shared" si="5"/>
        <v>0</v>
      </c>
      <c r="K147" s="265">
        <f t="shared" si="6"/>
        <v>0</v>
      </c>
      <c r="L147" s="265">
        <v>4653</v>
      </c>
      <c r="M147" s="226">
        <v>4653</v>
      </c>
      <c r="N147" s="265">
        <v>4653</v>
      </c>
      <c r="O147" s="226">
        <v>4653</v>
      </c>
      <c r="P147" s="265">
        <f t="shared" si="7"/>
        <v>0</v>
      </c>
      <c r="Q147" s="271">
        <f t="shared" si="8"/>
        <v>0</v>
      </c>
    </row>
    <row r="148" spans="1:17" x14ac:dyDescent="0.2">
      <c r="A148" s="264" t="s">
        <v>555</v>
      </c>
      <c r="B148" s="202" t="s">
        <v>498</v>
      </c>
      <c r="C148" s="202" t="s">
        <v>592</v>
      </c>
      <c r="D148" s="202" t="s">
        <v>656</v>
      </c>
      <c r="E148" s="202" t="s">
        <v>554</v>
      </c>
      <c r="F148" s="265">
        <v>4653</v>
      </c>
      <c r="G148" s="265">
        <v>4653</v>
      </c>
      <c r="H148" s="265">
        <v>4653</v>
      </c>
      <c r="I148" s="265">
        <v>4653</v>
      </c>
      <c r="J148" s="265">
        <f t="shared" si="5"/>
        <v>0</v>
      </c>
      <c r="K148" s="265">
        <f t="shared" si="6"/>
        <v>0</v>
      </c>
      <c r="L148" s="265">
        <v>4653</v>
      </c>
      <c r="M148" s="226">
        <v>4653</v>
      </c>
      <c r="N148" s="265">
        <v>4653</v>
      </c>
      <c r="O148" s="226">
        <v>4653</v>
      </c>
      <c r="P148" s="265">
        <f t="shared" si="7"/>
        <v>0</v>
      </c>
      <c r="Q148" s="271">
        <f t="shared" si="8"/>
        <v>0</v>
      </c>
    </row>
    <row r="149" spans="1:17" x14ac:dyDescent="0.2">
      <c r="A149" s="264" t="s">
        <v>604</v>
      </c>
      <c r="B149" s="202" t="s">
        <v>498</v>
      </c>
      <c r="C149" s="202" t="s">
        <v>592</v>
      </c>
      <c r="D149" s="202" t="s">
        <v>603</v>
      </c>
      <c r="E149" s="202"/>
      <c r="F149" s="265">
        <v>642142.9</v>
      </c>
      <c r="G149" s="265">
        <v>0</v>
      </c>
      <c r="H149" s="265">
        <v>642142.9</v>
      </c>
      <c r="I149" s="265">
        <v>0</v>
      </c>
      <c r="J149" s="265">
        <f t="shared" si="5"/>
        <v>0</v>
      </c>
      <c r="K149" s="265">
        <f t="shared" si="6"/>
        <v>0</v>
      </c>
      <c r="L149" s="265">
        <v>642142.9</v>
      </c>
      <c r="M149" s="226">
        <v>0</v>
      </c>
      <c r="N149" s="265">
        <v>642142.9</v>
      </c>
      <c r="O149" s="226">
        <v>0</v>
      </c>
      <c r="P149" s="265">
        <f t="shared" si="7"/>
        <v>0</v>
      </c>
      <c r="Q149" s="271">
        <f t="shared" si="8"/>
        <v>0</v>
      </c>
    </row>
    <row r="150" spans="1:17" x14ac:dyDescent="0.2">
      <c r="A150" s="264" t="s">
        <v>1042</v>
      </c>
      <c r="B150" s="202" t="s">
        <v>498</v>
      </c>
      <c r="C150" s="202" t="s">
        <v>592</v>
      </c>
      <c r="D150" s="202" t="s">
        <v>1041</v>
      </c>
      <c r="E150" s="202"/>
      <c r="F150" s="265">
        <v>195520.7</v>
      </c>
      <c r="G150" s="265">
        <v>0</v>
      </c>
      <c r="H150" s="265">
        <v>195520.7</v>
      </c>
      <c r="I150" s="265">
        <v>0</v>
      </c>
      <c r="J150" s="265">
        <f t="shared" si="5"/>
        <v>0</v>
      </c>
      <c r="K150" s="265">
        <f t="shared" si="6"/>
        <v>0</v>
      </c>
      <c r="L150" s="265">
        <v>195520.7</v>
      </c>
      <c r="M150" s="226">
        <v>0</v>
      </c>
      <c r="N150" s="265">
        <v>195520.7</v>
      </c>
      <c r="O150" s="226">
        <v>0</v>
      </c>
      <c r="P150" s="265">
        <f t="shared" si="7"/>
        <v>0</v>
      </c>
      <c r="Q150" s="271">
        <f t="shared" si="8"/>
        <v>0</v>
      </c>
    </row>
    <row r="151" spans="1:17" ht="22.5" x14ac:dyDescent="0.2">
      <c r="A151" s="264" t="s">
        <v>1040</v>
      </c>
      <c r="B151" s="202" t="s">
        <v>498</v>
      </c>
      <c r="C151" s="202" t="s">
        <v>592</v>
      </c>
      <c r="D151" s="202" t="s">
        <v>1039</v>
      </c>
      <c r="E151" s="202"/>
      <c r="F151" s="265">
        <v>193520.7</v>
      </c>
      <c r="G151" s="265">
        <v>0</v>
      </c>
      <c r="H151" s="265">
        <v>193520.7</v>
      </c>
      <c r="I151" s="265">
        <v>0</v>
      </c>
      <c r="J151" s="265">
        <f t="shared" si="5"/>
        <v>0</v>
      </c>
      <c r="K151" s="265">
        <f t="shared" si="6"/>
        <v>0</v>
      </c>
      <c r="L151" s="265">
        <v>193520.7</v>
      </c>
      <c r="M151" s="226">
        <v>0</v>
      </c>
      <c r="N151" s="265">
        <v>193520.7</v>
      </c>
      <c r="O151" s="226">
        <v>0</v>
      </c>
      <c r="P151" s="265">
        <f t="shared" si="7"/>
        <v>0</v>
      </c>
      <c r="Q151" s="271">
        <f t="shared" si="8"/>
        <v>0</v>
      </c>
    </row>
    <row r="152" spans="1:17" ht="22.5" x14ac:dyDescent="0.2">
      <c r="A152" s="264" t="s">
        <v>1234</v>
      </c>
      <c r="B152" s="202" t="s">
        <v>498</v>
      </c>
      <c r="C152" s="202" t="s">
        <v>592</v>
      </c>
      <c r="D152" s="202" t="s">
        <v>1233</v>
      </c>
      <c r="E152" s="202"/>
      <c r="F152" s="265">
        <v>193520.7</v>
      </c>
      <c r="G152" s="265">
        <v>0</v>
      </c>
      <c r="H152" s="265">
        <v>193520.7</v>
      </c>
      <c r="I152" s="265">
        <v>0</v>
      </c>
      <c r="J152" s="265">
        <f t="shared" si="5"/>
        <v>0</v>
      </c>
      <c r="K152" s="265">
        <f t="shared" si="6"/>
        <v>0</v>
      </c>
      <c r="L152" s="265">
        <v>193520.7</v>
      </c>
      <c r="M152" s="226">
        <v>0</v>
      </c>
      <c r="N152" s="265">
        <v>193520.7</v>
      </c>
      <c r="O152" s="226">
        <v>0</v>
      </c>
      <c r="P152" s="265">
        <f t="shared" si="7"/>
        <v>0</v>
      </c>
      <c r="Q152" s="271">
        <f t="shared" si="8"/>
        <v>0</v>
      </c>
    </row>
    <row r="153" spans="1:17" x14ac:dyDescent="0.2">
      <c r="A153" s="264" t="s">
        <v>547</v>
      </c>
      <c r="B153" s="202" t="s">
        <v>498</v>
      </c>
      <c r="C153" s="202" t="s">
        <v>592</v>
      </c>
      <c r="D153" s="202" t="s">
        <v>1233</v>
      </c>
      <c r="E153" s="202" t="s">
        <v>519</v>
      </c>
      <c r="F153" s="265">
        <v>193520.7</v>
      </c>
      <c r="G153" s="265">
        <v>0</v>
      </c>
      <c r="H153" s="265">
        <v>193520.7</v>
      </c>
      <c r="I153" s="265">
        <v>0</v>
      </c>
      <c r="J153" s="265">
        <f t="shared" si="5"/>
        <v>0</v>
      </c>
      <c r="K153" s="265">
        <f t="shared" si="6"/>
        <v>0</v>
      </c>
      <c r="L153" s="265">
        <v>193520.7</v>
      </c>
      <c r="M153" s="226">
        <v>0</v>
      </c>
      <c r="N153" s="265">
        <v>193520.7</v>
      </c>
      <c r="O153" s="226">
        <v>0</v>
      </c>
      <c r="P153" s="265">
        <f t="shared" si="7"/>
        <v>0</v>
      </c>
      <c r="Q153" s="271">
        <f t="shared" si="8"/>
        <v>0</v>
      </c>
    </row>
    <row r="154" spans="1:17" x14ac:dyDescent="0.2">
      <c r="A154" s="264" t="s">
        <v>571</v>
      </c>
      <c r="B154" s="202" t="s">
        <v>498</v>
      </c>
      <c r="C154" s="202" t="s">
        <v>592</v>
      </c>
      <c r="D154" s="202" t="s">
        <v>1233</v>
      </c>
      <c r="E154" s="202" t="s">
        <v>522</v>
      </c>
      <c r="F154" s="265">
        <v>193520.7</v>
      </c>
      <c r="G154" s="265">
        <v>0</v>
      </c>
      <c r="H154" s="265">
        <v>193520.7</v>
      </c>
      <c r="I154" s="265">
        <v>0</v>
      </c>
      <c r="J154" s="265">
        <f t="shared" si="5"/>
        <v>0</v>
      </c>
      <c r="K154" s="265">
        <f t="shared" si="6"/>
        <v>0</v>
      </c>
      <c r="L154" s="265">
        <v>193520.7</v>
      </c>
      <c r="M154" s="226">
        <v>0</v>
      </c>
      <c r="N154" s="265">
        <v>193520.7</v>
      </c>
      <c r="O154" s="226">
        <v>0</v>
      </c>
      <c r="P154" s="265">
        <f t="shared" si="7"/>
        <v>0</v>
      </c>
      <c r="Q154" s="271">
        <f t="shared" si="8"/>
        <v>0</v>
      </c>
    </row>
    <row r="155" spans="1:17" ht="22.5" x14ac:dyDescent="0.2">
      <c r="A155" s="264" t="s">
        <v>600</v>
      </c>
      <c r="B155" s="202" t="s">
        <v>498</v>
      </c>
      <c r="C155" s="202" t="s">
        <v>592</v>
      </c>
      <c r="D155" s="202" t="s">
        <v>1232</v>
      </c>
      <c r="E155" s="202"/>
      <c r="F155" s="265">
        <v>2000</v>
      </c>
      <c r="G155" s="265">
        <v>0</v>
      </c>
      <c r="H155" s="265">
        <v>2000</v>
      </c>
      <c r="I155" s="265">
        <v>0</v>
      </c>
      <c r="J155" s="265">
        <f t="shared" ref="J155:J221" si="25">H155-F155</f>
        <v>0</v>
      </c>
      <c r="K155" s="265">
        <f t="shared" ref="K155:K221" si="26">I155-G155</f>
        <v>0</v>
      </c>
      <c r="L155" s="265">
        <v>2000</v>
      </c>
      <c r="M155" s="226">
        <v>0</v>
      </c>
      <c r="N155" s="265">
        <v>2000</v>
      </c>
      <c r="O155" s="226">
        <v>0</v>
      </c>
      <c r="P155" s="265">
        <f t="shared" ref="P155:P221" si="27">N155-L155</f>
        <v>0</v>
      </c>
      <c r="Q155" s="271">
        <f t="shared" ref="Q155:Q221" si="28">O155-M155</f>
        <v>0</v>
      </c>
    </row>
    <row r="156" spans="1:17" x14ac:dyDescent="0.2">
      <c r="A156" s="264" t="s">
        <v>1231</v>
      </c>
      <c r="B156" s="202" t="s">
        <v>498</v>
      </c>
      <c r="C156" s="202" t="s">
        <v>592</v>
      </c>
      <c r="D156" s="202" t="s">
        <v>1230</v>
      </c>
      <c r="E156" s="202"/>
      <c r="F156" s="265">
        <v>2000</v>
      </c>
      <c r="G156" s="265">
        <v>0</v>
      </c>
      <c r="H156" s="265">
        <v>2000</v>
      </c>
      <c r="I156" s="265">
        <v>0</v>
      </c>
      <c r="J156" s="265">
        <f t="shared" si="25"/>
        <v>0</v>
      </c>
      <c r="K156" s="265">
        <f t="shared" si="26"/>
        <v>0</v>
      </c>
      <c r="L156" s="265">
        <v>2000</v>
      </c>
      <c r="M156" s="226">
        <v>0</v>
      </c>
      <c r="N156" s="265">
        <v>2000</v>
      </c>
      <c r="O156" s="226">
        <v>0</v>
      </c>
      <c r="P156" s="265">
        <f t="shared" si="27"/>
        <v>0</v>
      </c>
      <c r="Q156" s="271">
        <f t="shared" si="28"/>
        <v>0</v>
      </c>
    </row>
    <row r="157" spans="1:17" x14ac:dyDescent="0.2">
      <c r="A157" s="264" t="s">
        <v>1347</v>
      </c>
      <c r="B157" s="202" t="s">
        <v>498</v>
      </c>
      <c r="C157" s="202" t="s">
        <v>592</v>
      </c>
      <c r="D157" s="202" t="s">
        <v>1230</v>
      </c>
      <c r="E157" s="202" t="s">
        <v>535</v>
      </c>
      <c r="F157" s="265">
        <v>2000</v>
      </c>
      <c r="G157" s="265">
        <v>0</v>
      </c>
      <c r="H157" s="265">
        <v>2000</v>
      </c>
      <c r="I157" s="265">
        <v>0</v>
      </c>
      <c r="J157" s="265">
        <f t="shared" si="25"/>
        <v>0</v>
      </c>
      <c r="K157" s="265">
        <f t="shared" si="26"/>
        <v>0</v>
      </c>
      <c r="L157" s="265">
        <v>2000</v>
      </c>
      <c r="M157" s="226">
        <v>0</v>
      </c>
      <c r="N157" s="265">
        <v>2000</v>
      </c>
      <c r="O157" s="226">
        <v>0</v>
      </c>
      <c r="P157" s="265">
        <f t="shared" si="27"/>
        <v>0</v>
      </c>
      <c r="Q157" s="271">
        <f t="shared" si="28"/>
        <v>0</v>
      </c>
    </row>
    <row r="158" spans="1:17" x14ac:dyDescent="0.2">
      <c r="A158" s="264" t="s">
        <v>534</v>
      </c>
      <c r="B158" s="202" t="s">
        <v>498</v>
      </c>
      <c r="C158" s="202" t="s">
        <v>592</v>
      </c>
      <c r="D158" s="202" t="s">
        <v>1230</v>
      </c>
      <c r="E158" s="202" t="s">
        <v>529</v>
      </c>
      <c r="F158" s="265">
        <v>2000</v>
      </c>
      <c r="G158" s="265">
        <v>0</v>
      </c>
      <c r="H158" s="265">
        <v>2000</v>
      </c>
      <c r="I158" s="265">
        <v>0</v>
      </c>
      <c r="J158" s="265">
        <f t="shared" si="25"/>
        <v>0</v>
      </c>
      <c r="K158" s="265">
        <f t="shared" si="26"/>
        <v>0</v>
      </c>
      <c r="L158" s="265">
        <v>2000</v>
      </c>
      <c r="M158" s="226">
        <v>0</v>
      </c>
      <c r="N158" s="265">
        <v>2000</v>
      </c>
      <c r="O158" s="226">
        <v>0</v>
      </c>
      <c r="P158" s="265">
        <f t="shared" si="27"/>
        <v>0</v>
      </c>
      <c r="Q158" s="271">
        <f t="shared" si="28"/>
        <v>0</v>
      </c>
    </row>
    <row r="159" spans="1:17" x14ac:dyDescent="0.2">
      <c r="A159" s="264" t="s">
        <v>602</v>
      </c>
      <c r="B159" s="202" t="s">
        <v>498</v>
      </c>
      <c r="C159" s="202" t="s">
        <v>592</v>
      </c>
      <c r="D159" s="202" t="s">
        <v>601</v>
      </c>
      <c r="E159" s="202"/>
      <c r="F159" s="265">
        <v>446622.2</v>
      </c>
      <c r="G159" s="265">
        <v>0</v>
      </c>
      <c r="H159" s="265">
        <v>446622.2</v>
      </c>
      <c r="I159" s="265">
        <v>0</v>
      </c>
      <c r="J159" s="265">
        <f t="shared" si="25"/>
        <v>0</v>
      </c>
      <c r="K159" s="265">
        <f t="shared" si="26"/>
        <v>0</v>
      </c>
      <c r="L159" s="265">
        <v>446622.2</v>
      </c>
      <c r="M159" s="226">
        <v>0</v>
      </c>
      <c r="N159" s="265">
        <v>446622.2</v>
      </c>
      <c r="O159" s="226">
        <v>0</v>
      </c>
      <c r="P159" s="265">
        <f t="shared" si="27"/>
        <v>0</v>
      </c>
      <c r="Q159" s="271">
        <f t="shared" si="28"/>
        <v>0</v>
      </c>
    </row>
    <row r="160" spans="1:17" ht="22.5" x14ac:dyDescent="0.2">
      <c r="A160" s="264" t="s">
        <v>600</v>
      </c>
      <c r="B160" s="202" t="s">
        <v>498</v>
      </c>
      <c r="C160" s="202" t="s">
        <v>592</v>
      </c>
      <c r="D160" s="202" t="s">
        <v>599</v>
      </c>
      <c r="E160" s="202"/>
      <c r="F160" s="265">
        <v>446622.2</v>
      </c>
      <c r="G160" s="265">
        <v>0</v>
      </c>
      <c r="H160" s="265">
        <v>446622.2</v>
      </c>
      <c r="I160" s="265">
        <v>0</v>
      </c>
      <c r="J160" s="265">
        <f t="shared" si="25"/>
        <v>0</v>
      </c>
      <c r="K160" s="265">
        <f t="shared" si="26"/>
        <v>0</v>
      </c>
      <c r="L160" s="265">
        <v>446622.2</v>
      </c>
      <c r="M160" s="226">
        <v>0</v>
      </c>
      <c r="N160" s="265">
        <v>446622.2</v>
      </c>
      <c r="O160" s="226">
        <v>0</v>
      </c>
      <c r="P160" s="265">
        <f t="shared" si="27"/>
        <v>0</v>
      </c>
      <c r="Q160" s="271">
        <f t="shared" si="28"/>
        <v>0</v>
      </c>
    </row>
    <row r="161" spans="1:17" x14ac:dyDescent="0.2">
      <c r="A161" s="264" t="s">
        <v>598</v>
      </c>
      <c r="B161" s="202" t="s">
        <v>498</v>
      </c>
      <c r="C161" s="202" t="s">
        <v>592</v>
      </c>
      <c r="D161" s="202" t="s">
        <v>597</v>
      </c>
      <c r="E161" s="202"/>
      <c r="F161" s="265">
        <v>96.1</v>
      </c>
      <c r="G161" s="265">
        <v>0</v>
      </c>
      <c r="H161" s="265">
        <v>96.1</v>
      </c>
      <c r="I161" s="265">
        <v>0</v>
      </c>
      <c r="J161" s="265">
        <f t="shared" si="25"/>
        <v>0</v>
      </c>
      <c r="K161" s="265">
        <f t="shared" si="26"/>
        <v>0</v>
      </c>
      <c r="L161" s="265">
        <v>96.1</v>
      </c>
      <c r="M161" s="226">
        <v>0</v>
      </c>
      <c r="N161" s="265">
        <v>96.1</v>
      </c>
      <c r="O161" s="226">
        <v>0</v>
      </c>
      <c r="P161" s="265">
        <f t="shared" si="27"/>
        <v>0</v>
      </c>
      <c r="Q161" s="271">
        <f t="shared" si="28"/>
        <v>0</v>
      </c>
    </row>
    <row r="162" spans="1:17" x14ac:dyDescent="0.2">
      <c r="A162" s="264" t="s">
        <v>1347</v>
      </c>
      <c r="B162" s="202" t="s">
        <v>498</v>
      </c>
      <c r="C162" s="202" t="s">
        <v>592</v>
      </c>
      <c r="D162" s="202" t="s">
        <v>597</v>
      </c>
      <c r="E162" s="202" t="s">
        <v>535</v>
      </c>
      <c r="F162" s="265">
        <v>96.1</v>
      </c>
      <c r="G162" s="265">
        <v>0</v>
      </c>
      <c r="H162" s="265">
        <v>96.1</v>
      </c>
      <c r="I162" s="265">
        <v>0</v>
      </c>
      <c r="J162" s="265">
        <f t="shared" si="25"/>
        <v>0</v>
      </c>
      <c r="K162" s="265">
        <f t="shared" si="26"/>
        <v>0</v>
      </c>
      <c r="L162" s="265">
        <v>96.1</v>
      </c>
      <c r="M162" s="226">
        <v>0</v>
      </c>
      <c r="N162" s="265">
        <v>96.1</v>
      </c>
      <c r="O162" s="226">
        <v>0</v>
      </c>
      <c r="P162" s="265">
        <f t="shared" si="27"/>
        <v>0</v>
      </c>
      <c r="Q162" s="271">
        <f t="shared" si="28"/>
        <v>0</v>
      </c>
    </row>
    <row r="163" spans="1:17" x14ac:dyDescent="0.2">
      <c r="A163" s="264" t="s">
        <v>534</v>
      </c>
      <c r="B163" s="202" t="s">
        <v>498</v>
      </c>
      <c r="C163" s="202" t="s">
        <v>592</v>
      </c>
      <c r="D163" s="202" t="s">
        <v>597</v>
      </c>
      <c r="E163" s="202" t="s">
        <v>529</v>
      </c>
      <c r="F163" s="265">
        <v>96.1</v>
      </c>
      <c r="G163" s="265">
        <v>0</v>
      </c>
      <c r="H163" s="265">
        <v>96.1</v>
      </c>
      <c r="I163" s="265">
        <v>0</v>
      </c>
      <c r="J163" s="265">
        <f t="shared" si="25"/>
        <v>0</v>
      </c>
      <c r="K163" s="265">
        <f t="shared" si="26"/>
        <v>0</v>
      </c>
      <c r="L163" s="265">
        <v>96.1</v>
      </c>
      <c r="M163" s="226">
        <v>0</v>
      </c>
      <c r="N163" s="265">
        <v>96.1</v>
      </c>
      <c r="O163" s="226">
        <v>0</v>
      </c>
      <c r="P163" s="265">
        <f t="shared" si="27"/>
        <v>0</v>
      </c>
      <c r="Q163" s="271">
        <f t="shared" si="28"/>
        <v>0</v>
      </c>
    </row>
    <row r="164" spans="1:17" x14ac:dyDescent="0.2">
      <c r="A164" s="264" t="s">
        <v>1229</v>
      </c>
      <c r="B164" s="202" t="s">
        <v>498</v>
      </c>
      <c r="C164" s="202" t="s">
        <v>592</v>
      </c>
      <c r="D164" s="202" t="s">
        <v>1228</v>
      </c>
      <c r="E164" s="202"/>
      <c r="F164" s="265">
        <v>948</v>
      </c>
      <c r="G164" s="265">
        <v>0</v>
      </c>
      <c r="H164" s="265">
        <v>948</v>
      </c>
      <c r="I164" s="265">
        <v>0</v>
      </c>
      <c r="J164" s="265">
        <f t="shared" si="25"/>
        <v>0</v>
      </c>
      <c r="K164" s="265">
        <f t="shared" si="26"/>
        <v>0</v>
      </c>
      <c r="L164" s="265">
        <v>948</v>
      </c>
      <c r="M164" s="226">
        <v>0</v>
      </c>
      <c r="N164" s="265">
        <v>948</v>
      </c>
      <c r="O164" s="226">
        <v>0</v>
      </c>
      <c r="P164" s="265">
        <f t="shared" si="27"/>
        <v>0</v>
      </c>
      <c r="Q164" s="271">
        <f t="shared" si="28"/>
        <v>0</v>
      </c>
    </row>
    <row r="165" spans="1:17" x14ac:dyDescent="0.2">
      <c r="A165" s="264" t="s">
        <v>615</v>
      </c>
      <c r="B165" s="202" t="s">
        <v>498</v>
      </c>
      <c r="C165" s="202" t="s">
        <v>592</v>
      </c>
      <c r="D165" s="202" t="s">
        <v>1228</v>
      </c>
      <c r="E165" s="202" t="s">
        <v>509</v>
      </c>
      <c r="F165" s="265">
        <v>948</v>
      </c>
      <c r="G165" s="265">
        <v>0</v>
      </c>
      <c r="H165" s="265">
        <v>948</v>
      </c>
      <c r="I165" s="265">
        <v>0</v>
      </c>
      <c r="J165" s="265">
        <f t="shared" si="25"/>
        <v>0</v>
      </c>
      <c r="K165" s="265">
        <f t="shared" si="26"/>
        <v>0</v>
      </c>
      <c r="L165" s="265">
        <v>948</v>
      </c>
      <c r="M165" s="226">
        <v>0</v>
      </c>
      <c r="N165" s="265">
        <v>948</v>
      </c>
      <c r="O165" s="226">
        <v>0</v>
      </c>
      <c r="P165" s="265">
        <f t="shared" si="27"/>
        <v>0</v>
      </c>
      <c r="Q165" s="271">
        <f t="shared" si="28"/>
        <v>0</v>
      </c>
    </row>
    <row r="166" spans="1:17" x14ac:dyDescent="0.2">
      <c r="A166" s="264" t="s">
        <v>752</v>
      </c>
      <c r="B166" s="202" t="s">
        <v>498</v>
      </c>
      <c r="C166" s="202" t="s">
        <v>592</v>
      </c>
      <c r="D166" s="202" t="s">
        <v>1228</v>
      </c>
      <c r="E166" s="202" t="s">
        <v>750</v>
      </c>
      <c r="F166" s="265">
        <v>948</v>
      </c>
      <c r="G166" s="265">
        <v>0</v>
      </c>
      <c r="H166" s="265">
        <v>948</v>
      </c>
      <c r="I166" s="265">
        <v>0</v>
      </c>
      <c r="J166" s="265">
        <f t="shared" si="25"/>
        <v>0</v>
      </c>
      <c r="K166" s="265">
        <f t="shared" si="26"/>
        <v>0</v>
      </c>
      <c r="L166" s="265">
        <v>948</v>
      </c>
      <c r="M166" s="226">
        <v>0</v>
      </c>
      <c r="N166" s="265">
        <v>948</v>
      </c>
      <c r="O166" s="226">
        <v>0</v>
      </c>
      <c r="P166" s="265">
        <f t="shared" si="27"/>
        <v>0</v>
      </c>
      <c r="Q166" s="271">
        <f t="shared" si="28"/>
        <v>0</v>
      </c>
    </row>
    <row r="167" spans="1:17" ht="25.5" customHeight="1" x14ac:dyDescent="0.2">
      <c r="A167" s="264" t="s">
        <v>761</v>
      </c>
      <c r="B167" s="202" t="s">
        <v>498</v>
      </c>
      <c r="C167" s="202" t="s">
        <v>592</v>
      </c>
      <c r="D167" s="202" t="s">
        <v>759</v>
      </c>
      <c r="E167" s="202"/>
      <c r="F167" s="265">
        <v>181031.3</v>
      </c>
      <c r="G167" s="265">
        <v>0</v>
      </c>
      <c r="H167" s="265">
        <v>181031.3</v>
      </c>
      <c r="I167" s="265">
        <v>0</v>
      </c>
      <c r="J167" s="265">
        <f t="shared" si="25"/>
        <v>0</v>
      </c>
      <c r="K167" s="265">
        <f t="shared" si="26"/>
        <v>0</v>
      </c>
      <c r="L167" s="265">
        <v>181031.3</v>
      </c>
      <c r="M167" s="226">
        <v>0</v>
      </c>
      <c r="N167" s="265">
        <v>181031.3</v>
      </c>
      <c r="O167" s="226">
        <v>0</v>
      </c>
      <c r="P167" s="265">
        <f t="shared" si="27"/>
        <v>0</v>
      </c>
      <c r="Q167" s="271">
        <f t="shared" si="28"/>
        <v>0</v>
      </c>
    </row>
    <row r="168" spans="1:17" ht="33.75" x14ac:dyDescent="0.2">
      <c r="A168" s="264" t="s">
        <v>1348</v>
      </c>
      <c r="B168" s="202" t="s">
        <v>498</v>
      </c>
      <c r="C168" s="202" t="s">
        <v>592</v>
      </c>
      <c r="D168" s="202" t="s">
        <v>759</v>
      </c>
      <c r="E168" s="202" t="s">
        <v>556</v>
      </c>
      <c r="F168" s="265">
        <v>173336</v>
      </c>
      <c r="G168" s="265">
        <v>0</v>
      </c>
      <c r="H168" s="265">
        <v>173336</v>
      </c>
      <c r="I168" s="265">
        <v>0</v>
      </c>
      <c r="J168" s="265">
        <f t="shared" si="25"/>
        <v>0</v>
      </c>
      <c r="K168" s="265">
        <f t="shared" si="26"/>
        <v>0</v>
      </c>
      <c r="L168" s="265">
        <v>173336</v>
      </c>
      <c r="M168" s="226">
        <v>0</v>
      </c>
      <c r="N168" s="265">
        <v>173336</v>
      </c>
      <c r="O168" s="226">
        <v>0</v>
      </c>
      <c r="P168" s="265">
        <f t="shared" si="27"/>
        <v>0</v>
      </c>
      <c r="Q168" s="271">
        <f t="shared" si="28"/>
        <v>0</v>
      </c>
    </row>
    <row r="169" spans="1:17" x14ac:dyDescent="0.2">
      <c r="A169" s="264" t="s">
        <v>555</v>
      </c>
      <c r="B169" s="202" t="s">
        <v>498</v>
      </c>
      <c r="C169" s="202" t="s">
        <v>592</v>
      </c>
      <c r="D169" s="202" t="s">
        <v>759</v>
      </c>
      <c r="E169" s="202" t="s">
        <v>554</v>
      </c>
      <c r="F169" s="265">
        <v>173336</v>
      </c>
      <c r="G169" s="265">
        <v>0</v>
      </c>
      <c r="H169" s="265">
        <v>173336</v>
      </c>
      <c r="I169" s="265">
        <v>0</v>
      </c>
      <c r="J169" s="265">
        <f t="shared" si="25"/>
        <v>0</v>
      </c>
      <c r="K169" s="265">
        <f t="shared" si="26"/>
        <v>0</v>
      </c>
      <c r="L169" s="265">
        <v>173336</v>
      </c>
      <c r="M169" s="226">
        <v>0</v>
      </c>
      <c r="N169" s="265">
        <v>173336</v>
      </c>
      <c r="O169" s="226">
        <v>0</v>
      </c>
      <c r="P169" s="265">
        <f t="shared" si="27"/>
        <v>0</v>
      </c>
      <c r="Q169" s="271">
        <f t="shared" si="28"/>
        <v>0</v>
      </c>
    </row>
    <row r="170" spans="1:17" x14ac:dyDescent="0.2">
      <c r="A170" s="264" t="s">
        <v>1347</v>
      </c>
      <c r="B170" s="202" t="s">
        <v>498</v>
      </c>
      <c r="C170" s="202" t="s">
        <v>592</v>
      </c>
      <c r="D170" s="202" t="s">
        <v>759</v>
      </c>
      <c r="E170" s="202" t="s">
        <v>535</v>
      </c>
      <c r="F170" s="265">
        <v>7658.3</v>
      </c>
      <c r="G170" s="265">
        <v>0</v>
      </c>
      <c r="H170" s="265">
        <v>7658.3</v>
      </c>
      <c r="I170" s="265">
        <v>0</v>
      </c>
      <c r="J170" s="265">
        <f t="shared" si="25"/>
        <v>0</v>
      </c>
      <c r="K170" s="265">
        <f t="shared" si="26"/>
        <v>0</v>
      </c>
      <c r="L170" s="265">
        <v>7658.3</v>
      </c>
      <c r="M170" s="226">
        <v>0</v>
      </c>
      <c r="N170" s="265">
        <v>7658.3</v>
      </c>
      <c r="O170" s="226">
        <v>0</v>
      </c>
      <c r="P170" s="265">
        <f t="shared" si="27"/>
        <v>0</v>
      </c>
      <c r="Q170" s="271">
        <f t="shared" si="28"/>
        <v>0</v>
      </c>
    </row>
    <row r="171" spans="1:17" x14ac:dyDescent="0.2">
      <c r="A171" s="264" t="s">
        <v>534</v>
      </c>
      <c r="B171" s="202" t="s">
        <v>498</v>
      </c>
      <c r="C171" s="202" t="s">
        <v>592</v>
      </c>
      <c r="D171" s="202" t="s">
        <v>759</v>
      </c>
      <c r="E171" s="202" t="s">
        <v>529</v>
      </c>
      <c r="F171" s="265">
        <v>7658.3</v>
      </c>
      <c r="G171" s="265">
        <v>0</v>
      </c>
      <c r="H171" s="265">
        <v>7658.3</v>
      </c>
      <c r="I171" s="265">
        <v>0</v>
      </c>
      <c r="J171" s="265">
        <f t="shared" si="25"/>
        <v>0</v>
      </c>
      <c r="K171" s="265">
        <f t="shared" si="26"/>
        <v>0</v>
      </c>
      <c r="L171" s="265">
        <v>7658.3</v>
      </c>
      <c r="M171" s="226">
        <v>0</v>
      </c>
      <c r="N171" s="265">
        <v>7658.3</v>
      </c>
      <c r="O171" s="226">
        <v>0</v>
      </c>
      <c r="P171" s="265">
        <f t="shared" si="27"/>
        <v>0</v>
      </c>
      <c r="Q171" s="271">
        <f t="shared" si="28"/>
        <v>0</v>
      </c>
    </row>
    <row r="172" spans="1:17" x14ac:dyDescent="0.2">
      <c r="A172" s="264" t="s">
        <v>615</v>
      </c>
      <c r="B172" s="202" t="s">
        <v>498</v>
      </c>
      <c r="C172" s="202" t="s">
        <v>592</v>
      </c>
      <c r="D172" s="202" t="s">
        <v>759</v>
      </c>
      <c r="E172" s="202" t="s">
        <v>509</v>
      </c>
      <c r="F172" s="265">
        <v>37</v>
      </c>
      <c r="G172" s="265">
        <v>0</v>
      </c>
      <c r="H172" s="265">
        <v>37</v>
      </c>
      <c r="I172" s="265">
        <v>0</v>
      </c>
      <c r="J172" s="265">
        <f t="shared" si="25"/>
        <v>0</v>
      </c>
      <c r="K172" s="265">
        <f t="shared" si="26"/>
        <v>0</v>
      </c>
      <c r="L172" s="265">
        <v>37</v>
      </c>
      <c r="M172" s="226">
        <v>0</v>
      </c>
      <c r="N172" s="265">
        <v>37</v>
      </c>
      <c r="O172" s="226">
        <v>0</v>
      </c>
      <c r="P172" s="265">
        <f t="shared" si="27"/>
        <v>0</v>
      </c>
      <c r="Q172" s="271">
        <f t="shared" si="28"/>
        <v>0</v>
      </c>
    </row>
    <row r="173" spans="1:17" x14ac:dyDescent="0.2">
      <c r="A173" s="264" t="s">
        <v>614</v>
      </c>
      <c r="B173" s="202" t="s">
        <v>498</v>
      </c>
      <c r="C173" s="202" t="s">
        <v>592</v>
      </c>
      <c r="D173" s="202" t="s">
        <v>759</v>
      </c>
      <c r="E173" s="202" t="s">
        <v>613</v>
      </c>
      <c r="F173" s="265">
        <v>37</v>
      </c>
      <c r="G173" s="265">
        <v>0</v>
      </c>
      <c r="H173" s="265">
        <v>37</v>
      </c>
      <c r="I173" s="265">
        <v>0</v>
      </c>
      <c r="J173" s="265">
        <f t="shared" si="25"/>
        <v>0</v>
      </c>
      <c r="K173" s="265">
        <f t="shared" si="26"/>
        <v>0</v>
      </c>
      <c r="L173" s="265">
        <v>37</v>
      </c>
      <c r="M173" s="226">
        <v>0</v>
      </c>
      <c r="N173" s="265">
        <v>37</v>
      </c>
      <c r="O173" s="226">
        <v>0</v>
      </c>
      <c r="P173" s="265">
        <f t="shared" si="27"/>
        <v>0</v>
      </c>
      <c r="Q173" s="271">
        <f t="shared" si="28"/>
        <v>0</v>
      </c>
    </row>
    <row r="174" spans="1:17" ht="22.5" x14ac:dyDescent="0.2">
      <c r="A174" s="264" t="s">
        <v>1227</v>
      </c>
      <c r="B174" s="202" t="s">
        <v>498</v>
      </c>
      <c r="C174" s="202" t="s">
        <v>592</v>
      </c>
      <c r="D174" s="202" t="s">
        <v>1226</v>
      </c>
      <c r="E174" s="202"/>
      <c r="F174" s="265">
        <v>235702.1</v>
      </c>
      <c r="G174" s="265">
        <v>0</v>
      </c>
      <c r="H174" s="265">
        <v>235702.1</v>
      </c>
      <c r="I174" s="265">
        <v>0</v>
      </c>
      <c r="J174" s="265">
        <f t="shared" si="25"/>
        <v>0</v>
      </c>
      <c r="K174" s="265">
        <f t="shared" si="26"/>
        <v>0</v>
      </c>
      <c r="L174" s="265">
        <v>235702.1</v>
      </c>
      <c r="M174" s="226">
        <v>0</v>
      </c>
      <c r="N174" s="265">
        <v>235702.1</v>
      </c>
      <c r="O174" s="226">
        <v>0</v>
      </c>
      <c r="P174" s="265">
        <f t="shared" si="27"/>
        <v>0</v>
      </c>
      <c r="Q174" s="271">
        <f t="shared" si="28"/>
        <v>0</v>
      </c>
    </row>
    <row r="175" spans="1:17" ht="33.75" x14ac:dyDescent="0.2">
      <c r="A175" s="264" t="s">
        <v>1348</v>
      </c>
      <c r="B175" s="202" t="s">
        <v>498</v>
      </c>
      <c r="C175" s="202" t="s">
        <v>592</v>
      </c>
      <c r="D175" s="202" t="s">
        <v>1226</v>
      </c>
      <c r="E175" s="202" t="s">
        <v>556</v>
      </c>
      <c r="F175" s="265">
        <v>215339.5</v>
      </c>
      <c r="G175" s="265">
        <v>0</v>
      </c>
      <c r="H175" s="265">
        <v>215339.5</v>
      </c>
      <c r="I175" s="265">
        <v>0</v>
      </c>
      <c r="J175" s="265">
        <f t="shared" si="25"/>
        <v>0</v>
      </c>
      <c r="K175" s="265">
        <f t="shared" si="26"/>
        <v>0</v>
      </c>
      <c r="L175" s="265">
        <v>215339.5</v>
      </c>
      <c r="M175" s="226">
        <v>0</v>
      </c>
      <c r="N175" s="265">
        <v>215339.5</v>
      </c>
      <c r="O175" s="226">
        <v>0</v>
      </c>
      <c r="P175" s="265">
        <f t="shared" si="27"/>
        <v>0</v>
      </c>
      <c r="Q175" s="271">
        <f t="shared" si="28"/>
        <v>0</v>
      </c>
    </row>
    <row r="176" spans="1:17" x14ac:dyDescent="0.2">
      <c r="A176" s="264" t="s">
        <v>555</v>
      </c>
      <c r="B176" s="202" t="s">
        <v>498</v>
      </c>
      <c r="C176" s="202" t="s">
        <v>592</v>
      </c>
      <c r="D176" s="202" t="s">
        <v>1226</v>
      </c>
      <c r="E176" s="202" t="s">
        <v>554</v>
      </c>
      <c r="F176" s="265">
        <v>215339.5</v>
      </c>
      <c r="G176" s="265">
        <v>0</v>
      </c>
      <c r="H176" s="265">
        <v>215339.5</v>
      </c>
      <c r="I176" s="265">
        <v>0</v>
      </c>
      <c r="J176" s="265">
        <f t="shared" si="25"/>
        <v>0</v>
      </c>
      <c r="K176" s="265">
        <f t="shared" si="26"/>
        <v>0</v>
      </c>
      <c r="L176" s="265">
        <v>215339.5</v>
      </c>
      <c r="M176" s="226">
        <v>0</v>
      </c>
      <c r="N176" s="265">
        <v>215339.5</v>
      </c>
      <c r="O176" s="226">
        <v>0</v>
      </c>
      <c r="P176" s="265">
        <f t="shared" si="27"/>
        <v>0</v>
      </c>
      <c r="Q176" s="271">
        <f t="shared" si="28"/>
        <v>0</v>
      </c>
    </row>
    <row r="177" spans="1:17" x14ac:dyDescent="0.2">
      <c r="A177" s="264" t="s">
        <v>1347</v>
      </c>
      <c r="B177" s="202" t="s">
        <v>498</v>
      </c>
      <c r="C177" s="202" t="s">
        <v>592</v>
      </c>
      <c r="D177" s="202" t="s">
        <v>1226</v>
      </c>
      <c r="E177" s="202" t="s">
        <v>535</v>
      </c>
      <c r="F177" s="265">
        <v>19859.3</v>
      </c>
      <c r="G177" s="265">
        <v>0</v>
      </c>
      <c r="H177" s="265">
        <v>19859.3</v>
      </c>
      <c r="I177" s="265">
        <v>0</v>
      </c>
      <c r="J177" s="265">
        <f t="shared" si="25"/>
        <v>0</v>
      </c>
      <c r="K177" s="265">
        <f t="shared" si="26"/>
        <v>0</v>
      </c>
      <c r="L177" s="265">
        <v>19859.3</v>
      </c>
      <c r="M177" s="226">
        <v>0</v>
      </c>
      <c r="N177" s="265">
        <v>19859.3</v>
      </c>
      <c r="O177" s="226">
        <v>0</v>
      </c>
      <c r="P177" s="265">
        <f t="shared" si="27"/>
        <v>0</v>
      </c>
      <c r="Q177" s="271">
        <f t="shared" si="28"/>
        <v>0</v>
      </c>
    </row>
    <row r="178" spans="1:17" x14ac:dyDescent="0.2">
      <c r="A178" s="264" t="s">
        <v>534</v>
      </c>
      <c r="B178" s="202" t="s">
        <v>498</v>
      </c>
      <c r="C178" s="202" t="s">
        <v>592</v>
      </c>
      <c r="D178" s="202" t="s">
        <v>1226</v>
      </c>
      <c r="E178" s="202" t="s">
        <v>529</v>
      </c>
      <c r="F178" s="265">
        <v>19859.3</v>
      </c>
      <c r="G178" s="265">
        <v>0</v>
      </c>
      <c r="H178" s="265">
        <v>19859.3</v>
      </c>
      <c r="I178" s="265">
        <v>0</v>
      </c>
      <c r="J178" s="265">
        <f t="shared" si="25"/>
        <v>0</v>
      </c>
      <c r="K178" s="265">
        <f t="shared" si="26"/>
        <v>0</v>
      </c>
      <c r="L178" s="265">
        <v>19859.3</v>
      </c>
      <c r="M178" s="226">
        <v>0</v>
      </c>
      <c r="N178" s="265">
        <v>19859.3</v>
      </c>
      <c r="O178" s="226">
        <v>0</v>
      </c>
      <c r="P178" s="265">
        <f t="shared" si="27"/>
        <v>0</v>
      </c>
      <c r="Q178" s="271">
        <f t="shared" si="28"/>
        <v>0</v>
      </c>
    </row>
    <row r="179" spans="1:17" x14ac:dyDescent="0.2">
      <c r="A179" s="264" t="s">
        <v>615</v>
      </c>
      <c r="B179" s="202" t="s">
        <v>498</v>
      </c>
      <c r="C179" s="202" t="s">
        <v>592</v>
      </c>
      <c r="D179" s="202" t="s">
        <v>1226</v>
      </c>
      <c r="E179" s="202" t="s">
        <v>509</v>
      </c>
      <c r="F179" s="265">
        <v>503.3</v>
      </c>
      <c r="G179" s="265">
        <v>0</v>
      </c>
      <c r="H179" s="265">
        <v>503.3</v>
      </c>
      <c r="I179" s="265">
        <v>0</v>
      </c>
      <c r="J179" s="265">
        <f t="shared" si="25"/>
        <v>0</v>
      </c>
      <c r="K179" s="265">
        <f t="shared" si="26"/>
        <v>0</v>
      </c>
      <c r="L179" s="265">
        <v>503.3</v>
      </c>
      <c r="M179" s="226">
        <v>0</v>
      </c>
      <c r="N179" s="265">
        <v>503.3</v>
      </c>
      <c r="O179" s="226">
        <v>0</v>
      </c>
      <c r="P179" s="265">
        <f t="shared" si="27"/>
        <v>0</v>
      </c>
      <c r="Q179" s="271">
        <f t="shared" si="28"/>
        <v>0</v>
      </c>
    </row>
    <row r="180" spans="1:17" x14ac:dyDescent="0.2">
      <c r="A180" s="264" t="s">
        <v>614</v>
      </c>
      <c r="B180" s="202" t="s">
        <v>498</v>
      </c>
      <c r="C180" s="202" t="s">
        <v>592</v>
      </c>
      <c r="D180" s="202" t="s">
        <v>1226</v>
      </c>
      <c r="E180" s="202" t="s">
        <v>613</v>
      </c>
      <c r="F180" s="265">
        <v>503.3</v>
      </c>
      <c r="G180" s="265">
        <v>0</v>
      </c>
      <c r="H180" s="265">
        <v>503.3</v>
      </c>
      <c r="I180" s="265">
        <v>0</v>
      </c>
      <c r="J180" s="265">
        <f t="shared" si="25"/>
        <v>0</v>
      </c>
      <c r="K180" s="265">
        <f t="shared" si="26"/>
        <v>0</v>
      </c>
      <c r="L180" s="265">
        <v>503.3</v>
      </c>
      <c r="M180" s="226">
        <v>0</v>
      </c>
      <c r="N180" s="265">
        <v>503.3</v>
      </c>
      <c r="O180" s="226">
        <v>0</v>
      </c>
      <c r="P180" s="265">
        <f t="shared" si="27"/>
        <v>0</v>
      </c>
      <c r="Q180" s="271">
        <f t="shared" si="28"/>
        <v>0</v>
      </c>
    </row>
    <row r="181" spans="1:17" ht="33.75" x14ac:dyDescent="0.2">
      <c r="A181" s="264" t="s">
        <v>1225</v>
      </c>
      <c r="B181" s="202" t="s">
        <v>498</v>
      </c>
      <c r="C181" s="202" t="s">
        <v>592</v>
      </c>
      <c r="D181" s="202" t="s">
        <v>1224</v>
      </c>
      <c r="E181" s="202"/>
      <c r="F181" s="265">
        <v>28844.7</v>
      </c>
      <c r="G181" s="265">
        <v>0</v>
      </c>
      <c r="H181" s="265">
        <v>28844.7</v>
      </c>
      <c r="I181" s="265">
        <v>0</v>
      </c>
      <c r="J181" s="265">
        <f t="shared" si="25"/>
        <v>0</v>
      </c>
      <c r="K181" s="265">
        <f t="shared" si="26"/>
        <v>0</v>
      </c>
      <c r="L181" s="265">
        <v>28844.7</v>
      </c>
      <c r="M181" s="226">
        <v>0</v>
      </c>
      <c r="N181" s="265">
        <v>28844.7</v>
      </c>
      <c r="O181" s="226">
        <v>0</v>
      </c>
      <c r="P181" s="265">
        <f t="shared" si="27"/>
        <v>0</v>
      </c>
      <c r="Q181" s="271">
        <f t="shared" si="28"/>
        <v>0</v>
      </c>
    </row>
    <row r="182" spans="1:17" ht="33.75" x14ac:dyDescent="0.2">
      <c r="A182" s="264" t="s">
        <v>1348</v>
      </c>
      <c r="B182" s="202" t="s">
        <v>498</v>
      </c>
      <c r="C182" s="202" t="s">
        <v>592</v>
      </c>
      <c r="D182" s="202" t="s">
        <v>1224</v>
      </c>
      <c r="E182" s="202" t="s">
        <v>556</v>
      </c>
      <c r="F182" s="265">
        <v>26990.5</v>
      </c>
      <c r="G182" s="265">
        <v>0</v>
      </c>
      <c r="H182" s="265">
        <v>26990.5</v>
      </c>
      <c r="I182" s="265">
        <v>0</v>
      </c>
      <c r="J182" s="265">
        <f t="shared" si="25"/>
        <v>0</v>
      </c>
      <c r="K182" s="265">
        <f t="shared" si="26"/>
        <v>0</v>
      </c>
      <c r="L182" s="265">
        <v>26990.5</v>
      </c>
      <c r="M182" s="226">
        <v>0</v>
      </c>
      <c r="N182" s="265">
        <v>26990.5</v>
      </c>
      <c r="O182" s="226">
        <v>0</v>
      </c>
      <c r="P182" s="265">
        <f t="shared" si="27"/>
        <v>0</v>
      </c>
      <c r="Q182" s="271">
        <f t="shared" si="28"/>
        <v>0</v>
      </c>
    </row>
    <row r="183" spans="1:17" x14ac:dyDescent="0.2">
      <c r="A183" s="264" t="s">
        <v>555</v>
      </c>
      <c r="B183" s="202" t="s">
        <v>498</v>
      </c>
      <c r="C183" s="202" t="s">
        <v>592</v>
      </c>
      <c r="D183" s="202" t="s">
        <v>1224</v>
      </c>
      <c r="E183" s="202" t="s">
        <v>554</v>
      </c>
      <c r="F183" s="265">
        <v>26990.5</v>
      </c>
      <c r="G183" s="265">
        <v>0</v>
      </c>
      <c r="H183" s="265">
        <v>26990.5</v>
      </c>
      <c r="I183" s="265">
        <v>0</v>
      </c>
      <c r="J183" s="265">
        <f t="shared" si="25"/>
        <v>0</v>
      </c>
      <c r="K183" s="265">
        <f t="shared" si="26"/>
        <v>0</v>
      </c>
      <c r="L183" s="265">
        <v>26990.5</v>
      </c>
      <c r="M183" s="226">
        <v>0</v>
      </c>
      <c r="N183" s="265">
        <v>26990.5</v>
      </c>
      <c r="O183" s="226">
        <v>0</v>
      </c>
      <c r="P183" s="265">
        <f t="shared" si="27"/>
        <v>0</v>
      </c>
      <c r="Q183" s="271">
        <f t="shared" si="28"/>
        <v>0</v>
      </c>
    </row>
    <row r="184" spans="1:17" x14ac:dyDescent="0.2">
      <c r="A184" s="264" t="s">
        <v>1347</v>
      </c>
      <c r="B184" s="202" t="s">
        <v>498</v>
      </c>
      <c r="C184" s="202" t="s">
        <v>592</v>
      </c>
      <c r="D184" s="202" t="s">
        <v>1224</v>
      </c>
      <c r="E184" s="202" t="s">
        <v>535</v>
      </c>
      <c r="F184" s="265">
        <v>1854.2</v>
      </c>
      <c r="G184" s="265">
        <v>0</v>
      </c>
      <c r="H184" s="265">
        <v>1854.2</v>
      </c>
      <c r="I184" s="265">
        <v>0</v>
      </c>
      <c r="J184" s="265">
        <f t="shared" si="25"/>
        <v>0</v>
      </c>
      <c r="K184" s="265">
        <f t="shared" si="26"/>
        <v>0</v>
      </c>
      <c r="L184" s="265">
        <v>1854.2</v>
      </c>
      <c r="M184" s="226">
        <v>0</v>
      </c>
      <c r="N184" s="265">
        <v>1854.2</v>
      </c>
      <c r="O184" s="226">
        <v>0</v>
      </c>
      <c r="P184" s="265">
        <f t="shared" si="27"/>
        <v>0</v>
      </c>
      <c r="Q184" s="271">
        <f t="shared" si="28"/>
        <v>0</v>
      </c>
    </row>
    <row r="185" spans="1:17" x14ac:dyDescent="0.2">
      <c r="A185" s="264" t="s">
        <v>534</v>
      </c>
      <c r="B185" s="202" t="s">
        <v>498</v>
      </c>
      <c r="C185" s="202" t="s">
        <v>592</v>
      </c>
      <c r="D185" s="202" t="s">
        <v>1224</v>
      </c>
      <c r="E185" s="202" t="s">
        <v>529</v>
      </c>
      <c r="F185" s="265">
        <v>1854.2</v>
      </c>
      <c r="G185" s="265">
        <v>0</v>
      </c>
      <c r="H185" s="265">
        <v>1854.2</v>
      </c>
      <c r="I185" s="265">
        <v>0</v>
      </c>
      <c r="J185" s="265">
        <f t="shared" si="25"/>
        <v>0</v>
      </c>
      <c r="K185" s="265">
        <f t="shared" si="26"/>
        <v>0</v>
      </c>
      <c r="L185" s="265">
        <v>1854.2</v>
      </c>
      <c r="M185" s="226">
        <v>0</v>
      </c>
      <c r="N185" s="265">
        <v>1854.2</v>
      </c>
      <c r="O185" s="226">
        <v>0</v>
      </c>
      <c r="P185" s="265">
        <f t="shared" si="27"/>
        <v>0</v>
      </c>
      <c r="Q185" s="271">
        <f t="shared" si="28"/>
        <v>0</v>
      </c>
    </row>
    <row r="186" spans="1:17" ht="22.5" x14ac:dyDescent="0.2">
      <c r="A186" s="264" t="s">
        <v>588</v>
      </c>
      <c r="B186" s="202" t="s">
        <v>498</v>
      </c>
      <c r="C186" s="202" t="s">
        <v>592</v>
      </c>
      <c r="D186" s="202" t="s">
        <v>587</v>
      </c>
      <c r="E186" s="202"/>
      <c r="F186" s="265">
        <v>256</v>
      </c>
      <c r="G186" s="265">
        <v>6</v>
      </c>
      <c r="H186" s="265">
        <f>H187+H192</f>
        <v>256</v>
      </c>
      <c r="I186" s="265">
        <f>I187+I192</f>
        <v>6</v>
      </c>
      <c r="J186" s="265">
        <f t="shared" si="25"/>
        <v>0</v>
      </c>
      <c r="K186" s="265">
        <f t="shared" si="26"/>
        <v>0</v>
      </c>
      <c r="L186" s="265">
        <v>2000</v>
      </c>
      <c r="M186" s="226">
        <v>1750</v>
      </c>
      <c r="N186" s="265">
        <f>N187+N192</f>
        <v>2000</v>
      </c>
      <c r="O186" s="226">
        <f>O187+O192</f>
        <v>1750</v>
      </c>
      <c r="P186" s="265">
        <f t="shared" si="27"/>
        <v>0</v>
      </c>
      <c r="Q186" s="271">
        <f t="shared" si="28"/>
        <v>0</v>
      </c>
    </row>
    <row r="187" spans="1:17" ht="22.5" x14ac:dyDescent="0.2">
      <c r="A187" s="264" t="s">
        <v>807</v>
      </c>
      <c r="B187" s="202" t="s">
        <v>498</v>
      </c>
      <c r="C187" s="202" t="s">
        <v>592</v>
      </c>
      <c r="D187" s="202" t="s">
        <v>806</v>
      </c>
      <c r="E187" s="202"/>
      <c r="F187" s="265">
        <v>250</v>
      </c>
      <c r="G187" s="265">
        <v>0</v>
      </c>
      <c r="H187" s="265">
        <v>250</v>
      </c>
      <c r="I187" s="265">
        <v>0</v>
      </c>
      <c r="J187" s="265">
        <f t="shared" si="25"/>
        <v>0</v>
      </c>
      <c r="K187" s="265">
        <f t="shared" si="26"/>
        <v>0</v>
      </c>
      <c r="L187" s="265">
        <v>250</v>
      </c>
      <c r="M187" s="226">
        <v>0</v>
      </c>
      <c r="N187" s="265">
        <v>250</v>
      </c>
      <c r="O187" s="226">
        <v>0</v>
      </c>
      <c r="P187" s="265">
        <f t="shared" si="27"/>
        <v>0</v>
      </c>
      <c r="Q187" s="271">
        <f t="shared" si="28"/>
        <v>0</v>
      </c>
    </row>
    <row r="188" spans="1:17" x14ac:dyDescent="0.2">
      <c r="A188" s="264" t="s">
        <v>799</v>
      </c>
      <c r="B188" s="202" t="s">
        <v>498</v>
      </c>
      <c r="C188" s="202" t="s">
        <v>592</v>
      </c>
      <c r="D188" s="202" t="s">
        <v>798</v>
      </c>
      <c r="E188" s="202"/>
      <c r="F188" s="265">
        <v>250</v>
      </c>
      <c r="G188" s="265">
        <v>0</v>
      </c>
      <c r="H188" s="265">
        <v>250</v>
      </c>
      <c r="I188" s="265">
        <v>0</v>
      </c>
      <c r="J188" s="265">
        <f t="shared" si="25"/>
        <v>0</v>
      </c>
      <c r="K188" s="265">
        <f t="shared" si="26"/>
        <v>0</v>
      </c>
      <c r="L188" s="265">
        <v>250</v>
      </c>
      <c r="M188" s="226">
        <v>0</v>
      </c>
      <c r="N188" s="265">
        <v>250</v>
      </c>
      <c r="O188" s="226">
        <v>0</v>
      </c>
      <c r="P188" s="265">
        <f t="shared" si="27"/>
        <v>0</v>
      </c>
      <c r="Q188" s="271">
        <f t="shared" si="28"/>
        <v>0</v>
      </c>
    </row>
    <row r="189" spans="1:17" ht="33.75" x14ac:dyDescent="0.2">
      <c r="A189" s="264" t="s">
        <v>797</v>
      </c>
      <c r="B189" s="202" t="s">
        <v>498</v>
      </c>
      <c r="C189" s="202" t="s">
        <v>592</v>
      </c>
      <c r="D189" s="202" t="s">
        <v>796</v>
      </c>
      <c r="E189" s="202"/>
      <c r="F189" s="265">
        <v>250</v>
      </c>
      <c r="G189" s="265">
        <v>0</v>
      </c>
      <c r="H189" s="265">
        <v>250</v>
      </c>
      <c r="I189" s="265">
        <v>0</v>
      </c>
      <c r="J189" s="265">
        <f t="shared" si="25"/>
        <v>0</v>
      </c>
      <c r="K189" s="265">
        <f t="shared" si="26"/>
        <v>0</v>
      </c>
      <c r="L189" s="265">
        <v>250</v>
      </c>
      <c r="M189" s="226">
        <v>0</v>
      </c>
      <c r="N189" s="265">
        <v>250</v>
      </c>
      <c r="O189" s="226">
        <v>0</v>
      </c>
      <c r="P189" s="265">
        <f t="shared" si="27"/>
        <v>0</v>
      </c>
      <c r="Q189" s="271">
        <f t="shared" si="28"/>
        <v>0</v>
      </c>
    </row>
    <row r="190" spans="1:17" x14ac:dyDescent="0.2">
      <c r="A190" s="264" t="s">
        <v>1347</v>
      </c>
      <c r="B190" s="202" t="s">
        <v>498</v>
      </c>
      <c r="C190" s="202" t="s">
        <v>592</v>
      </c>
      <c r="D190" s="202" t="s">
        <v>796</v>
      </c>
      <c r="E190" s="202" t="s">
        <v>535</v>
      </c>
      <c r="F190" s="265">
        <v>250</v>
      </c>
      <c r="G190" s="265">
        <v>0</v>
      </c>
      <c r="H190" s="265">
        <v>250</v>
      </c>
      <c r="I190" s="265">
        <v>0</v>
      </c>
      <c r="J190" s="265">
        <f t="shared" si="25"/>
        <v>0</v>
      </c>
      <c r="K190" s="265">
        <f t="shared" si="26"/>
        <v>0</v>
      </c>
      <c r="L190" s="265">
        <v>250</v>
      </c>
      <c r="M190" s="226">
        <v>0</v>
      </c>
      <c r="N190" s="265">
        <v>250</v>
      </c>
      <c r="O190" s="226">
        <v>0</v>
      </c>
      <c r="P190" s="265">
        <f t="shared" si="27"/>
        <v>0</v>
      </c>
      <c r="Q190" s="271">
        <f t="shared" si="28"/>
        <v>0</v>
      </c>
    </row>
    <row r="191" spans="1:17" x14ac:dyDescent="0.2">
      <c r="A191" s="264" t="s">
        <v>534</v>
      </c>
      <c r="B191" s="202" t="s">
        <v>498</v>
      </c>
      <c r="C191" s="202" t="s">
        <v>592</v>
      </c>
      <c r="D191" s="202" t="s">
        <v>796</v>
      </c>
      <c r="E191" s="202" t="s">
        <v>529</v>
      </c>
      <c r="F191" s="265">
        <v>250</v>
      </c>
      <c r="G191" s="265">
        <v>0</v>
      </c>
      <c r="H191" s="265">
        <v>250</v>
      </c>
      <c r="I191" s="265">
        <v>0</v>
      </c>
      <c r="J191" s="265">
        <f t="shared" si="25"/>
        <v>0</v>
      </c>
      <c r="K191" s="265">
        <f t="shared" si="26"/>
        <v>0</v>
      </c>
      <c r="L191" s="265">
        <v>250</v>
      </c>
      <c r="M191" s="226">
        <v>0</v>
      </c>
      <c r="N191" s="265">
        <v>250</v>
      </c>
      <c r="O191" s="226">
        <v>0</v>
      </c>
      <c r="P191" s="265">
        <f t="shared" si="27"/>
        <v>0</v>
      </c>
      <c r="Q191" s="271">
        <f t="shared" si="28"/>
        <v>0</v>
      </c>
    </row>
    <row r="192" spans="1:17" s="285" customFormat="1" x14ac:dyDescent="0.2">
      <c r="A192" s="202" t="s">
        <v>602</v>
      </c>
      <c r="B192" s="202" t="s">
        <v>498</v>
      </c>
      <c r="C192" s="202" t="s">
        <v>592</v>
      </c>
      <c r="D192" s="202" t="s">
        <v>1211</v>
      </c>
      <c r="E192" s="202"/>
      <c r="F192" s="265">
        <v>6</v>
      </c>
      <c r="G192" s="265">
        <v>6</v>
      </c>
      <c r="H192" s="265">
        <f t="shared" ref="H192:I195" si="29">H193</f>
        <v>6</v>
      </c>
      <c r="I192" s="265">
        <f t="shared" si="29"/>
        <v>6</v>
      </c>
      <c r="J192" s="265">
        <f t="shared" ref="J192:J196" si="30">H192-F192</f>
        <v>0</v>
      </c>
      <c r="K192" s="265">
        <f t="shared" ref="K192:K196" si="31">I192-G192</f>
        <v>0</v>
      </c>
      <c r="L192" s="265">
        <v>1750</v>
      </c>
      <c r="M192" s="226">
        <v>1750</v>
      </c>
      <c r="N192" s="265">
        <f t="shared" ref="N192:O195" si="32">N193</f>
        <v>1750</v>
      </c>
      <c r="O192" s="226">
        <f t="shared" si="32"/>
        <v>1750</v>
      </c>
      <c r="P192" s="265">
        <f t="shared" ref="P192:P196" si="33">N192-L192</f>
        <v>0</v>
      </c>
      <c r="Q192" s="271">
        <f t="shared" ref="Q192:Q196" si="34">O192-M192</f>
        <v>0</v>
      </c>
    </row>
    <row r="193" spans="1:17" s="285" customFormat="1" ht="22.5" x14ac:dyDescent="0.2">
      <c r="A193" s="202" t="s">
        <v>1210</v>
      </c>
      <c r="B193" s="202" t="s">
        <v>498</v>
      </c>
      <c r="C193" s="202" t="s">
        <v>592</v>
      </c>
      <c r="D193" s="202" t="s">
        <v>1209</v>
      </c>
      <c r="E193" s="202"/>
      <c r="F193" s="265">
        <v>6</v>
      </c>
      <c r="G193" s="265">
        <v>6</v>
      </c>
      <c r="H193" s="265">
        <f t="shared" si="29"/>
        <v>6</v>
      </c>
      <c r="I193" s="265">
        <f t="shared" si="29"/>
        <v>6</v>
      </c>
      <c r="J193" s="265">
        <f t="shared" si="30"/>
        <v>0</v>
      </c>
      <c r="K193" s="265">
        <f t="shared" si="31"/>
        <v>0</v>
      </c>
      <c r="L193" s="265">
        <v>1750</v>
      </c>
      <c r="M193" s="226">
        <v>1750</v>
      </c>
      <c r="N193" s="265">
        <f t="shared" si="32"/>
        <v>1750</v>
      </c>
      <c r="O193" s="226">
        <f t="shared" si="32"/>
        <v>1750</v>
      </c>
      <c r="P193" s="265">
        <f t="shared" si="33"/>
        <v>0</v>
      </c>
      <c r="Q193" s="271">
        <f t="shared" si="34"/>
        <v>0</v>
      </c>
    </row>
    <row r="194" spans="1:17" s="285" customFormat="1" ht="22.5" x14ac:dyDescent="0.2">
      <c r="A194" s="202" t="s">
        <v>1208</v>
      </c>
      <c r="B194" s="202" t="s">
        <v>498</v>
      </c>
      <c r="C194" s="202" t="s">
        <v>592</v>
      </c>
      <c r="D194" s="202" t="s">
        <v>1207</v>
      </c>
      <c r="E194" s="202"/>
      <c r="F194" s="265">
        <v>6</v>
      </c>
      <c r="G194" s="265">
        <v>6</v>
      </c>
      <c r="H194" s="265">
        <f t="shared" si="29"/>
        <v>6</v>
      </c>
      <c r="I194" s="265">
        <f t="shared" si="29"/>
        <v>6</v>
      </c>
      <c r="J194" s="265">
        <f t="shared" si="30"/>
        <v>0</v>
      </c>
      <c r="K194" s="265">
        <f t="shared" si="31"/>
        <v>0</v>
      </c>
      <c r="L194" s="265">
        <v>1750</v>
      </c>
      <c r="M194" s="226">
        <v>1750</v>
      </c>
      <c r="N194" s="265">
        <f t="shared" si="32"/>
        <v>1750</v>
      </c>
      <c r="O194" s="226">
        <f t="shared" si="32"/>
        <v>1750</v>
      </c>
      <c r="P194" s="265">
        <f t="shared" si="33"/>
        <v>0</v>
      </c>
      <c r="Q194" s="271">
        <f t="shared" si="34"/>
        <v>0</v>
      </c>
    </row>
    <row r="195" spans="1:17" s="285" customFormat="1" x14ac:dyDescent="0.2">
      <c r="A195" s="202" t="s">
        <v>1347</v>
      </c>
      <c r="B195" s="202" t="s">
        <v>498</v>
      </c>
      <c r="C195" s="202" t="s">
        <v>592</v>
      </c>
      <c r="D195" s="202" t="s">
        <v>1207</v>
      </c>
      <c r="E195" s="202" t="s">
        <v>535</v>
      </c>
      <c r="F195" s="265">
        <v>6</v>
      </c>
      <c r="G195" s="265">
        <v>6</v>
      </c>
      <c r="H195" s="265">
        <f t="shared" si="29"/>
        <v>6</v>
      </c>
      <c r="I195" s="265">
        <f t="shared" si="29"/>
        <v>6</v>
      </c>
      <c r="J195" s="265">
        <f t="shared" si="30"/>
        <v>0</v>
      </c>
      <c r="K195" s="265">
        <f t="shared" si="31"/>
        <v>0</v>
      </c>
      <c r="L195" s="265">
        <v>1750</v>
      </c>
      <c r="M195" s="226">
        <v>1750</v>
      </c>
      <c r="N195" s="265">
        <f t="shared" si="32"/>
        <v>1750</v>
      </c>
      <c r="O195" s="226">
        <f t="shared" si="32"/>
        <v>1750</v>
      </c>
      <c r="P195" s="265">
        <f t="shared" si="33"/>
        <v>0</v>
      </c>
      <c r="Q195" s="271">
        <f t="shared" si="34"/>
        <v>0</v>
      </c>
    </row>
    <row r="196" spans="1:17" s="285" customFormat="1" x14ac:dyDescent="0.2">
      <c r="A196" s="202" t="s">
        <v>534</v>
      </c>
      <c r="B196" s="202" t="s">
        <v>498</v>
      </c>
      <c r="C196" s="202" t="s">
        <v>592</v>
      </c>
      <c r="D196" s="202" t="s">
        <v>1207</v>
      </c>
      <c r="E196" s="202" t="s">
        <v>529</v>
      </c>
      <c r="F196" s="265">
        <v>6</v>
      </c>
      <c r="G196" s="265">
        <v>6</v>
      </c>
      <c r="H196" s="265">
        <f>'Ведомственная 2021-2022'!H157</f>
        <v>6</v>
      </c>
      <c r="I196" s="265">
        <f>H196</f>
        <v>6</v>
      </c>
      <c r="J196" s="265">
        <f t="shared" si="30"/>
        <v>0</v>
      </c>
      <c r="K196" s="265">
        <f t="shared" si="31"/>
        <v>0</v>
      </c>
      <c r="L196" s="265">
        <v>1750</v>
      </c>
      <c r="M196" s="226">
        <v>1750</v>
      </c>
      <c r="N196" s="265">
        <f>'Ведомственная 2021-2022'!K157</f>
        <v>1750</v>
      </c>
      <c r="O196" s="226">
        <f>N196</f>
        <v>1750</v>
      </c>
      <c r="P196" s="265">
        <f t="shared" si="33"/>
        <v>0</v>
      </c>
      <c r="Q196" s="271">
        <f t="shared" si="34"/>
        <v>0</v>
      </c>
    </row>
    <row r="197" spans="1:17" x14ac:dyDescent="0.2">
      <c r="A197" s="264" t="s">
        <v>742</v>
      </c>
      <c r="B197" s="202" t="s">
        <v>498</v>
      </c>
      <c r="C197" s="202" t="s">
        <v>592</v>
      </c>
      <c r="D197" s="202" t="s">
        <v>741</v>
      </c>
      <c r="E197" s="202"/>
      <c r="F197" s="265">
        <v>206413.2</v>
      </c>
      <c r="G197" s="265">
        <v>0</v>
      </c>
      <c r="H197" s="265">
        <v>206413.2</v>
      </c>
      <c r="I197" s="265">
        <v>0</v>
      </c>
      <c r="J197" s="265">
        <f t="shared" si="25"/>
        <v>0</v>
      </c>
      <c r="K197" s="265">
        <f t="shared" si="26"/>
        <v>0</v>
      </c>
      <c r="L197" s="265">
        <v>206413.2</v>
      </c>
      <c r="M197" s="226">
        <v>0</v>
      </c>
      <c r="N197" s="265">
        <v>206413.2</v>
      </c>
      <c r="O197" s="226">
        <v>0</v>
      </c>
      <c r="P197" s="265">
        <f t="shared" si="27"/>
        <v>0</v>
      </c>
      <c r="Q197" s="271">
        <f t="shared" si="28"/>
        <v>0</v>
      </c>
    </row>
    <row r="198" spans="1:17" ht="33.75" x14ac:dyDescent="0.2">
      <c r="A198" s="264" t="s">
        <v>1219</v>
      </c>
      <c r="B198" s="202" t="s">
        <v>498</v>
      </c>
      <c r="C198" s="202" t="s">
        <v>592</v>
      </c>
      <c r="D198" s="202" t="s">
        <v>1218</v>
      </c>
      <c r="E198" s="202"/>
      <c r="F198" s="265">
        <v>206413.2</v>
      </c>
      <c r="G198" s="265">
        <v>0</v>
      </c>
      <c r="H198" s="265">
        <v>206413.2</v>
      </c>
      <c r="I198" s="265">
        <v>0</v>
      </c>
      <c r="J198" s="265">
        <f t="shared" si="25"/>
        <v>0</v>
      </c>
      <c r="K198" s="265">
        <f t="shared" si="26"/>
        <v>0</v>
      </c>
      <c r="L198" s="265">
        <v>206413.2</v>
      </c>
      <c r="M198" s="226">
        <v>0</v>
      </c>
      <c r="N198" s="265">
        <v>206413.2</v>
      </c>
      <c r="O198" s="226">
        <v>0</v>
      </c>
      <c r="P198" s="265">
        <f t="shared" si="27"/>
        <v>0</v>
      </c>
      <c r="Q198" s="271">
        <f t="shared" si="28"/>
        <v>0</v>
      </c>
    </row>
    <row r="199" spans="1:17" ht="22.5" x14ac:dyDescent="0.2">
      <c r="A199" s="264" t="s">
        <v>1217</v>
      </c>
      <c r="B199" s="202" t="s">
        <v>498</v>
      </c>
      <c r="C199" s="202" t="s">
        <v>592</v>
      </c>
      <c r="D199" s="202" t="s">
        <v>1216</v>
      </c>
      <c r="E199" s="202"/>
      <c r="F199" s="265">
        <v>206413.2</v>
      </c>
      <c r="G199" s="265">
        <v>0</v>
      </c>
      <c r="H199" s="265">
        <v>206413.2</v>
      </c>
      <c r="I199" s="265">
        <v>0</v>
      </c>
      <c r="J199" s="265">
        <f t="shared" si="25"/>
        <v>0</v>
      </c>
      <c r="K199" s="265">
        <f t="shared" si="26"/>
        <v>0</v>
      </c>
      <c r="L199" s="265">
        <v>206413.2</v>
      </c>
      <c r="M199" s="226">
        <v>0</v>
      </c>
      <c r="N199" s="265">
        <v>206413.2</v>
      </c>
      <c r="O199" s="226">
        <v>0</v>
      </c>
      <c r="P199" s="265">
        <f t="shared" si="27"/>
        <v>0</v>
      </c>
      <c r="Q199" s="271">
        <f t="shared" si="28"/>
        <v>0</v>
      </c>
    </row>
    <row r="200" spans="1:17" ht="45" x14ac:dyDescent="0.2">
      <c r="A200" s="264" t="s">
        <v>1215</v>
      </c>
      <c r="B200" s="202" t="s">
        <v>498</v>
      </c>
      <c r="C200" s="202" t="s">
        <v>592</v>
      </c>
      <c r="D200" s="202" t="s">
        <v>1214</v>
      </c>
      <c r="E200" s="202"/>
      <c r="F200" s="265">
        <v>206413.2</v>
      </c>
      <c r="G200" s="265">
        <v>0</v>
      </c>
      <c r="H200" s="265">
        <v>206413.2</v>
      </c>
      <c r="I200" s="265">
        <v>0</v>
      </c>
      <c r="J200" s="265">
        <f t="shared" si="25"/>
        <v>0</v>
      </c>
      <c r="K200" s="265">
        <f t="shared" si="26"/>
        <v>0</v>
      </c>
      <c r="L200" s="265">
        <v>206413.2</v>
      </c>
      <c r="M200" s="226">
        <v>0</v>
      </c>
      <c r="N200" s="265">
        <v>206413.2</v>
      </c>
      <c r="O200" s="226">
        <v>0</v>
      </c>
      <c r="P200" s="265">
        <f t="shared" si="27"/>
        <v>0</v>
      </c>
      <c r="Q200" s="271">
        <f t="shared" si="28"/>
        <v>0</v>
      </c>
    </row>
    <row r="201" spans="1:17" x14ac:dyDescent="0.2">
      <c r="A201" s="264" t="s">
        <v>547</v>
      </c>
      <c r="B201" s="202" t="s">
        <v>498</v>
      </c>
      <c r="C201" s="202" t="s">
        <v>592</v>
      </c>
      <c r="D201" s="202" t="s">
        <v>1214</v>
      </c>
      <c r="E201" s="202" t="s">
        <v>519</v>
      </c>
      <c r="F201" s="265">
        <v>206413.2</v>
      </c>
      <c r="G201" s="265">
        <v>0</v>
      </c>
      <c r="H201" s="265">
        <v>206413.2</v>
      </c>
      <c r="I201" s="265">
        <v>0</v>
      </c>
      <c r="J201" s="265">
        <f t="shared" si="25"/>
        <v>0</v>
      </c>
      <c r="K201" s="265">
        <f t="shared" si="26"/>
        <v>0</v>
      </c>
      <c r="L201" s="265">
        <v>206413.2</v>
      </c>
      <c r="M201" s="226">
        <v>0</v>
      </c>
      <c r="N201" s="265">
        <v>206413.2</v>
      </c>
      <c r="O201" s="226">
        <v>0</v>
      </c>
      <c r="P201" s="265">
        <f t="shared" si="27"/>
        <v>0</v>
      </c>
      <c r="Q201" s="271">
        <f t="shared" si="28"/>
        <v>0</v>
      </c>
    </row>
    <row r="202" spans="1:17" x14ac:dyDescent="0.2">
      <c r="A202" s="264" t="s">
        <v>571</v>
      </c>
      <c r="B202" s="202" t="s">
        <v>498</v>
      </c>
      <c r="C202" s="202" t="s">
        <v>592</v>
      </c>
      <c r="D202" s="202" t="s">
        <v>1214</v>
      </c>
      <c r="E202" s="202" t="s">
        <v>522</v>
      </c>
      <c r="F202" s="265">
        <v>206413.2</v>
      </c>
      <c r="G202" s="265">
        <v>0</v>
      </c>
      <c r="H202" s="265">
        <v>206413.2</v>
      </c>
      <c r="I202" s="265">
        <v>0</v>
      </c>
      <c r="J202" s="265">
        <f t="shared" si="25"/>
        <v>0</v>
      </c>
      <c r="K202" s="265">
        <f t="shared" si="26"/>
        <v>0</v>
      </c>
      <c r="L202" s="265">
        <v>206413.2</v>
      </c>
      <c r="M202" s="226">
        <v>0</v>
      </c>
      <c r="N202" s="265">
        <v>206413.2</v>
      </c>
      <c r="O202" s="226">
        <v>0</v>
      </c>
      <c r="P202" s="265">
        <f t="shared" si="27"/>
        <v>0</v>
      </c>
      <c r="Q202" s="271">
        <f t="shared" si="28"/>
        <v>0</v>
      </c>
    </row>
    <row r="203" spans="1:17" s="304" customFormat="1" x14ac:dyDescent="0.2">
      <c r="A203" s="202" t="s">
        <v>994</v>
      </c>
      <c r="B203" s="202" t="s">
        <v>498</v>
      </c>
      <c r="C203" s="202" t="s">
        <v>592</v>
      </c>
      <c r="D203" s="202" t="s">
        <v>993</v>
      </c>
      <c r="E203" s="202"/>
      <c r="F203" s="265">
        <v>1000</v>
      </c>
      <c r="G203" s="265">
        <v>0</v>
      </c>
      <c r="H203" s="265">
        <f t="shared" ref="H203:I207" si="35">H204</f>
        <v>1000</v>
      </c>
      <c r="I203" s="265">
        <f t="shared" si="35"/>
        <v>0</v>
      </c>
      <c r="J203" s="265">
        <f t="shared" ref="J203:J208" si="36">H203-F203</f>
        <v>0</v>
      </c>
      <c r="K203" s="265">
        <f t="shared" ref="K203:K208" si="37">I203-G203</f>
        <v>0</v>
      </c>
      <c r="L203" s="265">
        <v>1000</v>
      </c>
      <c r="M203" s="226">
        <v>0</v>
      </c>
      <c r="N203" s="265">
        <f t="shared" ref="N203:O207" si="38">N204</f>
        <v>1000</v>
      </c>
      <c r="O203" s="226">
        <f t="shared" si="38"/>
        <v>0</v>
      </c>
      <c r="P203" s="265">
        <f t="shared" ref="P203:P208" si="39">N203-L203</f>
        <v>0</v>
      </c>
      <c r="Q203" s="271">
        <f t="shared" ref="Q203:Q208" si="40">O203-M203</f>
        <v>0</v>
      </c>
    </row>
    <row r="204" spans="1:17" s="304" customFormat="1" x14ac:dyDescent="0.2">
      <c r="A204" s="202" t="s">
        <v>602</v>
      </c>
      <c r="B204" s="202" t="s">
        <v>498</v>
      </c>
      <c r="C204" s="202" t="s">
        <v>592</v>
      </c>
      <c r="D204" s="202" t="s">
        <v>1422</v>
      </c>
      <c r="E204" s="202"/>
      <c r="F204" s="265">
        <v>1000</v>
      </c>
      <c r="G204" s="265">
        <v>0</v>
      </c>
      <c r="H204" s="265">
        <f t="shared" si="35"/>
        <v>1000</v>
      </c>
      <c r="I204" s="265">
        <f t="shared" si="35"/>
        <v>0</v>
      </c>
      <c r="J204" s="265">
        <f t="shared" si="36"/>
        <v>0</v>
      </c>
      <c r="K204" s="265">
        <f t="shared" si="37"/>
        <v>0</v>
      </c>
      <c r="L204" s="265">
        <v>1000</v>
      </c>
      <c r="M204" s="226">
        <v>0</v>
      </c>
      <c r="N204" s="265">
        <f t="shared" si="38"/>
        <v>1000</v>
      </c>
      <c r="O204" s="226">
        <f t="shared" si="38"/>
        <v>0</v>
      </c>
      <c r="P204" s="265">
        <f t="shared" si="39"/>
        <v>0</v>
      </c>
      <c r="Q204" s="271">
        <f t="shared" si="40"/>
        <v>0</v>
      </c>
    </row>
    <row r="205" spans="1:17" s="304" customFormat="1" ht="22.5" x14ac:dyDescent="0.2">
      <c r="A205" s="202" t="s">
        <v>600</v>
      </c>
      <c r="B205" s="202" t="s">
        <v>498</v>
      </c>
      <c r="C205" s="202" t="s">
        <v>592</v>
      </c>
      <c r="D205" s="202" t="s">
        <v>1423</v>
      </c>
      <c r="E205" s="202"/>
      <c r="F205" s="265">
        <v>1000</v>
      </c>
      <c r="G205" s="265">
        <v>0</v>
      </c>
      <c r="H205" s="265">
        <f t="shared" si="35"/>
        <v>1000</v>
      </c>
      <c r="I205" s="265">
        <f t="shared" si="35"/>
        <v>0</v>
      </c>
      <c r="J205" s="265">
        <f t="shared" si="36"/>
        <v>0</v>
      </c>
      <c r="K205" s="265">
        <f t="shared" si="37"/>
        <v>0</v>
      </c>
      <c r="L205" s="265">
        <v>1000</v>
      </c>
      <c r="M205" s="226">
        <v>0</v>
      </c>
      <c r="N205" s="265">
        <f t="shared" si="38"/>
        <v>1000</v>
      </c>
      <c r="O205" s="226">
        <f t="shared" si="38"/>
        <v>0</v>
      </c>
      <c r="P205" s="265">
        <f t="shared" si="39"/>
        <v>0</v>
      </c>
      <c r="Q205" s="271">
        <f t="shared" si="40"/>
        <v>0</v>
      </c>
    </row>
    <row r="206" spans="1:17" s="304" customFormat="1" ht="22.5" x14ac:dyDescent="0.2">
      <c r="A206" s="202" t="s">
        <v>1421</v>
      </c>
      <c r="B206" s="202" t="s">
        <v>498</v>
      </c>
      <c r="C206" s="202" t="s">
        <v>592</v>
      </c>
      <c r="D206" s="202" t="s">
        <v>1424</v>
      </c>
      <c r="E206" s="202"/>
      <c r="F206" s="265">
        <v>1000</v>
      </c>
      <c r="G206" s="265">
        <v>0</v>
      </c>
      <c r="H206" s="265">
        <f t="shared" si="35"/>
        <v>1000</v>
      </c>
      <c r="I206" s="265">
        <f t="shared" si="35"/>
        <v>0</v>
      </c>
      <c r="J206" s="265">
        <f t="shared" si="36"/>
        <v>0</v>
      </c>
      <c r="K206" s="265">
        <f t="shared" si="37"/>
        <v>0</v>
      </c>
      <c r="L206" s="265">
        <v>1000</v>
      </c>
      <c r="M206" s="226">
        <v>0</v>
      </c>
      <c r="N206" s="265">
        <f t="shared" si="38"/>
        <v>1000</v>
      </c>
      <c r="O206" s="226">
        <f t="shared" si="38"/>
        <v>0</v>
      </c>
      <c r="P206" s="265">
        <f t="shared" si="39"/>
        <v>0</v>
      </c>
      <c r="Q206" s="271">
        <f t="shared" si="40"/>
        <v>0</v>
      </c>
    </row>
    <row r="207" spans="1:17" s="304" customFormat="1" x14ac:dyDescent="0.2">
      <c r="A207" s="202" t="s">
        <v>547</v>
      </c>
      <c r="B207" s="202" t="s">
        <v>498</v>
      </c>
      <c r="C207" s="202" t="s">
        <v>592</v>
      </c>
      <c r="D207" s="202" t="s">
        <v>1424</v>
      </c>
      <c r="E207" s="202">
        <v>600</v>
      </c>
      <c r="F207" s="265">
        <v>1000</v>
      </c>
      <c r="G207" s="265">
        <v>0</v>
      </c>
      <c r="H207" s="265">
        <f t="shared" si="35"/>
        <v>1000</v>
      </c>
      <c r="I207" s="265">
        <f t="shared" si="35"/>
        <v>0</v>
      </c>
      <c r="J207" s="265">
        <f t="shared" si="36"/>
        <v>0</v>
      </c>
      <c r="K207" s="265">
        <f t="shared" si="37"/>
        <v>0</v>
      </c>
      <c r="L207" s="265">
        <v>1000</v>
      </c>
      <c r="M207" s="226">
        <v>0</v>
      </c>
      <c r="N207" s="265">
        <f t="shared" si="38"/>
        <v>1000</v>
      </c>
      <c r="O207" s="226">
        <f t="shared" si="38"/>
        <v>0</v>
      </c>
      <c r="P207" s="265">
        <f t="shared" si="39"/>
        <v>0</v>
      </c>
      <c r="Q207" s="271">
        <f t="shared" si="40"/>
        <v>0</v>
      </c>
    </row>
    <row r="208" spans="1:17" s="304" customFormat="1" x14ac:dyDescent="0.2">
      <c r="A208" s="202" t="s">
        <v>571</v>
      </c>
      <c r="B208" s="202" t="s">
        <v>498</v>
      </c>
      <c r="C208" s="202" t="s">
        <v>592</v>
      </c>
      <c r="D208" s="202" t="s">
        <v>1424</v>
      </c>
      <c r="E208" s="202">
        <v>610</v>
      </c>
      <c r="F208" s="265">
        <v>1000</v>
      </c>
      <c r="G208" s="265">
        <v>0</v>
      </c>
      <c r="H208" s="265">
        <f>'Ведомственная 2021-2022'!H169</f>
        <v>1000</v>
      </c>
      <c r="I208" s="265">
        <v>0</v>
      </c>
      <c r="J208" s="265">
        <f t="shared" si="36"/>
        <v>0</v>
      </c>
      <c r="K208" s="265">
        <f t="shared" si="37"/>
        <v>0</v>
      </c>
      <c r="L208" s="265">
        <v>1000</v>
      </c>
      <c r="M208" s="226">
        <v>0</v>
      </c>
      <c r="N208" s="265">
        <f>'Ведомственная 2021-2022'!K169</f>
        <v>1000</v>
      </c>
      <c r="O208" s="226">
        <v>0</v>
      </c>
      <c r="P208" s="265">
        <f t="shared" si="39"/>
        <v>0</v>
      </c>
      <c r="Q208" s="271">
        <f t="shared" si="40"/>
        <v>0</v>
      </c>
    </row>
    <row r="209" spans="1:17" x14ac:dyDescent="0.2">
      <c r="A209" s="264" t="s">
        <v>595</v>
      </c>
      <c r="B209" s="202" t="s">
        <v>498</v>
      </c>
      <c r="C209" s="202" t="s">
        <v>592</v>
      </c>
      <c r="D209" s="202" t="s">
        <v>594</v>
      </c>
      <c r="E209" s="202"/>
      <c r="F209" s="265">
        <v>721.7</v>
      </c>
      <c r="G209" s="265">
        <v>0</v>
      </c>
      <c r="H209" s="265">
        <v>721.7</v>
      </c>
      <c r="I209" s="265">
        <v>0</v>
      </c>
      <c r="J209" s="265">
        <f t="shared" si="25"/>
        <v>0</v>
      </c>
      <c r="K209" s="265">
        <f t="shared" si="26"/>
        <v>0</v>
      </c>
      <c r="L209" s="265">
        <v>9227.7000000000007</v>
      </c>
      <c r="M209" s="226">
        <v>0</v>
      </c>
      <c r="N209" s="265">
        <v>9227.7000000000007</v>
      </c>
      <c r="O209" s="226">
        <v>0</v>
      </c>
      <c r="P209" s="265">
        <f t="shared" si="27"/>
        <v>0</v>
      </c>
      <c r="Q209" s="271">
        <f t="shared" si="28"/>
        <v>0</v>
      </c>
    </row>
    <row r="210" spans="1:17" x14ac:dyDescent="0.2">
      <c r="A210" s="264" t="s">
        <v>871</v>
      </c>
      <c r="B210" s="202" t="s">
        <v>498</v>
      </c>
      <c r="C210" s="202" t="s">
        <v>592</v>
      </c>
      <c r="D210" s="202" t="s">
        <v>870</v>
      </c>
      <c r="E210" s="202"/>
      <c r="F210" s="265">
        <v>715.7</v>
      </c>
      <c r="G210" s="265">
        <v>0</v>
      </c>
      <c r="H210" s="265">
        <v>715.7</v>
      </c>
      <c r="I210" s="265">
        <v>0</v>
      </c>
      <c r="J210" s="265">
        <f t="shared" si="25"/>
        <v>0</v>
      </c>
      <c r="K210" s="265">
        <f t="shared" si="26"/>
        <v>0</v>
      </c>
      <c r="L210" s="265">
        <v>715.7</v>
      </c>
      <c r="M210" s="226">
        <v>0</v>
      </c>
      <c r="N210" s="265">
        <v>715.7</v>
      </c>
      <c r="O210" s="226">
        <v>0</v>
      </c>
      <c r="P210" s="265">
        <f t="shared" si="27"/>
        <v>0</v>
      </c>
      <c r="Q210" s="271">
        <f t="shared" si="28"/>
        <v>0</v>
      </c>
    </row>
    <row r="211" spans="1:17" x14ac:dyDescent="0.2">
      <c r="A211" s="264" t="s">
        <v>615</v>
      </c>
      <c r="B211" s="202" t="s">
        <v>498</v>
      </c>
      <c r="C211" s="202" t="s">
        <v>592</v>
      </c>
      <c r="D211" s="202" t="s">
        <v>870</v>
      </c>
      <c r="E211" s="202" t="s">
        <v>509</v>
      </c>
      <c r="F211" s="265">
        <v>715.7</v>
      </c>
      <c r="G211" s="265">
        <v>0</v>
      </c>
      <c r="H211" s="265">
        <v>715.7</v>
      </c>
      <c r="I211" s="265">
        <v>0</v>
      </c>
      <c r="J211" s="265">
        <f t="shared" si="25"/>
        <v>0</v>
      </c>
      <c r="K211" s="265">
        <f t="shared" si="26"/>
        <v>0</v>
      </c>
      <c r="L211" s="265">
        <v>715.7</v>
      </c>
      <c r="M211" s="226">
        <v>0</v>
      </c>
      <c r="N211" s="265">
        <v>715.7</v>
      </c>
      <c r="O211" s="226">
        <v>0</v>
      </c>
      <c r="P211" s="265">
        <f t="shared" si="27"/>
        <v>0</v>
      </c>
      <c r="Q211" s="271">
        <f t="shared" si="28"/>
        <v>0</v>
      </c>
    </row>
    <row r="212" spans="1:17" x14ac:dyDescent="0.2">
      <c r="A212" s="264" t="s">
        <v>752</v>
      </c>
      <c r="B212" s="202" t="s">
        <v>498</v>
      </c>
      <c r="C212" s="202" t="s">
        <v>592</v>
      </c>
      <c r="D212" s="202" t="s">
        <v>870</v>
      </c>
      <c r="E212" s="202" t="s">
        <v>750</v>
      </c>
      <c r="F212" s="265">
        <v>715.7</v>
      </c>
      <c r="G212" s="265">
        <v>0</v>
      </c>
      <c r="H212" s="265">
        <v>715.7</v>
      </c>
      <c r="I212" s="265">
        <v>0</v>
      </c>
      <c r="J212" s="265">
        <f t="shared" si="25"/>
        <v>0</v>
      </c>
      <c r="K212" s="265">
        <f t="shared" si="26"/>
        <v>0</v>
      </c>
      <c r="L212" s="265">
        <v>715.7</v>
      </c>
      <c r="M212" s="226">
        <v>0</v>
      </c>
      <c r="N212" s="265">
        <v>715.7</v>
      </c>
      <c r="O212" s="226">
        <v>0</v>
      </c>
      <c r="P212" s="265">
        <f t="shared" si="27"/>
        <v>0</v>
      </c>
      <c r="Q212" s="271">
        <f t="shared" si="28"/>
        <v>0</v>
      </c>
    </row>
    <row r="213" spans="1:17" ht="22.5" x14ac:dyDescent="0.2">
      <c r="A213" s="264" t="s">
        <v>593</v>
      </c>
      <c r="B213" s="202" t="s">
        <v>498</v>
      </c>
      <c r="C213" s="202" t="s">
        <v>592</v>
      </c>
      <c r="D213" s="202" t="s">
        <v>591</v>
      </c>
      <c r="E213" s="202"/>
      <c r="F213" s="265">
        <v>6</v>
      </c>
      <c r="G213" s="265">
        <v>0</v>
      </c>
      <c r="H213" s="265">
        <v>6</v>
      </c>
      <c r="I213" s="265">
        <v>0</v>
      </c>
      <c r="J213" s="265">
        <f t="shared" si="25"/>
        <v>0</v>
      </c>
      <c r="K213" s="265">
        <f t="shared" si="26"/>
        <v>0</v>
      </c>
      <c r="L213" s="265">
        <v>8512</v>
      </c>
      <c r="M213" s="226">
        <v>0</v>
      </c>
      <c r="N213" s="265">
        <v>8512</v>
      </c>
      <c r="O213" s="226">
        <v>0</v>
      </c>
      <c r="P213" s="265">
        <f t="shared" si="27"/>
        <v>0</v>
      </c>
      <c r="Q213" s="271">
        <f t="shared" si="28"/>
        <v>0</v>
      </c>
    </row>
    <row r="214" spans="1:17" x14ac:dyDescent="0.2">
      <c r="A214" s="264" t="s">
        <v>1347</v>
      </c>
      <c r="B214" s="202" t="s">
        <v>498</v>
      </c>
      <c r="C214" s="202" t="s">
        <v>592</v>
      </c>
      <c r="D214" s="202" t="s">
        <v>591</v>
      </c>
      <c r="E214" s="202" t="s">
        <v>535</v>
      </c>
      <c r="F214" s="265">
        <v>6</v>
      </c>
      <c r="G214" s="265">
        <v>0</v>
      </c>
      <c r="H214" s="265">
        <v>6</v>
      </c>
      <c r="I214" s="265">
        <v>0</v>
      </c>
      <c r="J214" s="265">
        <f t="shared" si="25"/>
        <v>0</v>
      </c>
      <c r="K214" s="265">
        <f t="shared" si="26"/>
        <v>0</v>
      </c>
      <c r="L214" s="265">
        <v>8512</v>
      </c>
      <c r="M214" s="226">
        <v>0</v>
      </c>
      <c r="N214" s="265">
        <v>8512</v>
      </c>
      <c r="O214" s="226">
        <v>0</v>
      </c>
      <c r="P214" s="265">
        <f t="shared" si="27"/>
        <v>0</v>
      </c>
      <c r="Q214" s="271">
        <f t="shared" si="28"/>
        <v>0</v>
      </c>
    </row>
    <row r="215" spans="1:17" x14ac:dyDescent="0.2">
      <c r="A215" s="264" t="s">
        <v>534</v>
      </c>
      <c r="B215" s="202" t="s">
        <v>498</v>
      </c>
      <c r="C215" s="202" t="s">
        <v>592</v>
      </c>
      <c r="D215" s="202" t="s">
        <v>591</v>
      </c>
      <c r="E215" s="202" t="s">
        <v>529</v>
      </c>
      <c r="F215" s="265">
        <v>6</v>
      </c>
      <c r="G215" s="265">
        <v>0</v>
      </c>
      <c r="H215" s="265">
        <v>6</v>
      </c>
      <c r="I215" s="265">
        <v>0</v>
      </c>
      <c r="J215" s="265">
        <f t="shared" si="25"/>
        <v>0</v>
      </c>
      <c r="K215" s="265">
        <f t="shared" si="26"/>
        <v>0</v>
      </c>
      <c r="L215" s="265">
        <v>8512</v>
      </c>
      <c r="M215" s="226">
        <v>0</v>
      </c>
      <c r="N215" s="265">
        <v>8512</v>
      </c>
      <c r="O215" s="226">
        <v>0</v>
      </c>
      <c r="P215" s="265">
        <f t="shared" si="27"/>
        <v>0</v>
      </c>
      <c r="Q215" s="271">
        <f t="shared" si="28"/>
        <v>0</v>
      </c>
    </row>
    <row r="216" spans="1:17" s="97" customFormat="1" x14ac:dyDescent="0.2">
      <c r="A216" s="262" t="s">
        <v>1206</v>
      </c>
      <c r="B216" s="199" t="s">
        <v>531</v>
      </c>
      <c r="C216" s="199"/>
      <c r="D216" s="199"/>
      <c r="E216" s="199"/>
      <c r="F216" s="263">
        <v>90133.9</v>
      </c>
      <c r="G216" s="263">
        <v>0</v>
      </c>
      <c r="H216" s="263">
        <v>90133.9</v>
      </c>
      <c r="I216" s="263">
        <v>0</v>
      </c>
      <c r="J216" s="263">
        <f t="shared" si="25"/>
        <v>0</v>
      </c>
      <c r="K216" s="263">
        <f t="shared" si="26"/>
        <v>0</v>
      </c>
      <c r="L216" s="263">
        <v>90133.9</v>
      </c>
      <c r="M216" s="205">
        <v>0</v>
      </c>
      <c r="N216" s="263">
        <v>90133.9</v>
      </c>
      <c r="O216" s="205">
        <v>0</v>
      </c>
      <c r="P216" s="263">
        <f t="shared" si="27"/>
        <v>0</v>
      </c>
      <c r="Q216" s="272">
        <f t="shared" si="28"/>
        <v>0</v>
      </c>
    </row>
    <row r="217" spans="1:17" ht="22.5" x14ac:dyDescent="0.2">
      <c r="A217" s="264" t="s">
        <v>1205</v>
      </c>
      <c r="B217" s="202" t="s">
        <v>531</v>
      </c>
      <c r="C217" s="202" t="s">
        <v>670</v>
      </c>
      <c r="D217" s="202"/>
      <c r="E217" s="202"/>
      <c r="F217" s="265">
        <v>43681.4</v>
      </c>
      <c r="G217" s="265">
        <v>0</v>
      </c>
      <c r="H217" s="265">
        <v>43681.4</v>
      </c>
      <c r="I217" s="265">
        <v>0</v>
      </c>
      <c r="J217" s="265">
        <f t="shared" si="25"/>
        <v>0</v>
      </c>
      <c r="K217" s="265">
        <f t="shared" si="26"/>
        <v>0</v>
      </c>
      <c r="L217" s="265">
        <v>43681.4</v>
      </c>
      <c r="M217" s="226">
        <v>0</v>
      </c>
      <c r="N217" s="265">
        <v>43681.4</v>
      </c>
      <c r="O217" s="226">
        <v>0</v>
      </c>
      <c r="P217" s="265">
        <f t="shared" si="27"/>
        <v>0</v>
      </c>
      <c r="Q217" s="271">
        <f t="shared" si="28"/>
        <v>0</v>
      </c>
    </row>
    <row r="218" spans="1:17" x14ac:dyDescent="0.2">
      <c r="A218" s="264" t="s">
        <v>1005</v>
      </c>
      <c r="B218" s="202" t="s">
        <v>531</v>
      </c>
      <c r="C218" s="202" t="s">
        <v>670</v>
      </c>
      <c r="D218" s="202" t="s">
        <v>1004</v>
      </c>
      <c r="E218" s="202"/>
      <c r="F218" s="265">
        <v>43681.4</v>
      </c>
      <c r="G218" s="265">
        <v>0</v>
      </c>
      <c r="H218" s="265">
        <v>43681.4</v>
      </c>
      <c r="I218" s="265">
        <v>0</v>
      </c>
      <c r="J218" s="265">
        <f t="shared" si="25"/>
        <v>0</v>
      </c>
      <c r="K218" s="265">
        <f t="shared" si="26"/>
        <v>0</v>
      </c>
      <c r="L218" s="265">
        <v>43681.4</v>
      </c>
      <c r="M218" s="226">
        <v>0</v>
      </c>
      <c r="N218" s="265">
        <v>43681.4</v>
      </c>
      <c r="O218" s="226">
        <v>0</v>
      </c>
      <c r="P218" s="265">
        <f t="shared" si="27"/>
        <v>0</v>
      </c>
      <c r="Q218" s="271">
        <f t="shared" si="28"/>
        <v>0</v>
      </c>
    </row>
    <row r="219" spans="1:17" ht="22.5" x14ac:dyDescent="0.2">
      <c r="A219" s="264" t="s">
        <v>1204</v>
      </c>
      <c r="B219" s="202" t="s">
        <v>531</v>
      </c>
      <c r="C219" s="202" t="s">
        <v>670</v>
      </c>
      <c r="D219" s="202" t="s">
        <v>1203</v>
      </c>
      <c r="E219" s="202"/>
      <c r="F219" s="265">
        <v>2950</v>
      </c>
      <c r="G219" s="265">
        <v>0</v>
      </c>
      <c r="H219" s="265">
        <v>2950</v>
      </c>
      <c r="I219" s="265">
        <v>0</v>
      </c>
      <c r="J219" s="265">
        <f t="shared" si="25"/>
        <v>0</v>
      </c>
      <c r="K219" s="265">
        <f t="shared" si="26"/>
        <v>0</v>
      </c>
      <c r="L219" s="265">
        <v>2950</v>
      </c>
      <c r="M219" s="226">
        <v>0</v>
      </c>
      <c r="N219" s="265">
        <v>2950</v>
      </c>
      <c r="O219" s="226">
        <v>0</v>
      </c>
      <c r="P219" s="265">
        <f t="shared" si="27"/>
        <v>0</v>
      </c>
      <c r="Q219" s="271">
        <f t="shared" si="28"/>
        <v>0</v>
      </c>
    </row>
    <row r="220" spans="1:17" ht="22.5" x14ac:dyDescent="0.2">
      <c r="A220" s="264" t="s">
        <v>1202</v>
      </c>
      <c r="B220" s="202" t="s">
        <v>531</v>
      </c>
      <c r="C220" s="202" t="s">
        <v>670</v>
      </c>
      <c r="D220" s="202" t="s">
        <v>1201</v>
      </c>
      <c r="E220" s="202"/>
      <c r="F220" s="265">
        <v>250</v>
      </c>
      <c r="G220" s="265">
        <v>0</v>
      </c>
      <c r="H220" s="265">
        <v>250</v>
      </c>
      <c r="I220" s="265">
        <v>0</v>
      </c>
      <c r="J220" s="265">
        <f t="shared" si="25"/>
        <v>0</v>
      </c>
      <c r="K220" s="265">
        <f t="shared" si="26"/>
        <v>0</v>
      </c>
      <c r="L220" s="265">
        <v>250</v>
      </c>
      <c r="M220" s="226">
        <v>0</v>
      </c>
      <c r="N220" s="265">
        <v>250</v>
      </c>
      <c r="O220" s="226">
        <v>0</v>
      </c>
      <c r="P220" s="265">
        <f t="shared" si="27"/>
        <v>0</v>
      </c>
      <c r="Q220" s="271">
        <f t="shared" si="28"/>
        <v>0</v>
      </c>
    </row>
    <row r="221" spans="1:17" ht="22.5" x14ac:dyDescent="0.2">
      <c r="A221" s="264" t="s">
        <v>1200</v>
      </c>
      <c r="B221" s="202" t="s">
        <v>531</v>
      </c>
      <c r="C221" s="202" t="s">
        <v>670</v>
      </c>
      <c r="D221" s="202" t="s">
        <v>1199</v>
      </c>
      <c r="E221" s="202"/>
      <c r="F221" s="265">
        <v>250</v>
      </c>
      <c r="G221" s="265">
        <v>0</v>
      </c>
      <c r="H221" s="265">
        <v>250</v>
      </c>
      <c r="I221" s="265">
        <v>0</v>
      </c>
      <c r="J221" s="265">
        <f t="shared" si="25"/>
        <v>0</v>
      </c>
      <c r="K221" s="265">
        <f t="shared" si="26"/>
        <v>0</v>
      </c>
      <c r="L221" s="265">
        <v>250</v>
      </c>
      <c r="M221" s="226">
        <v>0</v>
      </c>
      <c r="N221" s="265">
        <v>250</v>
      </c>
      <c r="O221" s="226">
        <v>0</v>
      </c>
      <c r="P221" s="265">
        <f t="shared" si="27"/>
        <v>0</v>
      </c>
      <c r="Q221" s="271">
        <f t="shared" si="28"/>
        <v>0</v>
      </c>
    </row>
    <row r="222" spans="1:17" x14ac:dyDescent="0.2">
      <c r="A222" s="264" t="s">
        <v>1347</v>
      </c>
      <c r="B222" s="202" t="s">
        <v>531</v>
      </c>
      <c r="C222" s="202" t="s">
        <v>670</v>
      </c>
      <c r="D222" s="202" t="s">
        <v>1199</v>
      </c>
      <c r="E222" s="202" t="s">
        <v>535</v>
      </c>
      <c r="F222" s="265">
        <v>250</v>
      </c>
      <c r="G222" s="265">
        <v>0</v>
      </c>
      <c r="H222" s="265">
        <v>250</v>
      </c>
      <c r="I222" s="265">
        <v>0</v>
      </c>
      <c r="J222" s="265">
        <f t="shared" ref="J222:J284" si="41">H222-F222</f>
        <v>0</v>
      </c>
      <c r="K222" s="265">
        <f t="shared" ref="K222:K284" si="42">I222-G222</f>
        <v>0</v>
      </c>
      <c r="L222" s="265">
        <v>250</v>
      </c>
      <c r="M222" s="226">
        <v>0</v>
      </c>
      <c r="N222" s="265">
        <v>250</v>
      </c>
      <c r="O222" s="226">
        <v>0</v>
      </c>
      <c r="P222" s="265">
        <f t="shared" ref="P222:P284" si="43">N222-L222</f>
        <v>0</v>
      </c>
      <c r="Q222" s="271">
        <f t="shared" ref="Q222:Q284" si="44">O222-M222</f>
        <v>0</v>
      </c>
    </row>
    <row r="223" spans="1:17" x14ac:dyDescent="0.2">
      <c r="A223" s="264" t="s">
        <v>534</v>
      </c>
      <c r="B223" s="202" t="s">
        <v>531</v>
      </c>
      <c r="C223" s="202" t="s">
        <v>670</v>
      </c>
      <c r="D223" s="202" t="s">
        <v>1199</v>
      </c>
      <c r="E223" s="202" t="s">
        <v>529</v>
      </c>
      <c r="F223" s="265">
        <v>250</v>
      </c>
      <c r="G223" s="265">
        <v>0</v>
      </c>
      <c r="H223" s="265">
        <v>250</v>
      </c>
      <c r="I223" s="265">
        <v>0</v>
      </c>
      <c r="J223" s="265">
        <f t="shared" si="41"/>
        <v>0</v>
      </c>
      <c r="K223" s="265">
        <f t="shared" si="42"/>
        <v>0</v>
      </c>
      <c r="L223" s="265">
        <v>250</v>
      </c>
      <c r="M223" s="226">
        <v>0</v>
      </c>
      <c r="N223" s="265">
        <v>250</v>
      </c>
      <c r="O223" s="226">
        <v>0</v>
      </c>
      <c r="P223" s="265">
        <f t="shared" si="43"/>
        <v>0</v>
      </c>
      <c r="Q223" s="271">
        <f t="shared" si="44"/>
        <v>0</v>
      </c>
    </row>
    <row r="224" spans="1:17" ht="22.5" x14ac:dyDescent="0.2">
      <c r="A224" s="264" t="s">
        <v>1198</v>
      </c>
      <c r="B224" s="202" t="s">
        <v>531</v>
      </c>
      <c r="C224" s="202" t="s">
        <v>670</v>
      </c>
      <c r="D224" s="202" t="s">
        <v>1197</v>
      </c>
      <c r="E224" s="202"/>
      <c r="F224" s="265">
        <v>2700</v>
      </c>
      <c r="G224" s="265">
        <v>0</v>
      </c>
      <c r="H224" s="265">
        <v>2700</v>
      </c>
      <c r="I224" s="265">
        <v>0</v>
      </c>
      <c r="J224" s="265">
        <f t="shared" si="41"/>
        <v>0</v>
      </c>
      <c r="K224" s="265">
        <f t="shared" si="42"/>
        <v>0</v>
      </c>
      <c r="L224" s="265">
        <v>2700</v>
      </c>
      <c r="M224" s="226">
        <v>0</v>
      </c>
      <c r="N224" s="265">
        <v>2700</v>
      </c>
      <c r="O224" s="226">
        <v>0</v>
      </c>
      <c r="P224" s="265">
        <f t="shared" si="43"/>
        <v>0</v>
      </c>
      <c r="Q224" s="271">
        <f t="shared" si="44"/>
        <v>0</v>
      </c>
    </row>
    <row r="225" spans="1:17" s="391" customFormat="1" x14ac:dyDescent="0.2">
      <c r="A225" s="202" t="s">
        <v>547</v>
      </c>
      <c r="B225" s="202" t="s">
        <v>531</v>
      </c>
      <c r="C225" s="202" t="s">
        <v>670</v>
      </c>
      <c r="D225" s="202" t="s">
        <v>1196</v>
      </c>
      <c r="E225" s="202">
        <v>600</v>
      </c>
      <c r="F225" s="265">
        <v>2700</v>
      </c>
      <c r="G225" s="265">
        <v>0</v>
      </c>
      <c r="H225" s="265">
        <f>H226</f>
        <v>2700</v>
      </c>
      <c r="I225" s="265">
        <f>I226</f>
        <v>0</v>
      </c>
      <c r="J225" s="281">
        <f t="shared" ref="J225:J226" si="45">H225-F225</f>
        <v>0</v>
      </c>
      <c r="K225" s="265">
        <f t="shared" ref="K225:K226" si="46">I225-G225</f>
        <v>0</v>
      </c>
      <c r="L225" s="265">
        <v>2700</v>
      </c>
      <c r="M225" s="226">
        <v>0</v>
      </c>
      <c r="N225" s="265">
        <f>N226</f>
        <v>2700</v>
      </c>
      <c r="O225" s="226">
        <f>O226</f>
        <v>0</v>
      </c>
      <c r="P225" s="281">
        <f t="shared" ref="P225:P226" si="47">N225-L225</f>
        <v>0</v>
      </c>
      <c r="Q225" s="271">
        <f t="shared" ref="Q225:Q226" si="48">O225-M225</f>
        <v>0</v>
      </c>
    </row>
    <row r="226" spans="1:17" s="391" customFormat="1" x14ac:dyDescent="0.2">
      <c r="A226" s="202" t="s">
        <v>571</v>
      </c>
      <c r="B226" s="202" t="s">
        <v>531</v>
      </c>
      <c r="C226" s="202" t="s">
        <v>670</v>
      </c>
      <c r="D226" s="202" t="s">
        <v>1196</v>
      </c>
      <c r="E226" s="202">
        <v>610</v>
      </c>
      <c r="F226" s="265">
        <v>2700</v>
      </c>
      <c r="G226" s="265">
        <v>0</v>
      </c>
      <c r="H226" s="265">
        <f>'Ведомственная 2021-2022'!H185</f>
        <v>2700</v>
      </c>
      <c r="I226" s="265">
        <v>0</v>
      </c>
      <c r="J226" s="281">
        <f t="shared" si="45"/>
        <v>0</v>
      </c>
      <c r="K226" s="265">
        <f t="shared" si="46"/>
        <v>0</v>
      </c>
      <c r="L226" s="265">
        <v>2700</v>
      </c>
      <c r="M226" s="226">
        <v>0</v>
      </c>
      <c r="N226" s="265">
        <f>'Ведомственная 2021-2022'!K185</f>
        <v>2700</v>
      </c>
      <c r="O226" s="226">
        <v>0</v>
      </c>
      <c r="P226" s="281">
        <f t="shared" si="47"/>
        <v>0</v>
      </c>
      <c r="Q226" s="271">
        <f t="shared" si="48"/>
        <v>0</v>
      </c>
    </row>
    <row r="227" spans="1:17" ht="22.5" x14ac:dyDescent="0.2">
      <c r="A227" s="264" t="s">
        <v>1195</v>
      </c>
      <c r="B227" s="202" t="s">
        <v>531</v>
      </c>
      <c r="C227" s="202" t="s">
        <v>670</v>
      </c>
      <c r="D227" s="202" t="s">
        <v>1194</v>
      </c>
      <c r="E227" s="202"/>
      <c r="F227" s="265">
        <v>1100</v>
      </c>
      <c r="G227" s="265">
        <v>0</v>
      </c>
      <c r="H227" s="265">
        <v>1100</v>
      </c>
      <c r="I227" s="265">
        <v>0</v>
      </c>
      <c r="J227" s="265">
        <f t="shared" si="41"/>
        <v>0</v>
      </c>
      <c r="K227" s="265">
        <f t="shared" si="42"/>
        <v>0</v>
      </c>
      <c r="L227" s="265">
        <v>1100</v>
      </c>
      <c r="M227" s="226">
        <v>0</v>
      </c>
      <c r="N227" s="265">
        <v>1100</v>
      </c>
      <c r="O227" s="226">
        <v>0</v>
      </c>
      <c r="P227" s="265">
        <f t="shared" si="43"/>
        <v>0</v>
      </c>
      <c r="Q227" s="271">
        <f t="shared" si="44"/>
        <v>0</v>
      </c>
    </row>
    <row r="228" spans="1:17" ht="45" x14ac:dyDescent="0.2">
      <c r="A228" s="264" t="s">
        <v>1193</v>
      </c>
      <c r="B228" s="202" t="s">
        <v>531</v>
      </c>
      <c r="C228" s="202" t="s">
        <v>670</v>
      </c>
      <c r="D228" s="202" t="s">
        <v>1192</v>
      </c>
      <c r="E228" s="202"/>
      <c r="F228" s="265">
        <v>1100</v>
      </c>
      <c r="G228" s="265">
        <v>0</v>
      </c>
      <c r="H228" s="265">
        <v>1100</v>
      </c>
      <c r="I228" s="265">
        <v>0</v>
      </c>
      <c r="J228" s="265">
        <f t="shared" si="41"/>
        <v>0</v>
      </c>
      <c r="K228" s="265">
        <f t="shared" si="42"/>
        <v>0</v>
      </c>
      <c r="L228" s="265">
        <v>1100</v>
      </c>
      <c r="M228" s="226">
        <v>0</v>
      </c>
      <c r="N228" s="265">
        <v>1100</v>
      </c>
      <c r="O228" s="226">
        <v>0</v>
      </c>
      <c r="P228" s="265">
        <f t="shared" si="43"/>
        <v>0</v>
      </c>
      <c r="Q228" s="271">
        <f t="shared" si="44"/>
        <v>0</v>
      </c>
    </row>
    <row r="229" spans="1:17" ht="22.5" x14ac:dyDescent="0.2">
      <c r="A229" s="264" t="s">
        <v>1191</v>
      </c>
      <c r="B229" s="202" t="s">
        <v>531</v>
      </c>
      <c r="C229" s="202" t="s">
        <v>670</v>
      </c>
      <c r="D229" s="202" t="s">
        <v>1190</v>
      </c>
      <c r="E229" s="202"/>
      <c r="F229" s="265">
        <v>1100</v>
      </c>
      <c r="G229" s="265">
        <v>0</v>
      </c>
      <c r="H229" s="265">
        <v>1100</v>
      </c>
      <c r="I229" s="265">
        <v>0</v>
      </c>
      <c r="J229" s="265">
        <f t="shared" si="41"/>
        <v>0</v>
      </c>
      <c r="K229" s="265">
        <f t="shared" si="42"/>
        <v>0</v>
      </c>
      <c r="L229" s="265">
        <v>1100</v>
      </c>
      <c r="M229" s="226">
        <v>0</v>
      </c>
      <c r="N229" s="265">
        <v>1100</v>
      </c>
      <c r="O229" s="226">
        <v>0</v>
      </c>
      <c r="P229" s="265">
        <f t="shared" si="43"/>
        <v>0</v>
      </c>
      <c r="Q229" s="271">
        <f t="shared" si="44"/>
        <v>0</v>
      </c>
    </row>
    <row r="230" spans="1:17" x14ac:dyDescent="0.2">
      <c r="A230" s="264" t="s">
        <v>1347</v>
      </c>
      <c r="B230" s="202" t="s">
        <v>531</v>
      </c>
      <c r="C230" s="202" t="s">
        <v>670</v>
      </c>
      <c r="D230" s="202" t="s">
        <v>1190</v>
      </c>
      <c r="E230" s="202" t="s">
        <v>535</v>
      </c>
      <c r="F230" s="265">
        <v>1100</v>
      </c>
      <c r="G230" s="265">
        <v>0</v>
      </c>
      <c r="H230" s="265">
        <v>1100</v>
      </c>
      <c r="I230" s="265">
        <v>0</v>
      </c>
      <c r="J230" s="265">
        <f t="shared" si="41"/>
        <v>0</v>
      </c>
      <c r="K230" s="265">
        <f t="shared" si="42"/>
        <v>0</v>
      </c>
      <c r="L230" s="265">
        <v>1100</v>
      </c>
      <c r="M230" s="226">
        <v>0</v>
      </c>
      <c r="N230" s="265">
        <v>1100</v>
      </c>
      <c r="O230" s="226">
        <v>0</v>
      </c>
      <c r="P230" s="265">
        <f t="shared" si="43"/>
        <v>0</v>
      </c>
      <c r="Q230" s="271">
        <f t="shared" si="44"/>
        <v>0</v>
      </c>
    </row>
    <row r="231" spans="1:17" x14ac:dyDescent="0.2">
      <c r="A231" s="264" t="s">
        <v>534</v>
      </c>
      <c r="B231" s="202" t="s">
        <v>531</v>
      </c>
      <c r="C231" s="202" t="s">
        <v>670</v>
      </c>
      <c r="D231" s="202" t="s">
        <v>1190</v>
      </c>
      <c r="E231" s="202" t="s">
        <v>529</v>
      </c>
      <c r="F231" s="265">
        <v>1100</v>
      </c>
      <c r="G231" s="265">
        <v>0</v>
      </c>
      <c r="H231" s="265">
        <v>1100</v>
      </c>
      <c r="I231" s="265">
        <v>0</v>
      </c>
      <c r="J231" s="265">
        <f t="shared" si="41"/>
        <v>0</v>
      </c>
      <c r="K231" s="265">
        <f t="shared" si="42"/>
        <v>0</v>
      </c>
      <c r="L231" s="265">
        <v>1100</v>
      </c>
      <c r="M231" s="226">
        <v>0</v>
      </c>
      <c r="N231" s="265">
        <v>1100</v>
      </c>
      <c r="O231" s="226">
        <v>0</v>
      </c>
      <c r="P231" s="265">
        <f t="shared" si="43"/>
        <v>0</v>
      </c>
      <c r="Q231" s="271">
        <f t="shared" si="44"/>
        <v>0</v>
      </c>
    </row>
    <row r="232" spans="1:17" x14ac:dyDescent="0.2">
      <c r="A232" s="264" t="s">
        <v>1189</v>
      </c>
      <c r="B232" s="202" t="s">
        <v>531</v>
      </c>
      <c r="C232" s="202" t="s">
        <v>670</v>
      </c>
      <c r="D232" s="202" t="s">
        <v>1188</v>
      </c>
      <c r="E232" s="202"/>
      <c r="F232" s="265">
        <v>1716.5</v>
      </c>
      <c r="G232" s="265">
        <v>0</v>
      </c>
      <c r="H232" s="265">
        <v>1716.5</v>
      </c>
      <c r="I232" s="265">
        <v>0</v>
      </c>
      <c r="J232" s="265">
        <f t="shared" si="41"/>
        <v>0</v>
      </c>
      <c r="K232" s="265">
        <f t="shared" si="42"/>
        <v>0</v>
      </c>
      <c r="L232" s="265">
        <v>1716.5</v>
      </c>
      <c r="M232" s="226">
        <v>0</v>
      </c>
      <c r="N232" s="265">
        <v>1716.5</v>
      </c>
      <c r="O232" s="226">
        <v>0</v>
      </c>
      <c r="P232" s="265">
        <f t="shared" si="43"/>
        <v>0</v>
      </c>
      <c r="Q232" s="271">
        <f t="shared" si="44"/>
        <v>0</v>
      </c>
    </row>
    <row r="233" spans="1:17" x14ac:dyDescent="0.2">
      <c r="A233" s="264" t="s">
        <v>1187</v>
      </c>
      <c r="B233" s="202" t="s">
        <v>531</v>
      </c>
      <c r="C233" s="202" t="s">
        <v>670</v>
      </c>
      <c r="D233" s="202" t="s">
        <v>1186</v>
      </c>
      <c r="E233" s="202"/>
      <c r="F233" s="265">
        <v>1716.5</v>
      </c>
      <c r="G233" s="265">
        <v>0</v>
      </c>
      <c r="H233" s="265">
        <v>1716.5</v>
      </c>
      <c r="I233" s="265">
        <v>0</v>
      </c>
      <c r="J233" s="265">
        <f t="shared" si="41"/>
        <v>0</v>
      </c>
      <c r="K233" s="265">
        <f t="shared" si="42"/>
        <v>0</v>
      </c>
      <c r="L233" s="265">
        <v>1716.5</v>
      </c>
      <c r="M233" s="226">
        <v>0</v>
      </c>
      <c r="N233" s="265">
        <v>1716.5</v>
      </c>
      <c r="O233" s="226">
        <v>0</v>
      </c>
      <c r="P233" s="265">
        <f t="shared" si="43"/>
        <v>0</v>
      </c>
      <c r="Q233" s="271">
        <f t="shared" si="44"/>
        <v>0</v>
      </c>
    </row>
    <row r="234" spans="1:17" ht="22.5" x14ac:dyDescent="0.2">
      <c r="A234" s="264" t="s">
        <v>1185</v>
      </c>
      <c r="B234" s="202" t="s">
        <v>531</v>
      </c>
      <c r="C234" s="202" t="s">
        <v>670</v>
      </c>
      <c r="D234" s="202" t="s">
        <v>1184</v>
      </c>
      <c r="E234" s="202"/>
      <c r="F234" s="265">
        <v>879</v>
      </c>
      <c r="G234" s="265">
        <v>0</v>
      </c>
      <c r="H234" s="265">
        <v>879</v>
      </c>
      <c r="I234" s="265">
        <v>0</v>
      </c>
      <c r="J234" s="265">
        <f t="shared" si="41"/>
        <v>0</v>
      </c>
      <c r="K234" s="265">
        <f t="shared" si="42"/>
        <v>0</v>
      </c>
      <c r="L234" s="265">
        <v>879</v>
      </c>
      <c r="M234" s="226">
        <v>0</v>
      </c>
      <c r="N234" s="265">
        <v>879</v>
      </c>
      <c r="O234" s="226">
        <v>0</v>
      </c>
      <c r="P234" s="265">
        <f t="shared" si="43"/>
        <v>0</v>
      </c>
      <c r="Q234" s="271">
        <f t="shared" si="44"/>
        <v>0</v>
      </c>
    </row>
    <row r="235" spans="1:17" x14ac:dyDescent="0.2">
      <c r="A235" s="264" t="s">
        <v>1347</v>
      </c>
      <c r="B235" s="202" t="s">
        <v>531</v>
      </c>
      <c r="C235" s="202" t="s">
        <v>670</v>
      </c>
      <c r="D235" s="202" t="s">
        <v>1184</v>
      </c>
      <c r="E235" s="202" t="s">
        <v>535</v>
      </c>
      <c r="F235" s="265">
        <v>3</v>
      </c>
      <c r="G235" s="265">
        <v>0</v>
      </c>
      <c r="H235" s="265">
        <v>3</v>
      </c>
      <c r="I235" s="265">
        <v>0</v>
      </c>
      <c r="J235" s="265">
        <f t="shared" si="41"/>
        <v>0</v>
      </c>
      <c r="K235" s="265">
        <f t="shared" si="42"/>
        <v>0</v>
      </c>
      <c r="L235" s="265">
        <v>3</v>
      </c>
      <c r="M235" s="226">
        <v>0</v>
      </c>
      <c r="N235" s="265">
        <v>3</v>
      </c>
      <c r="O235" s="226">
        <v>0</v>
      </c>
      <c r="P235" s="265">
        <f t="shared" si="43"/>
        <v>0</v>
      </c>
      <c r="Q235" s="271">
        <f t="shared" si="44"/>
        <v>0</v>
      </c>
    </row>
    <row r="236" spans="1:17" x14ac:dyDescent="0.2">
      <c r="A236" s="264" t="s">
        <v>534</v>
      </c>
      <c r="B236" s="202" t="s">
        <v>531</v>
      </c>
      <c r="C236" s="202" t="s">
        <v>670</v>
      </c>
      <c r="D236" s="202" t="s">
        <v>1184</v>
      </c>
      <c r="E236" s="202" t="s">
        <v>529</v>
      </c>
      <c r="F236" s="265">
        <v>3</v>
      </c>
      <c r="G236" s="265">
        <v>0</v>
      </c>
      <c r="H236" s="265">
        <v>3</v>
      </c>
      <c r="I236" s="265">
        <v>0</v>
      </c>
      <c r="J236" s="265">
        <f t="shared" si="41"/>
        <v>0</v>
      </c>
      <c r="K236" s="265">
        <f t="shared" si="42"/>
        <v>0</v>
      </c>
      <c r="L236" s="265">
        <v>3</v>
      </c>
      <c r="M236" s="226">
        <v>0</v>
      </c>
      <c r="N236" s="265">
        <v>3</v>
      </c>
      <c r="O236" s="226">
        <v>0</v>
      </c>
      <c r="P236" s="265">
        <f t="shared" si="43"/>
        <v>0</v>
      </c>
      <c r="Q236" s="271">
        <f t="shared" si="44"/>
        <v>0</v>
      </c>
    </row>
    <row r="237" spans="1:17" x14ac:dyDescent="0.2">
      <c r="A237" s="264" t="s">
        <v>553</v>
      </c>
      <c r="B237" s="202" t="s">
        <v>531</v>
      </c>
      <c r="C237" s="202" t="s">
        <v>670</v>
      </c>
      <c r="D237" s="202" t="s">
        <v>1184</v>
      </c>
      <c r="E237" s="202" t="s">
        <v>552</v>
      </c>
      <c r="F237" s="265">
        <v>876</v>
      </c>
      <c r="G237" s="265">
        <v>0</v>
      </c>
      <c r="H237" s="265">
        <v>876</v>
      </c>
      <c r="I237" s="265">
        <v>0</v>
      </c>
      <c r="J237" s="265">
        <f t="shared" si="41"/>
        <v>0</v>
      </c>
      <c r="K237" s="265">
        <f t="shared" si="42"/>
        <v>0</v>
      </c>
      <c r="L237" s="265">
        <v>876</v>
      </c>
      <c r="M237" s="226">
        <v>0</v>
      </c>
      <c r="N237" s="265">
        <v>876</v>
      </c>
      <c r="O237" s="226">
        <v>0</v>
      </c>
      <c r="P237" s="265">
        <f t="shared" si="43"/>
        <v>0</v>
      </c>
      <c r="Q237" s="271">
        <f t="shared" si="44"/>
        <v>0</v>
      </c>
    </row>
    <row r="238" spans="1:17" x14ac:dyDescent="0.2">
      <c r="A238" s="264" t="s">
        <v>841</v>
      </c>
      <c r="B238" s="202" t="s">
        <v>531</v>
      </c>
      <c r="C238" s="202" t="s">
        <v>670</v>
      </c>
      <c r="D238" s="202" t="s">
        <v>1184</v>
      </c>
      <c r="E238" s="202" t="s">
        <v>840</v>
      </c>
      <c r="F238" s="265">
        <v>876</v>
      </c>
      <c r="G238" s="265">
        <v>0</v>
      </c>
      <c r="H238" s="265">
        <v>876</v>
      </c>
      <c r="I238" s="265">
        <v>0</v>
      </c>
      <c r="J238" s="265">
        <f t="shared" si="41"/>
        <v>0</v>
      </c>
      <c r="K238" s="265">
        <f t="shared" si="42"/>
        <v>0</v>
      </c>
      <c r="L238" s="265">
        <v>876</v>
      </c>
      <c r="M238" s="226">
        <v>0</v>
      </c>
      <c r="N238" s="265">
        <v>876</v>
      </c>
      <c r="O238" s="226">
        <v>0</v>
      </c>
      <c r="P238" s="265">
        <f t="shared" si="43"/>
        <v>0</v>
      </c>
      <c r="Q238" s="271">
        <f t="shared" si="44"/>
        <v>0</v>
      </c>
    </row>
    <row r="239" spans="1:17" ht="22.5" x14ac:dyDescent="0.2">
      <c r="A239" s="264" t="s">
        <v>1183</v>
      </c>
      <c r="B239" s="202" t="s">
        <v>531</v>
      </c>
      <c r="C239" s="202" t="s">
        <v>670</v>
      </c>
      <c r="D239" s="202" t="s">
        <v>1182</v>
      </c>
      <c r="E239" s="202"/>
      <c r="F239" s="265">
        <v>307.5</v>
      </c>
      <c r="G239" s="265">
        <v>0</v>
      </c>
      <c r="H239" s="265">
        <v>307.5</v>
      </c>
      <c r="I239" s="265">
        <v>0</v>
      </c>
      <c r="J239" s="265">
        <f t="shared" si="41"/>
        <v>0</v>
      </c>
      <c r="K239" s="265">
        <f t="shared" si="42"/>
        <v>0</v>
      </c>
      <c r="L239" s="265">
        <v>307.5</v>
      </c>
      <c r="M239" s="226">
        <v>0</v>
      </c>
      <c r="N239" s="265">
        <v>307.5</v>
      </c>
      <c r="O239" s="226">
        <v>0</v>
      </c>
      <c r="P239" s="265">
        <f t="shared" si="43"/>
        <v>0</v>
      </c>
      <c r="Q239" s="271">
        <f t="shared" si="44"/>
        <v>0</v>
      </c>
    </row>
    <row r="240" spans="1:17" x14ac:dyDescent="0.2">
      <c r="A240" s="264" t="s">
        <v>547</v>
      </c>
      <c r="B240" s="202" t="s">
        <v>531</v>
      </c>
      <c r="C240" s="202" t="s">
        <v>670</v>
      </c>
      <c r="D240" s="202" t="s">
        <v>1182</v>
      </c>
      <c r="E240" s="202" t="s">
        <v>519</v>
      </c>
      <c r="F240" s="265">
        <v>307.5</v>
      </c>
      <c r="G240" s="265">
        <v>0</v>
      </c>
      <c r="H240" s="265">
        <v>307.5</v>
      </c>
      <c r="I240" s="265">
        <v>0</v>
      </c>
      <c r="J240" s="265">
        <f t="shared" si="41"/>
        <v>0</v>
      </c>
      <c r="K240" s="265">
        <f t="shared" si="42"/>
        <v>0</v>
      </c>
      <c r="L240" s="265">
        <v>307.5</v>
      </c>
      <c r="M240" s="226">
        <v>0</v>
      </c>
      <c r="N240" s="265">
        <v>307.5</v>
      </c>
      <c r="O240" s="226">
        <v>0</v>
      </c>
      <c r="P240" s="265">
        <f t="shared" si="43"/>
        <v>0</v>
      </c>
      <c r="Q240" s="271">
        <f t="shared" si="44"/>
        <v>0</v>
      </c>
    </row>
    <row r="241" spans="1:17" x14ac:dyDescent="0.2">
      <c r="A241" s="264" t="s">
        <v>546</v>
      </c>
      <c r="B241" s="202" t="s">
        <v>531</v>
      </c>
      <c r="C241" s="202" t="s">
        <v>670</v>
      </c>
      <c r="D241" s="202" t="s">
        <v>1182</v>
      </c>
      <c r="E241" s="202" t="s">
        <v>544</v>
      </c>
      <c r="F241" s="265">
        <v>307.5</v>
      </c>
      <c r="G241" s="265">
        <v>0</v>
      </c>
      <c r="H241" s="265">
        <v>307.5</v>
      </c>
      <c r="I241" s="265">
        <v>0</v>
      </c>
      <c r="J241" s="265">
        <f t="shared" si="41"/>
        <v>0</v>
      </c>
      <c r="K241" s="265">
        <f t="shared" si="42"/>
        <v>0</v>
      </c>
      <c r="L241" s="265">
        <v>307.5</v>
      </c>
      <c r="M241" s="226">
        <v>0</v>
      </c>
      <c r="N241" s="265">
        <v>307.5</v>
      </c>
      <c r="O241" s="226">
        <v>0</v>
      </c>
      <c r="P241" s="265">
        <f t="shared" si="43"/>
        <v>0</v>
      </c>
      <c r="Q241" s="271">
        <f t="shared" si="44"/>
        <v>0</v>
      </c>
    </row>
    <row r="242" spans="1:17" ht="22.5" x14ac:dyDescent="0.2">
      <c r="A242" s="264" t="s">
        <v>1349</v>
      </c>
      <c r="B242" s="202" t="s">
        <v>531</v>
      </c>
      <c r="C242" s="202" t="s">
        <v>670</v>
      </c>
      <c r="D242" s="202" t="s">
        <v>1181</v>
      </c>
      <c r="E242" s="202"/>
      <c r="F242" s="265">
        <v>530</v>
      </c>
      <c r="G242" s="265">
        <v>0</v>
      </c>
      <c r="H242" s="265">
        <v>530</v>
      </c>
      <c r="I242" s="265">
        <v>0</v>
      </c>
      <c r="J242" s="265">
        <f t="shared" si="41"/>
        <v>0</v>
      </c>
      <c r="K242" s="265">
        <f t="shared" si="42"/>
        <v>0</v>
      </c>
      <c r="L242" s="265">
        <v>530</v>
      </c>
      <c r="M242" s="226">
        <v>0</v>
      </c>
      <c r="N242" s="265">
        <v>530</v>
      </c>
      <c r="O242" s="226">
        <v>0</v>
      </c>
      <c r="P242" s="265">
        <f t="shared" si="43"/>
        <v>0</v>
      </c>
      <c r="Q242" s="271">
        <f t="shared" si="44"/>
        <v>0</v>
      </c>
    </row>
    <row r="243" spans="1:17" ht="33.75" x14ac:dyDescent="0.2">
      <c r="A243" s="264" t="s">
        <v>1348</v>
      </c>
      <c r="B243" s="202" t="s">
        <v>531</v>
      </c>
      <c r="C243" s="202" t="s">
        <v>670</v>
      </c>
      <c r="D243" s="202" t="s">
        <v>1181</v>
      </c>
      <c r="E243" s="202" t="s">
        <v>556</v>
      </c>
      <c r="F243" s="265">
        <v>530</v>
      </c>
      <c r="G243" s="265">
        <v>0</v>
      </c>
      <c r="H243" s="265">
        <v>530</v>
      </c>
      <c r="I243" s="265">
        <v>0</v>
      </c>
      <c r="J243" s="265">
        <f t="shared" si="41"/>
        <v>0</v>
      </c>
      <c r="K243" s="265">
        <f t="shared" si="42"/>
        <v>0</v>
      </c>
      <c r="L243" s="265">
        <v>530</v>
      </c>
      <c r="M243" s="226">
        <v>0</v>
      </c>
      <c r="N243" s="265">
        <v>530</v>
      </c>
      <c r="O243" s="226">
        <v>0</v>
      </c>
      <c r="P243" s="265">
        <f t="shared" si="43"/>
        <v>0</v>
      </c>
      <c r="Q243" s="271">
        <f t="shared" si="44"/>
        <v>0</v>
      </c>
    </row>
    <row r="244" spans="1:17" x14ac:dyDescent="0.2">
      <c r="A244" s="264" t="s">
        <v>555</v>
      </c>
      <c r="B244" s="202" t="s">
        <v>531</v>
      </c>
      <c r="C244" s="202" t="s">
        <v>670</v>
      </c>
      <c r="D244" s="202" t="s">
        <v>1181</v>
      </c>
      <c r="E244" s="202" t="s">
        <v>554</v>
      </c>
      <c r="F244" s="265">
        <v>530</v>
      </c>
      <c r="G244" s="265">
        <v>0</v>
      </c>
      <c r="H244" s="265">
        <v>530</v>
      </c>
      <c r="I244" s="265">
        <v>0</v>
      </c>
      <c r="J244" s="265">
        <f t="shared" si="41"/>
        <v>0</v>
      </c>
      <c r="K244" s="265">
        <f t="shared" si="42"/>
        <v>0</v>
      </c>
      <c r="L244" s="265">
        <v>530</v>
      </c>
      <c r="M244" s="226">
        <v>0</v>
      </c>
      <c r="N244" s="265">
        <v>530</v>
      </c>
      <c r="O244" s="226">
        <v>0</v>
      </c>
      <c r="P244" s="265">
        <f t="shared" si="43"/>
        <v>0</v>
      </c>
      <c r="Q244" s="271">
        <f t="shared" si="44"/>
        <v>0</v>
      </c>
    </row>
    <row r="245" spans="1:17" x14ac:dyDescent="0.2">
      <c r="A245" s="264" t="s">
        <v>1180</v>
      </c>
      <c r="B245" s="202" t="s">
        <v>531</v>
      </c>
      <c r="C245" s="202" t="s">
        <v>670</v>
      </c>
      <c r="D245" s="202" t="s">
        <v>1179</v>
      </c>
      <c r="E245" s="202"/>
      <c r="F245" s="265">
        <v>150</v>
      </c>
      <c r="G245" s="265">
        <v>0</v>
      </c>
      <c r="H245" s="265">
        <v>150</v>
      </c>
      <c r="I245" s="265">
        <v>0</v>
      </c>
      <c r="J245" s="265">
        <f t="shared" si="41"/>
        <v>0</v>
      </c>
      <c r="K245" s="265">
        <f t="shared" si="42"/>
        <v>0</v>
      </c>
      <c r="L245" s="265">
        <v>150</v>
      </c>
      <c r="M245" s="226">
        <v>0</v>
      </c>
      <c r="N245" s="265">
        <v>150</v>
      </c>
      <c r="O245" s="226">
        <v>0</v>
      </c>
      <c r="P245" s="265">
        <f t="shared" si="43"/>
        <v>0</v>
      </c>
      <c r="Q245" s="271">
        <f t="shared" si="44"/>
        <v>0</v>
      </c>
    </row>
    <row r="246" spans="1:17" ht="33.75" x14ac:dyDescent="0.2">
      <c r="A246" s="264" t="s">
        <v>1178</v>
      </c>
      <c r="B246" s="202" t="s">
        <v>531</v>
      </c>
      <c r="C246" s="202" t="s">
        <v>670</v>
      </c>
      <c r="D246" s="202" t="s">
        <v>1177</v>
      </c>
      <c r="E246" s="202"/>
      <c r="F246" s="265">
        <v>150</v>
      </c>
      <c r="G246" s="265">
        <v>0</v>
      </c>
      <c r="H246" s="265">
        <v>150</v>
      </c>
      <c r="I246" s="265">
        <v>0</v>
      </c>
      <c r="J246" s="265">
        <f t="shared" si="41"/>
        <v>0</v>
      </c>
      <c r="K246" s="265">
        <f t="shared" si="42"/>
        <v>0</v>
      </c>
      <c r="L246" s="265">
        <v>150</v>
      </c>
      <c r="M246" s="226">
        <v>0</v>
      </c>
      <c r="N246" s="265">
        <v>150</v>
      </c>
      <c r="O246" s="226">
        <v>0</v>
      </c>
      <c r="P246" s="265">
        <f t="shared" si="43"/>
        <v>0</v>
      </c>
      <c r="Q246" s="271">
        <f t="shared" si="44"/>
        <v>0</v>
      </c>
    </row>
    <row r="247" spans="1:17" ht="22.5" x14ac:dyDescent="0.2">
      <c r="A247" s="264" t="s">
        <v>1176</v>
      </c>
      <c r="B247" s="202" t="s">
        <v>531</v>
      </c>
      <c r="C247" s="202" t="s">
        <v>670</v>
      </c>
      <c r="D247" s="202" t="s">
        <v>1175</v>
      </c>
      <c r="E247" s="202"/>
      <c r="F247" s="265">
        <v>150</v>
      </c>
      <c r="G247" s="265">
        <v>0</v>
      </c>
      <c r="H247" s="265">
        <v>150</v>
      </c>
      <c r="I247" s="265">
        <v>0</v>
      </c>
      <c r="J247" s="265">
        <f t="shared" si="41"/>
        <v>0</v>
      </c>
      <c r="K247" s="265">
        <f t="shared" si="42"/>
        <v>0</v>
      </c>
      <c r="L247" s="265">
        <v>150</v>
      </c>
      <c r="M247" s="226">
        <v>0</v>
      </c>
      <c r="N247" s="265">
        <v>150</v>
      </c>
      <c r="O247" s="226">
        <v>0</v>
      </c>
      <c r="P247" s="265">
        <f t="shared" si="43"/>
        <v>0</v>
      </c>
      <c r="Q247" s="271">
        <f t="shared" si="44"/>
        <v>0</v>
      </c>
    </row>
    <row r="248" spans="1:17" x14ac:dyDescent="0.2">
      <c r="A248" s="264" t="s">
        <v>1347</v>
      </c>
      <c r="B248" s="202" t="s">
        <v>531</v>
      </c>
      <c r="C248" s="202" t="s">
        <v>670</v>
      </c>
      <c r="D248" s="202" t="s">
        <v>1175</v>
      </c>
      <c r="E248" s="202" t="s">
        <v>535</v>
      </c>
      <c r="F248" s="265">
        <v>150</v>
      </c>
      <c r="G248" s="265">
        <v>0</v>
      </c>
      <c r="H248" s="265">
        <v>150</v>
      </c>
      <c r="I248" s="265">
        <v>0</v>
      </c>
      <c r="J248" s="265">
        <f t="shared" si="41"/>
        <v>0</v>
      </c>
      <c r="K248" s="265">
        <f t="shared" si="42"/>
        <v>0</v>
      </c>
      <c r="L248" s="265">
        <v>150</v>
      </c>
      <c r="M248" s="226">
        <v>0</v>
      </c>
      <c r="N248" s="265">
        <v>150</v>
      </c>
      <c r="O248" s="226">
        <v>0</v>
      </c>
      <c r="P248" s="265">
        <f t="shared" si="43"/>
        <v>0</v>
      </c>
      <c r="Q248" s="271">
        <f t="shared" si="44"/>
        <v>0</v>
      </c>
    </row>
    <row r="249" spans="1:17" x14ac:dyDescent="0.2">
      <c r="A249" s="264" t="s">
        <v>534</v>
      </c>
      <c r="B249" s="202" t="s">
        <v>531</v>
      </c>
      <c r="C249" s="202" t="s">
        <v>670</v>
      </c>
      <c r="D249" s="202" t="s">
        <v>1175</v>
      </c>
      <c r="E249" s="202" t="s">
        <v>529</v>
      </c>
      <c r="F249" s="265">
        <v>150</v>
      </c>
      <c r="G249" s="265">
        <v>0</v>
      </c>
      <c r="H249" s="265">
        <v>150</v>
      </c>
      <c r="I249" s="265">
        <v>0</v>
      </c>
      <c r="J249" s="265">
        <f t="shared" si="41"/>
        <v>0</v>
      </c>
      <c r="K249" s="265">
        <f t="shared" si="42"/>
        <v>0</v>
      </c>
      <c r="L249" s="265">
        <v>150</v>
      </c>
      <c r="M249" s="226">
        <v>0</v>
      </c>
      <c r="N249" s="265">
        <v>150</v>
      </c>
      <c r="O249" s="226">
        <v>0</v>
      </c>
      <c r="P249" s="265">
        <f t="shared" si="43"/>
        <v>0</v>
      </c>
      <c r="Q249" s="271">
        <f t="shared" si="44"/>
        <v>0</v>
      </c>
    </row>
    <row r="250" spans="1:17" x14ac:dyDescent="0.2">
      <c r="A250" s="264" t="s">
        <v>602</v>
      </c>
      <c r="B250" s="202" t="s">
        <v>531</v>
      </c>
      <c r="C250" s="202" t="s">
        <v>670</v>
      </c>
      <c r="D250" s="202" t="s">
        <v>1174</v>
      </c>
      <c r="E250" s="202"/>
      <c r="F250" s="265">
        <v>37764.9</v>
      </c>
      <c r="G250" s="265">
        <v>0</v>
      </c>
      <c r="H250" s="265">
        <v>37764.9</v>
      </c>
      <c r="I250" s="265">
        <v>0</v>
      </c>
      <c r="J250" s="265">
        <f t="shared" si="41"/>
        <v>0</v>
      </c>
      <c r="K250" s="265">
        <f t="shared" si="42"/>
        <v>0</v>
      </c>
      <c r="L250" s="265">
        <v>37764.9</v>
      </c>
      <c r="M250" s="226">
        <v>0</v>
      </c>
      <c r="N250" s="265">
        <v>37764.9</v>
      </c>
      <c r="O250" s="226">
        <v>0</v>
      </c>
      <c r="P250" s="265">
        <f t="shared" si="43"/>
        <v>0</v>
      </c>
      <c r="Q250" s="271">
        <f t="shared" si="44"/>
        <v>0</v>
      </c>
    </row>
    <row r="251" spans="1:17" ht="22.5" x14ac:dyDescent="0.2">
      <c r="A251" s="264" t="s">
        <v>600</v>
      </c>
      <c r="B251" s="202" t="s">
        <v>531</v>
      </c>
      <c r="C251" s="202" t="s">
        <v>670</v>
      </c>
      <c r="D251" s="202" t="s">
        <v>1173</v>
      </c>
      <c r="E251" s="202"/>
      <c r="F251" s="265">
        <v>37764.9</v>
      </c>
      <c r="G251" s="265">
        <v>0</v>
      </c>
      <c r="H251" s="265">
        <v>37764.9</v>
      </c>
      <c r="I251" s="265">
        <v>0</v>
      </c>
      <c r="J251" s="265">
        <f t="shared" si="41"/>
        <v>0</v>
      </c>
      <c r="K251" s="265">
        <f t="shared" si="42"/>
        <v>0</v>
      </c>
      <c r="L251" s="265">
        <v>37764.9</v>
      </c>
      <c r="M251" s="226">
        <v>0</v>
      </c>
      <c r="N251" s="265">
        <v>37764.9</v>
      </c>
      <c r="O251" s="226">
        <v>0</v>
      </c>
      <c r="P251" s="265">
        <f t="shared" si="43"/>
        <v>0</v>
      </c>
      <c r="Q251" s="271">
        <f t="shared" si="44"/>
        <v>0</v>
      </c>
    </row>
    <row r="252" spans="1:17" ht="22.5" x14ac:dyDescent="0.2">
      <c r="A252" s="264" t="s">
        <v>1350</v>
      </c>
      <c r="B252" s="202" t="s">
        <v>531</v>
      </c>
      <c r="C252" s="202" t="s">
        <v>670</v>
      </c>
      <c r="D252" s="202" t="s">
        <v>1172</v>
      </c>
      <c r="E252" s="202"/>
      <c r="F252" s="265">
        <v>37764.9</v>
      </c>
      <c r="G252" s="265">
        <v>0</v>
      </c>
      <c r="H252" s="265">
        <v>37764.9</v>
      </c>
      <c r="I252" s="265">
        <v>0</v>
      </c>
      <c r="J252" s="265">
        <f t="shared" si="41"/>
        <v>0</v>
      </c>
      <c r="K252" s="265">
        <f t="shared" si="42"/>
        <v>0</v>
      </c>
      <c r="L252" s="265">
        <v>37764.9</v>
      </c>
      <c r="M252" s="226">
        <v>0</v>
      </c>
      <c r="N252" s="265">
        <v>37764.9</v>
      </c>
      <c r="O252" s="226">
        <v>0</v>
      </c>
      <c r="P252" s="265">
        <f t="shared" si="43"/>
        <v>0</v>
      </c>
      <c r="Q252" s="271">
        <f t="shared" si="44"/>
        <v>0</v>
      </c>
    </row>
    <row r="253" spans="1:17" ht="33.75" x14ac:dyDescent="0.2">
      <c r="A253" s="264" t="s">
        <v>1348</v>
      </c>
      <c r="B253" s="202" t="s">
        <v>531</v>
      </c>
      <c r="C253" s="202" t="s">
        <v>670</v>
      </c>
      <c r="D253" s="202" t="s">
        <v>1172</v>
      </c>
      <c r="E253" s="202" t="s">
        <v>556</v>
      </c>
      <c r="F253" s="265">
        <v>36741.199999999997</v>
      </c>
      <c r="G253" s="265">
        <v>0</v>
      </c>
      <c r="H253" s="265">
        <v>36741.199999999997</v>
      </c>
      <c r="I253" s="265">
        <v>0</v>
      </c>
      <c r="J253" s="265">
        <f t="shared" si="41"/>
        <v>0</v>
      </c>
      <c r="K253" s="265">
        <f t="shared" si="42"/>
        <v>0</v>
      </c>
      <c r="L253" s="265">
        <v>36741.199999999997</v>
      </c>
      <c r="M253" s="226">
        <v>0</v>
      </c>
      <c r="N253" s="265">
        <v>36741.199999999997</v>
      </c>
      <c r="O253" s="226">
        <v>0</v>
      </c>
      <c r="P253" s="265">
        <f t="shared" si="43"/>
        <v>0</v>
      </c>
      <c r="Q253" s="271">
        <f t="shared" si="44"/>
        <v>0</v>
      </c>
    </row>
    <row r="254" spans="1:17" x14ac:dyDescent="0.2">
      <c r="A254" s="264" t="s">
        <v>555</v>
      </c>
      <c r="B254" s="202" t="s">
        <v>531</v>
      </c>
      <c r="C254" s="202" t="s">
        <v>670</v>
      </c>
      <c r="D254" s="202" t="s">
        <v>1172</v>
      </c>
      <c r="E254" s="202" t="s">
        <v>554</v>
      </c>
      <c r="F254" s="265">
        <v>36741.199999999997</v>
      </c>
      <c r="G254" s="265">
        <v>0</v>
      </c>
      <c r="H254" s="265">
        <v>36741.199999999997</v>
      </c>
      <c r="I254" s="265">
        <v>0</v>
      </c>
      <c r="J254" s="265">
        <f t="shared" si="41"/>
        <v>0</v>
      </c>
      <c r="K254" s="265">
        <f t="shared" si="42"/>
        <v>0</v>
      </c>
      <c r="L254" s="265">
        <v>36741.199999999997</v>
      </c>
      <c r="M254" s="226">
        <v>0</v>
      </c>
      <c r="N254" s="265">
        <v>36741.199999999997</v>
      </c>
      <c r="O254" s="226">
        <v>0</v>
      </c>
      <c r="P254" s="265">
        <f t="shared" si="43"/>
        <v>0</v>
      </c>
      <c r="Q254" s="271">
        <f t="shared" si="44"/>
        <v>0</v>
      </c>
    </row>
    <row r="255" spans="1:17" x14ac:dyDescent="0.2">
      <c r="A255" s="264" t="s">
        <v>1347</v>
      </c>
      <c r="B255" s="202" t="s">
        <v>531</v>
      </c>
      <c r="C255" s="202" t="s">
        <v>670</v>
      </c>
      <c r="D255" s="202" t="s">
        <v>1172</v>
      </c>
      <c r="E255" s="202" t="s">
        <v>535</v>
      </c>
      <c r="F255" s="265">
        <v>1023.7</v>
      </c>
      <c r="G255" s="265">
        <v>0</v>
      </c>
      <c r="H255" s="265">
        <v>1023.7</v>
      </c>
      <c r="I255" s="265">
        <v>0</v>
      </c>
      <c r="J255" s="265">
        <f t="shared" si="41"/>
        <v>0</v>
      </c>
      <c r="K255" s="265">
        <f t="shared" si="42"/>
        <v>0</v>
      </c>
      <c r="L255" s="265">
        <v>1023.7</v>
      </c>
      <c r="M255" s="226">
        <v>0</v>
      </c>
      <c r="N255" s="265">
        <v>1023.7</v>
      </c>
      <c r="O255" s="226">
        <v>0</v>
      </c>
      <c r="P255" s="265">
        <f t="shared" si="43"/>
        <v>0</v>
      </c>
      <c r="Q255" s="271">
        <f t="shared" si="44"/>
        <v>0</v>
      </c>
    </row>
    <row r="256" spans="1:17" x14ac:dyDescent="0.2">
      <c r="A256" s="264" t="s">
        <v>534</v>
      </c>
      <c r="B256" s="202" t="s">
        <v>531</v>
      </c>
      <c r="C256" s="202" t="s">
        <v>670</v>
      </c>
      <c r="D256" s="202" t="s">
        <v>1172</v>
      </c>
      <c r="E256" s="202" t="s">
        <v>529</v>
      </c>
      <c r="F256" s="265">
        <v>1023.7</v>
      </c>
      <c r="G256" s="265">
        <v>0</v>
      </c>
      <c r="H256" s="265">
        <v>1023.7</v>
      </c>
      <c r="I256" s="265">
        <v>0</v>
      </c>
      <c r="J256" s="265">
        <f t="shared" si="41"/>
        <v>0</v>
      </c>
      <c r="K256" s="265">
        <f t="shared" si="42"/>
        <v>0</v>
      </c>
      <c r="L256" s="265">
        <v>1023.7</v>
      </c>
      <c r="M256" s="226">
        <v>0</v>
      </c>
      <c r="N256" s="265">
        <v>1023.7</v>
      </c>
      <c r="O256" s="226">
        <v>0</v>
      </c>
      <c r="P256" s="265">
        <f t="shared" si="43"/>
        <v>0</v>
      </c>
      <c r="Q256" s="271">
        <f t="shared" si="44"/>
        <v>0</v>
      </c>
    </row>
    <row r="257" spans="1:17" x14ac:dyDescent="0.2">
      <c r="A257" s="264" t="s">
        <v>1171</v>
      </c>
      <c r="B257" s="202" t="s">
        <v>531</v>
      </c>
      <c r="C257" s="202" t="s">
        <v>1151</v>
      </c>
      <c r="D257" s="202"/>
      <c r="E257" s="202"/>
      <c r="F257" s="265">
        <v>46452.5</v>
      </c>
      <c r="G257" s="265">
        <v>0</v>
      </c>
      <c r="H257" s="265">
        <v>46452.5</v>
      </c>
      <c r="I257" s="265">
        <v>0</v>
      </c>
      <c r="J257" s="265">
        <f t="shared" si="41"/>
        <v>0</v>
      </c>
      <c r="K257" s="265">
        <f t="shared" si="42"/>
        <v>0</v>
      </c>
      <c r="L257" s="265">
        <v>46452.5</v>
      </c>
      <c r="M257" s="226">
        <v>0</v>
      </c>
      <c r="N257" s="265">
        <v>46452.5</v>
      </c>
      <c r="O257" s="226">
        <v>0</v>
      </c>
      <c r="P257" s="265">
        <f t="shared" si="43"/>
        <v>0</v>
      </c>
      <c r="Q257" s="271">
        <f t="shared" si="44"/>
        <v>0</v>
      </c>
    </row>
    <row r="258" spans="1:17" x14ac:dyDescent="0.2">
      <c r="A258" s="264" t="s">
        <v>1005</v>
      </c>
      <c r="B258" s="202" t="s">
        <v>531</v>
      </c>
      <c r="C258" s="202" t="s">
        <v>1151</v>
      </c>
      <c r="D258" s="202" t="s">
        <v>1004</v>
      </c>
      <c r="E258" s="202"/>
      <c r="F258" s="265">
        <v>46452.5</v>
      </c>
      <c r="G258" s="265">
        <v>0</v>
      </c>
      <c r="H258" s="265">
        <v>46452.5</v>
      </c>
      <c r="I258" s="265">
        <v>0</v>
      </c>
      <c r="J258" s="265">
        <f t="shared" si="41"/>
        <v>0</v>
      </c>
      <c r="K258" s="265">
        <f t="shared" si="42"/>
        <v>0</v>
      </c>
      <c r="L258" s="265">
        <v>46452.5</v>
      </c>
      <c r="M258" s="226">
        <v>0</v>
      </c>
      <c r="N258" s="265">
        <v>46452.5</v>
      </c>
      <c r="O258" s="226">
        <v>0</v>
      </c>
      <c r="P258" s="265">
        <f t="shared" si="43"/>
        <v>0</v>
      </c>
      <c r="Q258" s="271">
        <f t="shared" si="44"/>
        <v>0</v>
      </c>
    </row>
    <row r="259" spans="1:17" x14ac:dyDescent="0.2">
      <c r="A259" s="264" t="s">
        <v>1003</v>
      </c>
      <c r="B259" s="202" t="s">
        <v>531</v>
      </c>
      <c r="C259" s="202" t="s">
        <v>1151</v>
      </c>
      <c r="D259" s="202" t="s">
        <v>1002</v>
      </c>
      <c r="E259" s="202"/>
      <c r="F259" s="265">
        <v>46452.5</v>
      </c>
      <c r="G259" s="265">
        <v>0</v>
      </c>
      <c r="H259" s="265">
        <v>46452.5</v>
      </c>
      <c r="I259" s="265">
        <v>0</v>
      </c>
      <c r="J259" s="265">
        <f t="shared" si="41"/>
        <v>0</v>
      </c>
      <c r="K259" s="265">
        <f t="shared" si="42"/>
        <v>0</v>
      </c>
      <c r="L259" s="265">
        <v>46452.5</v>
      </c>
      <c r="M259" s="226">
        <v>0</v>
      </c>
      <c r="N259" s="265">
        <v>46452.5</v>
      </c>
      <c r="O259" s="226">
        <v>0</v>
      </c>
      <c r="P259" s="265">
        <f t="shared" si="43"/>
        <v>0</v>
      </c>
      <c r="Q259" s="271">
        <f t="shared" si="44"/>
        <v>0</v>
      </c>
    </row>
    <row r="260" spans="1:17" ht="33.75" x14ac:dyDescent="0.2">
      <c r="A260" s="264" t="s">
        <v>1170</v>
      </c>
      <c r="B260" s="202" t="s">
        <v>531</v>
      </c>
      <c r="C260" s="202" t="s">
        <v>1151</v>
      </c>
      <c r="D260" s="202" t="s">
        <v>1169</v>
      </c>
      <c r="E260" s="202"/>
      <c r="F260" s="265">
        <v>9225</v>
      </c>
      <c r="G260" s="265">
        <v>0</v>
      </c>
      <c r="H260" s="265">
        <v>9225</v>
      </c>
      <c r="I260" s="265">
        <v>0</v>
      </c>
      <c r="J260" s="265">
        <f t="shared" si="41"/>
        <v>0</v>
      </c>
      <c r="K260" s="265">
        <f t="shared" si="42"/>
        <v>0</v>
      </c>
      <c r="L260" s="265">
        <v>9225</v>
      </c>
      <c r="M260" s="226">
        <v>0</v>
      </c>
      <c r="N260" s="265">
        <v>9225</v>
      </c>
      <c r="O260" s="226">
        <v>0</v>
      </c>
      <c r="P260" s="265">
        <f t="shared" si="43"/>
        <v>0</v>
      </c>
      <c r="Q260" s="271">
        <f t="shared" si="44"/>
        <v>0</v>
      </c>
    </row>
    <row r="261" spans="1:17" ht="33.75" x14ac:dyDescent="0.2">
      <c r="A261" s="264" t="s">
        <v>1168</v>
      </c>
      <c r="B261" s="202" t="s">
        <v>531</v>
      </c>
      <c r="C261" s="202" t="s">
        <v>1151</v>
      </c>
      <c r="D261" s="202" t="s">
        <v>1167</v>
      </c>
      <c r="E261" s="202"/>
      <c r="F261" s="265">
        <v>8000</v>
      </c>
      <c r="G261" s="265">
        <v>0</v>
      </c>
      <c r="H261" s="265">
        <v>8000</v>
      </c>
      <c r="I261" s="265">
        <v>0</v>
      </c>
      <c r="J261" s="265">
        <f t="shared" si="41"/>
        <v>0</v>
      </c>
      <c r="K261" s="265">
        <f t="shared" si="42"/>
        <v>0</v>
      </c>
      <c r="L261" s="265">
        <v>8000</v>
      </c>
      <c r="M261" s="226">
        <v>0</v>
      </c>
      <c r="N261" s="265">
        <v>8000</v>
      </c>
      <c r="O261" s="226">
        <v>0</v>
      </c>
      <c r="P261" s="265">
        <f t="shared" si="43"/>
        <v>0</v>
      </c>
      <c r="Q261" s="271">
        <f t="shared" si="44"/>
        <v>0</v>
      </c>
    </row>
    <row r="262" spans="1:17" x14ac:dyDescent="0.2">
      <c r="A262" s="264" t="s">
        <v>1347</v>
      </c>
      <c r="B262" s="202" t="s">
        <v>531</v>
      </c>
      <c r="C262" s="202" t="s">
        <v>1151</v>
      </c>
      <c r="D262" s="202" t="s">
        <v>1167</v>
      </c>
      <c r="E262" s="202" t="s">
        <v>535</v>
      </c>
      <c r="F262" s="265">
        <v>8000</v>
      </c>
      <c r="G262" s="265">
        <v>0</v>
      </c>
      <c r="H262" s="265">
        <v>8000</v>
      </c>
      <c r="I262" s="265">
        <v>0</v>
      </c>
      <c r="J262" s="265">
        <f t="shared" si="41"/>
        <v>0</v>
      </c>
      <c r="K262" s="265">
        <f t="shared" si="42"/>
        <v>0</v>
      </c>
      <c r="L262" s="265">
        <v>8000</v>
      </c>
      <c r="M262" s="226">
        <v>0</v>
      </c>
      <c r="N262" s="265">
        <v>8000</v>
      </c>
      <c r="O262" s="226">
        <v>0</v>
      </c>
      <c r="P262" s="265">
        <f t="shared" si="43"/>
        <v>0</v>
      </c>
      <c r="Q262" s="271">
        <f t="shared" si="44"/>
        <v>0</v>
      </c>
    </row>
    <row r="263" spans="1:17" x14ac:dyDescent="0.2">
      <c r="A263" s="264" t="s">
        <v>534</v>
      </c>
      <c r="B263" s="202" t="s">
        <v>531</v>
      </c>
      <c r="C263" s="202" t="s">
        <v>1151</v>
      </c>
      <c r="D263" s="202" t="s">
        <v>1167</v>
      </c>
      <c r="E263" s="202" t="s">
        <v>529</v>
      </c>
      <c r="F263" s="265">
        <v>8000</v>
      </c>
      <c r="G263" s="265">
        <v>0</v>
      </c>
      <c r="H263" s="265">
        <v>8000</v>
      </c>
      <c r="I263" s="265">
        <v>0</v>
      </c>
      <c r="J263" s="265">
        <f t="shared" si="41"/>
        <v>0</v>
      </c>
      <c r="K263" s="265">
        <f t="shared" si="42"/>
        <v>0</v>
      </c>
      <c r="L263" s="265">
        <v>8000</v>
      </c>
      <c r="M263" s="226">
        <v>0</v>
      </c>
      <c r="N263" s="265">
        <v>8000</v>
      </c>
      <c r="O263" s="226">
        <v>0</v>
      </c>
      <c r="P263" s="265">
        <f t="shared" si="43"/>
        <v>0</v>
      </c>
      <c r="Q263" s="271">
        <f t="shared" si="44"/>
        <v>0</v>
      </c>
    </row>
    <row r="264" spans="1:17" ht="33.75" x14ac:dyDescent="0.2">
      <c r="A264" s="264" t="s">
        <v>1525</v>
      </c>
      <c r="B264" s="202" t="s">
        <v>531</v>
      </c>
      <c r="C264" s="202" t="s">
        <v>1151</v>
      </c>
      <c r="D264" s="202" t="s">
        <v>1166</v>
      </c>
      <c r="E264" s="202"/>
      <c r="F264" s="265">
        <v>90</v>
      </c>
      <c r="G264" s="265">
        <v>0</v>
      </c>
      <c r="H264" s="265">
        <f>H265</f>
        <v>90</v>
      </c>
      <c r="I264" s="265">
        <v>0</v>
      </c>
      <c r="J264" s="281">
        <f t="shared" si="41"/>
        <v>0</v>
      </c>
      <c r="K264" s="265">
        <f t="shared" si="42"/>
        <v>0</v>
      </c>
      <c r="L264" s="265">
        <v>90</v>
      </c>
      <c r="M264" s="226">
        <v>0</v>
      </c>
      <c r="N264" s="265">
        <f>N265</f>
        <v>90</v>
      </c>
      <c r="O264" s="226">
        <v>0</v>
      </c>
      <c r="P264" s="265">
        <f t="shared" si="43"/>
        <v>0</v>
      </c>
      <c r="Q264" s="271">
        <f t="shared" si="44"/>
        <v>0</v>
      </c>
    </row>
    <row r="265" spans="1:17" s="391" customFormat="1" ht="19.5" customHeight="1" x14ac:dyDescent="0.2">
      <c r="A265" s="202" t="s">
        <v>547</v>
      </c>
      <c r="B265" s="202" t="s">
        <v>531</v>
      </c>
      <c r="C265" s="202" t="s">
        <v>1151</v>
      </c>
      <c r="D265" s="202" t="s">
        <v>1166</v>
      </c>
      <c r="E265" s="202">
        <v>600</v>
      </c>
      <c r="F265" s="265">
        <v>90</v>
      </c>
      <c r="G265" s="265">
        <v>0</v>
      </c>
      <c r="H265" s="265">
        <f t="shared" ref="H265:I265" si="49">H266</f>
        <v>90</v>
      </c>
      <c r="I265" s="265">
        <f t="shared" si="49"/>
        <v>0</v>
      </c>
      <c r="J265" s="265">
        <f t="shared" ref="J265:J266" si="50">H265-F265</f>
        <v>0</v>
      </c>
      <c r="K265" s="265">
        <f t="shared" ref="K265:K266" si="51">I265-G265</f>
        <v>0</v>
      </c>
      <c r="L265" s="265">
        <v>90</v>
      </c>
      <c r="M265" s="226">
        <v>0</v>
      </c>
      <c r="N265" s="265">
        <f>N266</f>
        <v>90</v>
      </c>
      <c r="O265" s="226">
        <f>O266</f>
        <v>0</v>
      </c>
      <c r="P265" s="265">
        <f t="shared" ref="P265:P266" si="52">N265-L265</f>
        <v>0</v>
      </c>
      <c r="Q265" s="271">
        <f t="shared" ref="Q265:Q266" si="53">O265-M265</f>
        <v>0</v>
      </c>
    </row>
    <row r="266" spans="1:17" s="391" customFormat="1" x14ac:dyDescent="0.2">
      <c r="A266" s="202" t="s">
        <v>571</v>
      </c>
      <c r="B266" s="202" t="s">
        <v>531</v>
      </c>
      <c r="C266" s="202" t="s">
        <v>1151</v>
      </c>
      <c r="D266" s="202" t="s">
        <v>1166</v>
      </c>
      <c r="E266" s="202">
        <v>610</v>
      </c>
      <c r="F266" s="265">
        <v>90</v>
      </c>
      <c r="G266" s="265">
        <v>0</v>
      </c>
      <c r="H266" s="265">
        <f>'Ведомственная 2021-2022'!H225</f>
        <v>90</v>
      </c>
      <c r="I266" s="265">
        <v>0</v>
      </c>
      <c r="J266" s="265">
        <f t="shared" si="50"/>
        <v>0</v>
      </c>
      <c r="K266" s="265">
        <f t="shared" si="51"/>
        <v>0</v>
      </c>
      <c r="L266" s="265">
        <v>90</v>
      </c>
      <c r="M266" s="226">
        <v>0</v>
      </c>
      <c r="N266" s="265">
        <f>'Ведомственная 2021-2022'!K225</f>
        <v>90</v>
      </c>
      <c r="O266" s="226">
        <v>0</v>
      </c>
      <c r="P266" s="265">
        <f t="shared" si="52"/>
        <v>0</v>
      </c>
      <c r="Q266" s="271">
        <f t="shared" si="53"/>
        <v>0</v>
      </c>
    </row>
    <row r="267" spans="1:17" ht="45" x14ac:dyDescent="0.2">
      <c r="A267" s="264" t="s">
        <v>1165</v>
      </c>
      <c r="B267" s="202" t="s">
        <v>531</v>
      </c>
      <c r="C267" s="202" t="s">
        <v>1151</v>
      </c>
      <c r="D267" s="202" t="s">
        <v>1164</v>
      </c>
      <c r="E267" s="202"/>
      <c r="F267" s="265">
        <v>650</v>
      </c>
      <c r="G267" s="265">
        <v>0</v>
      </c>
      <c r="H267" s="265">
        <v>650</v>
      </c>
      <c r="I267" s="265">
        <v>0</v>
      </c>
      <c r="J267" s="265">
        <f t="shared" si="41"/>
        <v>0</v>
      </c>
      <c r="K267" s="265">
        <f t="shared" si="42"/>
        <v>0</v>
      </c>
      <c r="L267" s="265">
        <v>650</v>
      </c>
      <c r="M267" s="226">
        <v>0</v>
      </c>
      <c r="N267" s="265">
        <v>650</v>
      </c>
      <c r="O267" s="226">
        <v>0</v>
      </c>
      <c r="P267" s="265">
        <f t="shared" si="43"/>
        <v>0</v>
      </c>
      <c r="Q267" s="271">
        <f t="shared" si="44"/>
        <v>0</v>
      </c>
    </row>
    <row r="268" spans="1:17" x14ac:dyDescent="0.2">
      <c r="A268" s="264" t="s">
        <v>1347</v>
      </c>
      <c r="B268" s="202" t="s">
        <v>531</v>
      </c>
      <c r="C268" s="202" t="s">
        <v>1151</v>
      </c>
      <c r="D268" s="202" t="s">
        <v>1164</v>
      </c>
      <c r="E268" s="202" t="s">
        <v>535</v>
      </c>
      <c r="F268" s="265">
        <v>650</v>
      </c>
      <c r="G268" s="265">
        <v>0</v>
      </c>
      <c r="H268" s="265">
        <v>650</v>
      </c>
      <c r="I268" s="265">
        <v>0</v>
      </c>
      <c r="J268" s="265">
        <f t="shared" si="41"/>
        <v>0</v>
      </c>
      <c r="K268" s="265">
        <f t="shared" si="42"/>
        <v>0</v>
      </c>
      <c r="L268" s="265">
        <v>650</v>
      </c>
      <c r="M268" s="226">
        <v>0</v>
      </c>
      <c r="N268" s="265">
        <v>650</v>
      </c>
      <c r="O268" s="226">
        <v>0</v>
      </c>
      <c r="P268" s="265">
        <f t="shared" si="43"/>
        <v>0</v>
      </c>
      <c r="Q268" s="271">
        <f t="shared" si="44"/>
        <v>0</v>
      </c>
    </row>
    <row r="269" spans="1:17" x14ac:dyDescent="0.2">
      <c r="A269" s="264" t="s">
        <v>534</v>
      </c>
      <c r="B269" s="202" t="s">
        <v>531</v>
      </c>
      <c r="C269" s="202" t="s">
        <v>1151</v>
      </c>
      <c r="D269" s="202" t="s">
        <v>1164</v>
      </c>
      <c r="E269" s="202" t="s">
        <v>529</v>
      </c>
      <c r="F269" s="265">
        <v>650</v>
      </c>
      <c r="G269" s="265">
        <v>0</v>
      </c>
      <c r="H269" s="265">
        <v>650</v>
      </c>
      <c r="I269" s="265">
        <v>0</v>
      </c>
      <c r="J269" s="265">
        <f t="shared" si="41"/>
        <v>0</v>
      </c>
      <c r="K269" s="265">
        <f t="shared" si="42"/>
        <v>0</v>
      </c>
      <c r="L269" s="265">
        <v>650</v>
      </c>
      <c r="M269" s="226">
        <v>0</v>
      </c>
      <c r="N269" s="265">
        <v>650</v>
      </c>
      <c r="O269" s="226">
        <v>0</v>
      </c>
      <c r="P269" s="265">
        <f t="shared" si="43"/>
        <v>0</v>
      </c>
      <c r="Q269" s="271">
        <f t="shared" si="44"/>
        <v>0</v>
      </c>
    </row>
    <row r="270" spans="1:17" ht="45" x14ac:dyDescent="0.2">
      <c r="A270" s="264" t="s">
        <v>1163</v>
      </c>
      <c r="B270" s="202" t="s">
        <v>531</v>
      </c>
      <c r="C270" s="202" t="s">
        <v>1151</v>
      </c>
      <c r="D270" s="202" t="s">
        <v>1162</v>
      </c>
      <c r="E270" s="202"/>
      <c r="F270" s="265">
        <v>400</v>
      </c>
      <c r="G270" s="265">
        <v>0</v>
      </c>
      <c r="H270" s="265">
        <v>400</v>
      </c>
      <c r="I270" s="265">
        <v>0</v>
      </c>
      <c r="J270" s="265">
        <f t="shared" si="41"/>
        <v>0</v>
      </c>
      <c r="K270" s="265">
        <f t="shared" si="42"/>
        <v>0</v>
      </c>
      <c r="L270" s="265">
        <v>400</v>
      </c>
      <c r="M270" s="226">
        <v>0</v>
      </c>
      <c r="N270" s="265">
        <v>400</v>
      </c>
      <c r="O270" s="226">
        <v>0</v>
      </c>
      <c r="P270" s="265">
        <f t="shared" si="43"/>
        <v>0</v>
      </c>
      <c r="Q270" s="271">
        <f t="shared" si="44"/>
        <v>0</v>
      </c>
    </row>
    <row r="271" spans="1:17" x14ac:dyDescent="0.2">
      <c r="A271" s="264" t="s">
        <v>1347</v>
      </c>
      <c r="B271" s="202" t="s">
        <v>531</v>
      </c>
      <c r="C271" s="202" t="s">
        <v>1151</v>
      </c>
      <c r="D271" s="202" t="s">
        <v>1162</v>
      </c>
      <c r="E271" s="202" t="s">
        <v>535</v>
      </c>
      <c r="F271" s="265">
        <v>400</v>
      </c>
      <c r="G271" s="265">
        <v>0</v>
      </c>
      <c r="H271" s="265">
        <v>400</v>
      </c>
      <c r="I271" s="265">
        <v>0</v>
      </c>
      <c r="J271" s="265">
        <f t="shared" si="41"/>
        <v>0</v>
      </c>
      <c r="K271" s="265">
        <f t="shared" si="42"/>
        <v>0</v>
      </c>
      <c r="L271" s="265">
        <v>400</v>
      </c>
      <c r="M271" s="226">
        <v>0</v>
      </c>
      <c r="N271" s="265">
        <v>400</v>
      </c>
      <c r="O271" s="226">
        <v>0</v>
      </c>
      <c r="P271" s="265">
        <f t="shared" si="43"/>
        <v>0</v>
      </c>
      <c r="Q271" s="271">
        <f t="shared" si="44"/>
        <v>0</v>
      </c>
    </row>
    <row r="272" spans="1:17" x14ac:dyDescent="0.2">
      <c r="A272" s="264" t="s">
        <v>534</v>
      </c>
      <c r="B272" s="202" t="s">
        <v>531</v>
      </c>
      <c r="C272" s="202" t="s">
        <v>1151</v>
      </c>
      <c r="D272" s="202" t="s">
        <v>1162</v>
      </c>
      <c r="E272" s="202" t="s">
        <v>529</v>
      </c>
      <c r="F272" s="265">
        <v>400</v>
      </c>
      <c r="G272" s="265">
        <v>0</v>
      </c>
      <c r="H272" s="265">
        <v>400</v>
      </c>
      <c r="I272" s="265">
        <v>0</v>
      </c>
      <c r="J272" s="265">
        <f t="shared" si="41"/>
        <v>0</v>
      </c>
      <c r="K272" s="265">
        <f t="shared" si="42"/>
        <v>0</v>
      </c>
      <c r="L272" s="265">
        <v>400</v>
      </c>
      <c r="M272" s="226">
        <v>0</v>
      </c>
      <c r="N272" s="265">
        <v>400</v>
      </c>
      <c r="O272" s="226">
        <v>0</v>
      </c>
      <c r="P272" s="265">
        <f t="shared" si="43"/>
        <v>0</v>
      </c>
      <c r="Q272" s="271">
        <f t="shared" si="44"/>
        <v>0</v>
      </c>
    </row>
    <row r="273" spans="1:17" ht="45" x14ac:dyDescent="0.2">
      <c r="A273" s="264" t="s">
        <v>1161</v>
      </c>
      <c r="B273" s="202" t="s">
        <v>531</v>
      </c>
      <c r="C273" s="202" t="s">
        <v>1151</v>
      </c>
      <c r="D273" s="202" t="s">
        <v>1160</v>
      </c>
      <c r="E273" s="202"/>
      <c r="F273" s="265">
        <v>85</v>
      </c>
      <c r="G273" s="265">
        <v>0</v>
      </c>
      <c r="H273" s="265">
        <v>85</v>
      </c>
      <c r="I273" s="265">
        <v>0</v>
      </c>
      <c r="J273" s="265">
        <f t="shared" si="41"/>
        <v>0</v>
      </c>
      <c r="K273" s="265">
        <f t="shared" si="42"/>
        <v>0</v>
      </c>
      <c r="L273" s="265">
        <v>85</v>
      </c>
      <c r="M273" s="226">
        <v>0</v>
      </c>
      <c r="N273" s="265">
        <v>85</v>
      </c>
      <c r="O273" s="226">
        <v>0</v>
      </c>
      <c r="P273" s="265">
        <f t="shared" si="43"/>
        <v>0</v>
      </c>
      <c r="Q273" s="271">
        <f t="shared" si="44"/>
        <v>0</v>
      </c>
    </row>
    <row r="274" spans="1:17" x14ac:dyDescent="0.2">
      <c r="A274" s="264" t="s">
        <v>547</v>
      </c>
      <c r="B274" s="202" t="s">
        <v>531</v>
      </c>
      <c r="C274" s="202" t="s">
        <v>1151</v>
      </c>
      <c r="D274" s="202" t="s">
        <v>1160</v>
      </c>
      <c r="E274" s="202" t="s">
        <v>519</v>
      </c>
      <c r="F274" s="265">
        <v>85</v>
      </c>
      <c r="G274" s="265">
        <v>0</v>
      </c>
      <c r="H274" s="265">
        <v>85</v>
      </c>
      <c r="I274" s="265">
        <v>0</v>
      </c>
      <c r="J274" s="265">
        <f t="shared" si="41"/>
        <v>0</v>
      </c>
      <c r="K274" s="265">
        <f t="shared" si="42"/>
        <v>0</v>
      </c>
      <c r="L274" s="265">
        <v>85</v>
      </c>
      <c r="M274" s="226">
        <v>0</v>
      </c>
      <c r="N274" s="265">
        <v>85</v>
      </c>
      <c r="O274" s="226">
        <v>0</v>
      </c>
      <c r="P274" s="265">
        <f t="shared" si="43"/>
        <v>0</v>
      </c>
      <c r="Q274" s="271">
        <f t="shared" si="44"/>
        <v>0</v>
      </c>
    </row>
    <row r="275" spans="1:17" x14ac:dyDescent="0.2">
      <c r="A275" s="264" t="s">
        <v>546</v>
      </c>
      <c r="B275" s="202" t="s">
        <v>531</v>
      </c>
      <c r="C275" s="202" t="s">
        <v>1151</v>
      </c>
      <c r="D275" s="202" t="s">
        <v>1160</v>
      </c>
      <c r="E275" s="202" t="s">
        <v>544</v>
      </c>
      <c r="F275" s="265">
        <v>85</v>
      </c>
      <c r="G275" s="265">
        <v>0</v>
      </c>
      <c r="H275" s="265">
        <v>85</v>
      </c>
      <c r="I275" s="265">
        <v>0</v>
      </c>
      <c r="J275" s="265">
        <f t="shared" si="41"/>
        <v>0</v>
      </c>
      <c r="K275" s="265">
        <f t="shared" si="42"/>
        <v>0</v>
      </c>
      <c r="L275" s="265">
        <v>85</v>
      </c>
      <c r="M275" s="226">
        <v>0</v>
      </c>
      <c r="N275" s="265">
        <v>85</v>
      </c>
      <c r="O275" s="226">
        <v>0</v>
      </c>
      <c r="P275" s="265">
        <f t="shared" si="43"/>
        <v>0</v>
      </c>
      <c r="Q275" s="271">
        <f t="shared" si="44"/>
        <v>0</v>
      </c>
    </row>
    <row r="276" spans="1:17" ht="33.75" x14ac:dyDescent="0.2">
      <c r="A276" s="264" t="s">
        <v>1159</v>
      </c>
      <c r="B276" s="202" t="s">
        <v>531</v>
      </c>
      <c r="C276" s="202" t="s">
        <v>1151</v>
      </c>
      <c r="D276" s="202" t="s">
        <v>1158</v>
      </c>
      <c r="E276" s="202"/>
      <c r="F276" s="265">
        <v>18</v>
      </c>
      <c r="G276" s="265">
        <v>0</v>
      </c>
      <c r="H276" s="265">
        <v>18</v>
      </c>
      <c r="I276" s="265">
        <v>0</v>
      </c>
      <c r="J276" s="265">
        <f t="shared" si="41"/>
        <v>0</v>
      </c>
      <c r="K276" s="265">
        <f t="shared" si="42"/>
        <v>0</v>
      </c>
      <c r="L276" s="265">
        <v>18</v>
      </c>
      <c r="M276" s="226">
        <v>0</v>
      </c>
      <c r="N276" s="265">
        <v>18</v>
      </c>
      <c r="O276" s="226">
        <v>0</v>
      </c>
      <c r="P276" s="265">
        <f t="shared" si="43"/>
        <v>0</v>
      </c>
      <c r="Q276" s="271">
        <f t="shared" si="44"/>
        <v>0</v>
      </c>
    </row>
    <row r="277" spans="1:17" ht="22.5" x14ac:dyDescent="0.2">
      <c r="A277" s="264" t="s">
        <v>1157</v>
      </c>
      <c r="B277" s="202" t="s">
        <v>531</v>
      </c>
      <c r="C277" s="202" t="s">
        <v>1151</v>
      </c>
      <c r="D277" s="202" t="s">
        <v>1156</v>
      </c>
      <c r="E277" s="202"/>
      <c r="F277" s="265">
        <v>18</v>
      </c>
      <c r="G277" s="265">
        <v>0</v>
      </c>
      <c r="H277" s="265">
        <v>18</v>
      </c>
      <c r="I277" s="265">
        <v>0</v>
      </c>
      <c r="J277" s="265">
        <f t="shared" si="41"/>
        <v>0</v>
      </c>
      <c r="K277" s="265">
        <f t="shared" si="42"/>
        <v>0</v>
      </c>
      <c r="L277" s="265">
        <v>18</v>
      </c>
      <c r="M277" s="226">
        <v>0</v>
      </c>
      <c r="N277" s="265">
        <v>18</v>
      </c>
      <c r="O277" s="226">
        <v>0</v>
      </c>
      <c r="P277" s="265">
        <f t="shared" si="43"/>
        <v>0</v>
      </c>
      <c r="Q277" s="271">
        <f t="shared" si="44"/>
        <v>0</v>
      </c>
    </row>
    <row r="278" spans="1:17" x14ac:dyDescent="0.2">
      <c r="A278" s="264" t="s">
        <v>547</v>
      </c>
      <c r="B278" s="202" t="s">
        <v>531</v>
      </c>
      <c r="C278" s="202" t="s">
        <v>1151</v>
      </c>
      <c r="D278" s="202" t="s">
        <v>1156</v>
      </c>
      <c r="E278" s="202" t="s">
        <v>519</v>
      </c>
      <c r="F278" s="265">
        <v>18</v>
      </c>
      <c r="G278" s="265">
        <v>0</v>
      </c>
      <c r="H278" s="265">
        <v>18</v>
      </c>
      <c r="I278" s="265">
        <v>0</v>
      </c>
      <c r="J278" s="265">
        <f t="shared" si="41"/>
        <v>0</v>
      </c>
      <c r="K278" s="265">
        <f t="shared" si="42"/>
        <v>0</v>
      </c>
      <c r="L278" s="265">
        <v>18</v>
      </c>
      <c r="M278" s="226">
        <v>0</v>
      </c>
      <c r="N278" s="265">
        <v>18</v>
      </c>
      <c r="O278" s="226">
        <v>0</v>
      </c>
      <c r="P278" s="265">
        <f t="shared" si="43"/>
        <v>0</v>
      </c>
      <c r="Q278" s="271">
        <f t="shared" si="44"/>
        <v>0</v>
      </c>
    </row>
    <row r="279" spans="1:17" x14ac:dyDescent="0.2">
      <c r="A279" s="264" t="s">
        <v>546</v>
      </c>
      <c r="B279" s="202" t="s">
        <v>531</v>
      </c>
      <c r="C279" s="202" t="s">
        <v>1151</v>
      </c>
      <c r="D279" s="202" t="s">
        <v>1156</v>
      </c>
      <c r="E279" s="202" t="s">
        <v>544</v>
      </c>
      <c r="F279" s="265">
        <v>18</v>
      </c>
      <c r="G279" s="265">
        <v>0</v>
      </c>
      <c r="H279" s="265">
        <v>18</v>
      </c>
      <c r="I279" s="265">
        <v>0</v>
      </c>
      <c r="J279" s="265">
        <f t="shared" si="41"/>
        <v>0</v>
      </c>
      <c r="K279" s="265">
        <f t="shared" si="42"/>
        <v>0</v>
      </c>
      <c r="L279" s="265">
        <v>18</v>
      </c>
      <c r="M279" s="226">
        <v>0</v>
      </c>
      <c r="N279" s="265">
        <v>18</v>
      </c>
      <c r="O279" s="226">
        <v>0</v>
      </c>
      <c r="P279" s="265">
        <f t="shared" si="43"/>
        <v>0</v>
      </c>
      <c r="Q279" s="271">
        <f t="shared" si="44"/>
        <v>0</v>
      </c>
    </row>
    <row r="280" spans="1:17" ht="22.5" x14ac:dyDescent="0.2">
      <c r="A280" s="264" t="s">
        <v>1155</v>
      </c>
      <c r="B280" s="202" t="s">
        <v>531</v>
      </c>
      <c r="C280" s="202" t="s">
        <v>1151</v>
      </c>
      <c r="D280" s="202" t="s">
        <v>1154</v>
      </c>
      <c r="E280" s="202"/>
      <c r="F280" s="265">
        <v>37209.5</v>
      </c>
      <c r="G280" s="265">
        <v>0</v>
      </c>
      <c r="H280" s="265">
        <v>37209.5</v>
      </c>
      <c r="I280" s="265">
        <v>0</v>
      </c>
      <c r="J280" s="265">
        <f t="shared" si="41"/>
        <v>0</v>
      </c>
      <c r="K280" s="265">
        <f t="shared" si="42"/>
        <v>0</v>
      </c>
      <c r="L280" s="265">
        <v>37209.5</v>
      </c>
      <c r="M280" s="226">
        <v>0</v>
      </c>
      <c r="N280" s="265">
        <v>37209.5</v>
      </c>
      <c r="O280" s="226">
        <v>0</v>
      </c>
      <c r="P280" s="265">
        <f t="shared" si="43"/>
        <v>0</v>
      </c>
      <c r="Q280" s="271">
        <f t="shared" si="44"/>
        <v>0</v>
      </c>
    </row>
    <row r="281" spans="1:17" x14ac:dyDescent="0.2">
      <c r="A281" s="264" t="s">
        <v>1153</v>
      </c>
      <c r="B281" s="202" t="s">
        <v>531</v>
      </c>
      <c r="C281" s="202" t="s">
        <v>1151</v>
      </c>
      <c r="D281" s="202" t="s">
        <v>1152</v>
      </c>
      <c r="E281" s="202"/>
      <c r="F281" s="265">
        <v>8850</v>
      </c>
      <c r="G281" s="265">
        <v>0</v>
      </c>
      <c r="H281" s="265">
        <v>8850</v>
      </c>
      <c r="I281" s="265">
        <v>0</v>
      </c>
      <c r="J281" s="265">
        <f t="shared" si="41"/>
        <v>0</v>
      </c>
      <c r="K281" s="265">
        <f t="shared" si="42"/>
        <v>0</v>
      </c>
      <c r="L281" s="265">
        <v>8850</v>
      </c>
      <c r="M281" s="226">
        <v>0</v>
      </c>
      <c r="N281" s="265">
        <v>8850</v>
      </c>
      <c r="O281" s="226">
        <v>0</v>
      </c>
      <c r="P281" s="265">
        <f t="shared" si="43"/>
        <v>0</v>
      </c>
      <c r="Q281" s="271">
        <f t="shared" si="44"/>
        <v>0</v>
      </c>
    </row>
    <row r="282" spans="1:17" x14ac:dyDescent="0.2">
      <c r="A282" s="264" t="s">
        <v>1347</v>
      </c>
      <c r="B282" s="202" t="s">
        <v>531</v>
      </c>
      <c r="C282" s="202" t="s">
        <v>1151</v>
      </c>
      <c r="D282" s="202" t="s">
        <v>1152</v>
      </c>
      <c r="E282" s="202" t="s">
        <v>535</v>
      </c>
      <c r="F282" s="265">
        <v>8850</v>
      </c>
      <c r="G282" s="265">
        <v>0</v>
      </c>
      <c r="H282" s="265">
        <v>8850</v>
      </c>
      <c r="I282" s="265">
        <v>0</v>
      </c>
      <c r="J282" s="265">
        <f t="shared" si="41"/>
        <v>0</v>
      </c>
      <c r="K282" s="265">
        <f t="shared" si="42"/>
        <v>0</v>
      </c>
      <c r="L282" s="265">
        <v>8850</v>
      </c>
      <c r="M282" s="226">
        <v>0</v>
      </c>
      <c r="N282" s="265">
        <v>8850</v>
      </c>
      <c r="O282" s="226">
        <v>0</v>
      </c>
      <c r="P282" s="265">
        <f t="shared" si="43"/>
        <v>0</v>
      </c>
      <c r="Q282" s="271">
        <f t="shared" si="44"/>
        <v>0</v>
      </c>
    </row>
    <row r="283" spans="1:17" x14ac:dyDescent="0.2">
      <c r="A283" s="264" t="s">
        <v>534</v>
      </c>
      <c r="B283" s="202" t="s">
        <v>531</v>
      </c>
      <c r="C283" s="202" t="s">
        <v>1151</v>
      </c>
      <c r="D283" s="202" t="s">
        <v>1152</v>
      </c>
      <c r="E283" s="202" t="s">
        <v>529</v>
      </c>
      <c r="F283" s="265">
        <v>8850</v>
      </c>
      <c r="G283" s="265">
        <v>0</v>
      </c>
      <c r="H283" s="265">
        <v>8850</v>
      </c>
      <c r="I283" s="265">
        <v>0</v>
      </c>
      <c r="J283" s="265">
        <f t="shared" si="41"/>
        <v>0</v>
      </c>
      <c r="K283" s="265">
        <f t="shared" si="42"/>
        <v>0</v>
      </c>
      <c r="L283" s="265">
        <v>8850</v>
      </c>
      <c r="M283" s="226">
        <v>0</v>
      </c>
      <c r="N283" s="265">
        <v>8850</v>
      </c>
      <c r="O283" s="226">
        <v>0</v>
      </c>
      <c r="P283" s="265">
        <f t="shared" si="43"/>
        <v>0</v>
      </c>
      <c r="Q283" s="271">
        <f t="shared" si="44"/>
        <v>0</v>
      </c>
    </row>
    <row r="284" spans="1:17" x14ac:dyDescent="0.2">
      <c r="A284" s="264" t="s">
        <v>1351</v>
      </c>
      <c r="B284" s="202" t="s">
        <v>531</v>
      </c>
      <c r="C284" s="202" t="s">
        <v>1151</v>
      </c>
      <c r="D284" s="202" t="s">
        <v>1150</v>
      </c>
      <c r="E284" s="202"/>
      <c r="F284" s="265">
        <v>28359.5</v>
      </c>
      <c r="G284" s="265">
        <v>0</v>
      </c>
      <c r="H284" s="265">
        <v>28359.5</v>
      </c>
      <c r="I284" s="265">
        <v>0</v>
      </c>
      <c r="J284" s="265">
        <f t="shared" si="41"/>
        <v>0</v>
      </c>
      <c r="K284" s="265">
        <f t="shared" si="42"/>
        <v>0</v>
      </c>
      <c r="L284" s="265">
        <v>28359.5</v>
      </c>
      <c r="M284" s="226">
        <v>0</v>
      </c>
      <c r="N284" s="265">
        <v>28359.5</v>
      </c>
      <c r="O284" s="226">
        <v>0</v>
      </c>
      <c r="P284" s="265">
        <f t="shared" si="43"/>
        <v>0</v>
      </c>
      <c r="Q284" s="271">
        <f t="shared" si="44"/>
        <v>0</v>
      </c>
    </row>
    <row r="285" spans="1:17" x14ac:dyDescent="0.2">
      <c r="A285" s="264" t="s">
        <v>547</v>
      </c>
      <c r="B285" s="202" t="s">
        <v>531</v>
      </c>
      <c r="C285" s="202" t="s">
        <v>1151</v>
      </c>
      <c r="D285" s="202" t="s">
        <v>1150</v>
      </c>
      <c r="E285" s="202" t="s">
        <v>519</v>
      </c>
      <c r="F285" s="265">
        <v>28359.5</v>
      </c>
      <c r="G285" s="265">
        <v>0</v>
      </c>
      <c r="H285" s="265">
        <v>28359.5</v>
      </c>
      <c r="I285" s="265">
        <v>0</v>
      </c>
      <c r="J285" s="265">
        <f t="shared" ref="J285:J352" si="54">H285-F285</f>
        <v>0</v>
      </c>
      <c r="K285" s="265">
        <f t="shared" ref="K285:K352" si="55">I285-G285</f>
        <v>0</v>
      </c>
      <c r="L285" s="265">
        <v>28359.5</v>
      </c>
      <c r="M285" s="226">
        <v>0</v>
      </c>
      <c r="N285" s="265">
        <v>28359.5</v>
      </c>
      <c r="O285" s="226">
        <v>0</v>
      </c>
      <c r="P285" s="265">
        <f t="shared" ref="P285:P352" si="56">N285-L285</f>
        <v>0</v>
      </c>
      <c r="Q285" s="271">
        <f t="shared" ref="Q285:Q352" si="57">O285-M285</f>
        <v>0</v>
      </c>
    </row>
    <row r="286" spans="1:17" x14ac:dyDescent="0.2">
      <c r="A286" s="264" t="s">
        <v>546</v>
      </c>
      <c r="B286" s="202" t="s">
        <v>531</v>
      </c>
      <c r="C286" s="202" t="s">
        <v>1151</v>
      </c>
      <c r="D286" s="202" t="s">
        <v>1150</v>
      </c>
      <c r="E286" s="202" t="s">
        <v>544</v>
      </c>
      <c r="F286" s="265">
        <v>28359.5</v>
      </c>
      <c r="G286" s="265">
        <v>0</v>
      </c>
      <c r="H286" s="265">
        <v>28359.5</v>
      </c>
      <c r="I286" s="265">
        <v>0</v>
      </c>
      <c r="J286" s="265">
        <f t="shared" si="54"/>
        <v>0</v>
      </c>
      <c r="K286" s="265">
        <f t="shared" si="55"/>
        <v>0</v>
      </c>
      <c r="L286" s="265">
        <v>28359.5</v>
      </c>
      <c r="M286" s="226">
        <v>0</v>
      </c>
      <c r="N286" s="265">
        <v>28359.5</v>
      </c>
      <c r="O286" s="226">
        <v>0</v>
      </c>
      <c r="P286" s="265">
        <f t="shared" si="56"/>
        <v>0</v>
      </c>
      <c r="Q286" s="271">
        <f t="shared" si="57"/>
        <v>0</v>
      </c>
    </row>
    <row r="287" spans="1:17" x14ac:dyDescent="0.2">
      <c r="A287" s="264" t="s">
        <v>590</v>
      </c>
      <c r="B287" s="202" t="s">
        <v>507</v>
      </c>
      <c r="C287" s="202"/>
      <c r="D287" s="202"/>
      <c r="E287" s="202"/>
      <c r="F287" s="265">
        <v>722370.7</v>
      </c>
      <c r="G287" s="265">
        <v>4487</v>
      </c>
      <c r="H287" s="265">
        <f>H288+H318+H339+H352+H424+H456</f>
        <v>722722.7</v>
      </c>
      <c r="I287" s="265">
        <f>I288+I318+I339+I352+I424+I456</f>
        <v>4839</v>
      </c>
      <c r="J287" s="281">
        <f t="shared" si="54"/>
        <v>352</v>
      </c>
      <c r="K287" s="281">
        <f t="shared" si="55"/>
        <v>352</v>
      </c>
      <c r="L287" s="265">
        <v>752877.4</v>
      </c>
      <c r="M287" s="226">
        <v>4487</v>
      </c>
      <c r="N287" s="265">
        <f>N288+N318+N339+N352+N424+N456</f>
        <v>753229.4</v>
      </c>
      <c r="O287" s="226">
        <f>O288+O318+O339+O352+O424+O456</f>
        <v>4839</v>
      </c>
      <c r="P287" s="281">
        <f t="shared" si="56"/>
        <v>352</v>
      </c>
      <c r="Q287" s="281">
        <f t="shared" si="57"/>
        <v>352</v>
      </c>
    </row>
    <row r="288" spans="1:17" x14ac:dyDescent="0.2">
      <c r="A288" s="264" t="s">
        <v>589</v>
      </c>
      <c r="B288" s="202" t="s">
        <v>507</v>
      </c>
      <c r="C288" s="202" t="s">
        <v>498</v>
      </c>
      <c r="D288" s="202"/>
      <c r="E288" s="202"/>
      <c r="F288" s="265">
        <v>6148.6</v>
      </c>
      <c r="G288" s="265">
        <v>0</v>
      </c>
      <c r="H288" s="265">
        <f>H289+H299+H305</f>
        <v>6148.6</v>
      </c>
      <c r="I288" s="265">
        <v>0</v>
      </c>
      <c r="J288" s="281">
        <f t="shared" si="54"/>
        <v>0</v>
      </c>
      <c r="K288" s="265">
        <f t="shared" si="55"/>
        <v>0</v>
      </c>
      <c r="L288" s="265">
        <v>6148.6</v>
      </c>
      <c r="M288" s="226">
        <v>0</v>
      </c>
      <c r="N288" s="265">
        <f>N289+N299+N305</f>
        <v>6148.6</v>
      </c>
      <c r="O288" s="226">
        <v>0</v>
      </c>
      <c r="P288" s="281">
        <f t="shared" si="56"/>
        <v>0</v>
      </c>
      <c r="Q288" s="271">
        <f t="shared" si="57"/>
        <v>0</v>
      </c>
    </row>
    <row r="289" spans="1:17" x14ac:dyDescent="0.2">
      <c r="A289" s="264" t="s">
        <v>653</v>
      </c>
      <c r="B289" s="202" t="s">
        <v>507</v>
      </c>
      <c r="C289" s="202" t="s">
        <v>498</v>
      </c>
      <c r="D289" s="202" t="s">
        <v>652</v>
      </c>
      <c r="E289" s="202"/>
      <c r="F289" s="265">
        <v>695.6</v>
      </c>
      <c r="G289" s="265">
        <v>0</v>
      </c>
      <c r="H289" s="265">
        <v>695.6</v>
      </c>
      <c r="I289" s="265">
        <v>0</v>
      </c>
      <c r="J289" s="265">
        <f t="shared" si="54"/>
        <v>0</v>
      </c>
      <c r="K289" s="265">
        <f t="shared" si="55"/>
        <v>0</v>
      </c>
      <c r="L289" s="265">
        <v>695.6</v>
      </c>
      <c r="M289" s="226">
        <v>0</v>
      </c>
      <c r="N289" s="265">
        <v>695.6</v>
      </c>
      <c r="O289" s="226">
        <v>0</v>
      </c>
      <c r="P289" s="265">
        <f t="shared" si="56"/>
        <v>0</v>
      </c>
      <c r="Q289" s="271">
        <f t="shared" si="57"/>
        <v>0</v>
      </c>
    </row>
    <row r="290" spans="1:17" ht="22.5" x14ac:dyDescent="0.2">
      <c r="A290" s="264" t="s">
        <v>639</v>
      </c>
      <c r="B290" s="202" t="s">
        <v>507</v>
      </c>
      <c r="C290" s="202" t="s">
        <v>498</v>
      </c>
      <c r="D290" s="202" t="s">
        <v>638</v>
      </c>
      <c r="E290" s="202"/>
      <c r="F290" s="265">
        <v>695.6</v>
      </c>
      <c r="G290" s="265">
        <v>0</v>
      </c>
      <c r="H290" s="265">
        <v>695.6</v>
      </c>
      <c r="I290" s="265">
        <v>0</v>
      </c>
      <c r="J290" s="265">
        <f t="shared" si="54"/>
        <v>0</v>
      </c>
      <c r="K290" s="265">
        <f t="shared" si="55"/>
        <v>0</v>
      </c>
      <c r="L290" s="265">
        <v>695.6</v>
      </c>
      <c r="M290" s="226">
        <v>0</v>
      </c>
      <c r="N290" s="265">
        <v>695.6</v>
      </c>
      <c r="O290" s="226">
        <v>0</v>
      </c>
      <c r="P290" s="265">
        <f t="shared" si="56"/>
        <v>0</v>
      </c>
      <c r="Q290" s="271">
        <f t="shared" si="57"/>
        <v>0</v>
      </c>
    </row>
    <row r="291" spans="1:17" x14ac:dyDescent="0.2">
      <c r="A291" s="264" t="s">
        <v>637</v>
      </c>
      <c r="B291" s="202" t="s">
        <v>507</v>
      </c>
      <c r="C291" s="202" t="s">
        <v>498</v>
      </c>
      <c r="D291" s="202" t="s">
        <v>636</v>
      </c>
      <c r="E291" s="202"/>
      <c r="F291" s="265">
        <v>695.6</v>
      </c>
      <c r="G291" s="265">
        <v>0</v>
      </c>
      <c r="H291" s="265">
        <v>695.6</v>
      </c>
      <c r="I291" s="265">
        <v>0</v>
      </c>
      <c r="J291" s="265">
        <f t="shared" si="54"/>
        <v>0</v>
      </c>
      <c r="K291" s="265">
        <f t="shared" si="55"/>
        <v>0</v>
      </c>
      <c r="L291" s="265">
        <v>695.6</v>
      </c>
      <c r="M291" s="226">
        <v>0</v>
      </c>
      <c r="N291" s="265">
        <v>695.6</v>
      </c>
      <c r="O291" s="226">
        <v>0</v>
      </c>
      <c r="P291" s="265">
        <f t="shared" si="56"/>
        <v>0</v>
      </c>
      <c r="Q291" s="271">
        <f t="shared" si="57"/>
        <v>0</v>
      </c>
    </row>
    <row r="292" spans="1:17" x14ac:dyDescent="0.2">
      <c r="A292" s="264" t="s">
        <v>622</v>
      </c>
      <c r="B292" s="202" t="s">
        <v>507</v>
      </c>
      <c r="C292" s="202" t="s">
        <v>498</v>
      </c>
      <c r="D292" s="202" t="s">
        <v>635</v>
      </c>
      <c r="E292" s="202"/>
      <c r="F292" s="265">
        <v>695.6</v>
      </c>
      <c r="G292" s="265">
        <v>0</v>
      </c>
      <c r="H292" s="265">
        <v>695.6</v>
      </c>
      <c r="I292" s="265">
        <v>0</v>
      </c>
      <c r="J292" s="265">
        <f t="shared" si="54"/>
        <v>0</v>
      </c>
      <c r="K292" s="265">
        <f t="shared" si="55"/>
        <v>0</v>
      </c>
      <c r="L292" s="265">
        <v>695.6</v>
      </c>
      <c r="M292" s="226">
        <v>0</v>
      </c>
      <c r="N292" s="265">
        <v>695.6</v>
      </c>
      <c r="O292" s="226">
        <v>0</v>
      </c>
      <c r="P292" s="265">
        <f t="shared" si="56"/>
        <v>0</v>
      </c>
      <c r="Q292" s="271">
        <f t="shared" si="57"/>
        <v>0</v>
      </c>
    </row>
    <row r="293" spans="1:17" x14ac:dyDescent="0.2">
      <c r="A293" s="264" t="s">
        <v>1347</v>
      </c>
      <c r="B293" s="202" t="s">
        <v>507</v>
      </c>
      <c r="C293" s="202" t="s">
        <v>498</v>
      </c>
      <c r="D293" s="202" t="s">
        <v>635</v>
      </c>
      <c r="E293" s="202" t="s">
        <v>535</v>
      </c>
      <c r="F293" s="265">
        <v>78.3</v>
      </c>
      <c r="G293" s="265">
        <v>0</v>
      </c>
      <c r="H293" s="265">
        <v>78.3</v>
      </c>
      <c r="I293" s="265">
        <v>0</v>
      </c>
      <c r="J293" s="265">
        <f t="shared" si="54"/>
        <v>0</v>
      </c>
      <c r="K293" s="265">
        <f t="shared" si="55"/>
        <v>0</v>
      </c>
      <c r="L293" s="265">
        <v>78.3</v>
      </c>
      <c r="M293" s="226">
        <v>0</v>
      </c>
      <c r="N293" s="265">
        <v>78.3</v>
      </c>
      <c r="O293" s="226">
        <v>0</v>
      </c>
      <c r="P293" s="265">
        <f t="shared" si="56"/>
        <v>0</v>
      </c>
      <c r="Q293" s="271">
        <f t="shared" si="57"/>
        <v>0</v>
      </c>
    </row>
    <row r="294" spans="1:17" x14ac:dyDescent="0.2">
      <c r="A294" s="264" t="s">
        <v>534</v>
      </c>
      <c r="B294" s="202" t="s">
        <v>507</v>
      </c>
      <c r="C294" s="202" t="s">
        <v>498</v>
      </c>
      <c r="D294" s="202" t="s">
        <v>635</v>
      </c>
      <c r="E294" s="202" t="s">
        <v>529</v>
      </c>
      <c r="F294" s="265">
        <v>78.3</v>
      </c>
      <c r="G294" s="265">
        <v>0</v>
      </c>
      <c r="H294" s="265">
        <v>78.3</v>
      </c>
      <c r="I294" s="265">
        <v>0</v>
      </c>
      <c r="J294" s="265">
        <f t="shared" si="54"/>
        <v>0</v>
      </c>
      <c r="K294" s="265">
        <f t="shared" si="55"/>
        <v>0</v>
      </c>
      <c r="L294" s="265">
        <v>78.3</v>
      </c>
      <c r="M294" s="226">
        <v>0</v>
      </c>
      <c r="N294" s="265">
        <v>78.3</v>
      </c>
      <c r="O294" s="226">
        <v>0</v>
      </c>
      <c r="P294" s="265">
        <f t="shared" si="56"/>
        <v>0</v>
      </c>
      <c r="Q294" s="271">
        <f t="shared" si="57"/>
        <v>0</v>
      </c>
    </row>
    <row r="295" spans="1:17" x14ac:dyDescent="0.2">
      <c r="A295" s="264" t="s">
        <v>553</v>
      </c>
      <c r="B295" s="202" t="s">
        <v>507</v>
      </c>
      <c r="C295" s="202" t="s">
        <v>498</v>
      </c>
      <c r="D295" s="202" t="s">
        <v>635</v>
      </c>
      <c r="E295" s="202" t="s">
        <v>552</v>
      </c>
      <c r="F295" s="265">
        <v>517.29999999999995</v>
      </c>
      <c r="G295" s="265">
        <v>0</v>
      </c>
      <c r="H295" s="265">
        <v>517.29999999999995</v>
      </c>
      <c r="I295" s="265">
        <v>0</v>
      </c>
      <c r="J295" s="265">
        <f t="shared" si="54"/>
        <v>0</v>
      </c>
      <c r="K295" s="265">
        <f t="shared" si="55"/>
        <v>0</v>
      </c>
      <c r="L295" s="265">
        <v>517.29999999999995</v>
      </c>
      <c r="M295" s="226">
        <v>0</v>
      </c>
      <c r="N295" s="265">
        <v>517.29999999999995</v>
      </c>
      <c r="O295" s="226">
        <v>0</v>
      </c>
      <c r="P295" s="265">
        <f t="shared" si="56"/>
        <v>0</v>
      </c>
      <c r="Q295" s="271">
        <f t="shared" si="57"/>
        <v>0</v>
      </c>
    </row>
    <row r="296" spans="1:17" x14ac:dyDescent="0.2">
      <c r="A296" s="264" t="s">
        <v>621</v>
      </c>
      <c r="B296" s="202" t="s">
        <v>507</v>
      </c>
      <c r="C296" s="202" t="s">
        <v>498</v>
      </c>
      <c r="D296" s="202" t="s">
        <v>635</v>
      </c>
      <c r="E296" s="202" t="s">
        <v>619</v>
      </c>
      <c r="F296" s="265">
        <v>517.29999999999995</v>
      </c>
      <c r="G296" s="265">
        <v>0</v>
      </c>
      <c r="H296" s="265">
        <v>517.29999999999995</v>
      </c>
      <c r="I296" s="265">
        <v>0</v>
      </c>
      <c r="J296" s="265">
        <f t="shared" si="54"/>
        <v>0</v>
      </c>
      <c r="K296" s="265">
        <f t="shared" si="55"/>
        <v>0</v>
      </c>
      <c r="L296" s="265">
        <v>517.29999999999995</v>
      </c>
      <c r="M296" s="226">
        <v>0</v>
      </c>
      <c r="N296" s="265">
        <v>517.29999999999995</v>
      </c>
      <c r="O296" s="226">
        <v>0</v>
      </c>
      <c r="P296" s="265">
        <f t="shared" si="56"/>
        <v>0</v>
      </c>
      <c r="Q296" s="271">
        <f t="shared" si="57"/>
        <v>0</v>
      </c>
    </row>
    <row r="297" spans="1:17" x14ac:dyDescent="0.2">
      <c r="A297" s="264" t="s">
        <v>547</v>
      </c>
      <c r="B297" s="202" t="s">
        <v>507</v>
      </c>
      <c r="C297" s="202" t="s">
        <v>498</v>
      </c>
      <c r="D297" s="202" t="s">
        <v>635</v>
      </c>
      <c r="E297" s="202" t="s">
        <v>519</v>
      </c>
      <c r="F297" s="265">
        <v>100</v>
      </c>
      <c r="G297" s="265">
        <v>0</v>
      </c>
      <c r="H297" s="265">
        <v>100</v>
      </c>
      <c r="I297" s="265">
        <v>0</v>
      </c>
      <c r="J297" s="265">
        <f t="shared" si="54"/>
        <v>0</v>
      </c>
      <c r="K297" s="265">
        <f t="shared" si="55"/>
        <v>0</v>
      </c>
      <c r="L297" s="265">
        <v>100</v>
      </c>
      <c r="M297" s="226">
        <v>0</v>
      </c>
      <c r="N297" s="265">
        <v>100</v>
      </c>
      <c r="O297" s="226">
        <v>0</v>
      </c>
      <c r="P297" s="265">
        <f t="shared" si="56"/>
        <v>0</v>
      </c>
      <c r="Q297" s="271">
        <f t="shared" si="57"/>
        <v>0</v>
      </c>
    </row>
    <row r="298" spans="1:17" x14ac:dyDescent="0.2">
      <c r="A298" s="264" t="s">
        <v>546</v>
      </c>
      <c r="B298" s="202" t="s">
        <v>507</v>
      </c>
      <c r="C298" s="202" t="s">
        <v>498</v>
      </c>
      <c r="D298" s="202" t="s">
        <v>635</v>
      </c>
      <c r="E298" s="202" t="s">
        <v>544</v>
      </c>
      <c r="F298" s="265">
        <v>100</v>
      </c>
      <c r="G298" s="265">
        <v>0</v>
      </c>
      <c r="H298" s="265">
        <v>100</v>
      </c>
      <c r="I298" s="265">
        <v>0</v>
      </c>
      <c r="J298" s="265">
        <f t="shared" si="54"/>
        <v>0</v>
      </c>
      <c r="K298" s="265">
        <f t="shared" si="55"/>
        <v>0</v>
      </c>
      <c r="L298" s="265">
        <v>100</v>
      </c>
      <c r="M298" s="226">
        <v>0</v>
      </c>
      <c r="N298" s="265">
        <v>100</v>
      </c>
      <c r="O298" s="226">
        <v>0</v>
      </c>
      <c r="P298" s="265">
        <f t="shared" si="56"/>
        <v>0</v>
      </c>
      <c r="Q298" s="271">
        <f t="shared" si="57"/>
        <v>0</v>
      </c>
    </row>
    <row r="299" spans="1:17" x14ac:dyDescent="0.2">
      <c r="A299" s="264" t="s">
        <v>604</v>
      </c>
      <c r="B299" s="202" t="s">
        <v>507</v>
      </c>
      <c r="C299" s="202" t="s">
        <v>498</v>
      </c>
      <c r="D299" s="202" t="s">
        <v>603</v>
      </c>
      <c r="E299" s="202"/>
      <c r="F299" s="265">
        <v>57</v>
      </c>
      <c r="G299" s="265">
        <v>0</v>
      </c>
      <c r="H299" s="265">
        <v>57</v>
      </c>
      <c r="I299" s="265">
        <v>0</v>
      </c>
      <c r="J299" s="265">
        <f t="shared" si="54"/>
        <v>0</v>
      </c>
      <c r="K299" s="265">
        <f t="shared" si="55"/>
        <v>0</v>
      </c>
      <c r="L299" s="265">
        <v>57</v>
      </c>
      <c r="M299" s="226">
        <v>0</v>
      </c>
      <c r="N299" s="265">
        <v>57</v>
      </c>
      <c r="O299" s="226">
        <v>0</v>
      </c>
      <c r="P299" s="265">
        <f t="shared" si="56"/>
        <v>0</v>
      </c>
      <c r="Q299" s="271">
        <f t="shared" si="57"/>
        <v>0</v>
      </c>
    </row>
    <row r="300" spans="1:17" x14ac:dyDescent="0.2">
      <c r="A300" s="264" t="s">
        <v>602</v>
      </c>
      <c r="B300" s="202" t="s">
        <v>507</v>
      </c>
      <c r="C300" s="202" t="s">
        <v>498</v>
      </c>
      <c r="D300" s="202" t="s">
        <v>601</v>
      </c>
      <c r="E300" s="202"/>
      <c r="F300" s="265">
        <v>57</v>
      </c>
      <c r="G300" s="265">
        <v>0</v>
      </c>
      <c r="H300" s="265">
        <v>57</v>
      </c>
      <c r="I300" s="265">
        <v>0</v>
      </c>
      <c r="J300" s="265">
        <f t="shared" si="54"/>
        <v>0</v>
      </c>
      <c r="K300" s="265">
        <f t="shared" si="55"/>
        <v>0</v>
      </c>
      <c r="L300" s="265">
        <v>57</v>
      </c>
      <c r="M300" s="226">
        <v>0</v>
      </c>
      <c r="N300" s="265">
        <v>57</v>
      </c>
      <c r="O300" s="226">
        <v>0</v>
      </c>
      <c r="P300" s="265">
        <f t="shared" si="56"/>
        <v>0</v>
      </c>
      <c r="Q300" s="271">
        <f t="shared" si="57"/>
        <v>0</v>
      </c>
    </row>
    <row r="301" spans="1:17" ht="22.5" x14ac:dyDescent="0.2">
      <c r="A301" s="264" t="s">
        <v>600</v>
      </c>
      <c r="B301" s="202" t="s">
        <v>507</v>
      </c>
      <c r="C301" s="202" t="s">
        <v>498</v>
      </c>
      <c r="D301" s="202" t="s">
        <v>599</v>
      </c>
      <c r="E301" s="202"/>
      <c r="F301" s="265">
        <v>57</v>
      </c>
      <c r="G301" s="265">
        <v>0</v>
      </c>
      <c r="H301" s="265">
        <v>57</v>
      </c>
      <c r="I301" s="265">
        <v>0</v>
      </c>
      <c r="J301" s="265">
        <f t="shared" si="54"/>
        <v>0</v>
      </c>
      <c r="K301" s="265">
        <f t="shared" si="55"/>
        <v>0</v>
      </c>
      <c r="L301" s="265">
        <v>57</v>
      </c>
      <c r="M301" s="226">
        <v>0</v>
      </c>
      <c r="N301" s="265">
        <v>57</v>
      </c>
      <c r="O301" s="226">
        <v>0</v>
      </c>
      <c r="P301" s="265">
        <f t="shared" si="56"/>
        <v>0</v>
      </c>
      <c r="Q301" s="271">
        <f t="shared" si="57"/>
        <v>0</v>
      </c>
    </row>
    <row r="302" spans="1:17" x14ac:dyDescent="0.2">
      <c r="A302" s="264" t="s">
        <v>598</v>
      </c>
      <c r="B302" s="202" t="s">
        <v>507</v>
      </c>
      <c r="C302" s="202" t="s">
        <v>498</v>
      </c>
      <c r="D302" s="202" t="s">
        <v>597</v>
      </c>
      <c r="E302" s="202"/>
      <c r="F302" s="265">
        <v>57</v>
      </c>
      <c r="G302" s="265">
        <v>0</v>
      </c>
      <c r="H302" s="265">
        <v>57</v>
      </c>
      <c r="I302" s="265">
        <v>0</v>
      </c>
      <c r="J302" s="265">
        <f t="shared" si="54"/>
        <v>0</v>
      </c>
      <c r="K302" s="265">
        <f t="shared" si="55"/>
        <v>0</v>
      </c>
      <c r="L302" s="265">
        <v>57</v>
      </c>
      <c r="M302" s="226">
        <v>0</v>
      </c>
      <c r="N302" s="265">
        <v>57</v>
      </c>
      <c r="O302" s="226">
        <v>0</v>
      </c>
      <c r="P302" s="265">
        <f t="shared" si="56"/>
        <v>0</v>
      </c>
      <c r="Q302" s="271">
        <f t="shared" si="57"/>
        <v>0</v>
      </c>
    </row>
    <row r="303" spans="1:17" x14ac:dyDescent="0.2">
      <c r="A303" s="264" t="s">
        <v>1347</v>
      </c>
      <c r="B303" s="202" t="s">
        <v>507</v>
      </c>
      <c r="C303" s="202" t="s">
        <v>498</v>
      </c>
      <c r="D303" s="202" t="s">
        <v>597</v>
      </c>
      <c r="E303" s="202" t="s">
        <v>535</v>
      </c>
      <c r="F303" s="265">
        <v>57</v>
      </c>
      <c r="G303" s="265">
        <v>0</v>
      </c>
      <c r="H303" s="265">
        <v>57</v>
      </c>
      <c r="I303" s="265">
        <v>0</v>
      </c>
      <c r="J303" s="265">
        <f t="shared" si="54"/>
        <v>0</v>
      </c>
      <c r="K303" s="265">
        <f t="shared" si="55"/>
        <v>0</v>
      </c>
      <c r="L303" s="265">
        <v>57</v>
      </c>
      <c r="M303" s="226">
        <v>0</v>
      </c>
      <c r="N303" s="265">
        <v>57</v>
      </c>
      <c r="O303" s="226">
        <v>0</v>
      </c>
      <c r="P303" s="265">
        <f t="shared" si="56"/>
        <v>0</v>
      </c>
      <c r="Q303" s="271">
        <f t="shared" si="57"/>
        <v>0</v>
      </c>
    </row>
    <row r="304" spans="1:17" x14ac:dyDescent="0.2">
      <c r="A304" s="264" t="s">
        <v>534</v>
      </c>
      <c r="B304" s="202" t="s">
        <v>507</v>
      </c>
      <c r="C304" s="202" t="s">
        <v>498</v>
      </c>
      <c r="D304" s="202" t="s">
        <v>597</v>
      </c>
      <c r="E304" s="202" t="s">
        <v>529</v>
      </c>
      <c r="F304" s="265">
        <v>57</v>
      </c>
      <c r="G304" s="265">
        <v>0</v>
      </c>
      <c r="H304" s="265">
        <v>57</v>
      </c>
      <c r="I304" s="265">
        <v>0</v>
      </c>
      <c r="J304" s="265">
        <f t="shared" si="54"/>
        <v>0</v>
      </c>
      <c r="K304" s="265">
        <f t="shared" si="55"/>
        <v>0</v>
      </c>
      <c r="L304" s="265">
        <v>57</v>
      </c>
      <c r="M304" s="226">
        <v>0</v>
      </c>
      <c r="N304" s="265">
        <v>57</v>
      </c>
      <c r="O304" s="226">
        <v>0</v>
      </c>
      <c r="P304" s="265">
        <f t="shared" si="56"/>
        <v>0</v>
      </c>
      <c r="Q304" s="271">
        <f t="shared" si="57"/>
        <v>0</v>
      </c>
    </row>
    <row r="305" spans="1:17" ht="22.5" x14ac:dyDescent="0.2">
      <c r="A305" s="264" t="s">
        <v>588</v>
      </c>
      <c r="B305" s="202" t="s">
        <v>507</v>
      </c>
      <c r="C305" s="202" t="s">
        <v>498</v>
      </c>
      <c r="D305" s="202" t="s">
        <v>587</v>
      </c>
      <c r="E305" s="202"/>
      <c r="F305" s="265">
        <v>5396</v>
      </c>
      <c r="G305" s="265">
        <v>0</v>
      </c>
      <c r="H305" s="265">
        <f>H306</f>
        <v>5396</v>
      </c>
      <c r="I305" s="265">
        <v>0</v>
      </c>
      <c r="J305" s="281">
        <f t="shared" si="54"/>
        <v>0</v>
      </c>
      <c r="K305" s="265">
        <f t="shared" si="55"/>
        <v>0</v>
      </c>
      <c r="L305" s="265">
        <v>5396</v>
      </c>
      <c r="M305" s="226">
        <v>0</v>
      </c>
      <c r="N305" s="265">
        <f>N306</f>
        <v>5396</v>
      </c>
      <c r="O305" s="226">
        <v>0</v>
      </c>
      <c r="P305" s="281">
        <f t="shared" si="56"/>
        <v>0</v>
      </c>
      <c r="Q305" s="271">
        <f t="shared" si="57"/>
        <v>0</v>
      </c>
    </row>
    <row r="306" spans="1:17" x14ac:dyDescent="0.2">
      <c r="A306" s="264" t="s">
        <v>586</v>
      </c>
      <c r="B306" s="202" t="s">
        <v>507</v>
      </c>
      <c r="C306" s="202" t="s">
        <v>498</v>
      </c>
      <c r="D306" s="202" t="s">
        <v>585</v>
      </c>
      <c r="E306" s="202"/>
      <c r="F306" s="265">
        <v>5396</v>
      </c>
      <c r="G306" s="265">
        <v>0</v>
      </c>
      <c r="H306" s="265">
        <f>H307</f>
        <v>5396</v>
      </c>
      <c r="I306" s="265">
        <v>0</v>
      </c>
      <c r="J306" s="281">
        <f t="shared" si="54"/>
        <v>0</v>
      </c>
      <c r="K306" s="265">
        <f t="shared" si="55"/>
        <v>0</v>
      </c>
      <c r="L306" s="265">
        <v>5396</v>
      </c>
      <c r="M306" s="226">
        <v>0</v>
      </c>
      <c r="N306" s="265">
        <f>N307</f>
        <v>5396</v>
      </c>
      <c r="O306" s="226">
        <v>0</v>
      </c>
      <c r="P306" s="281">
        <f t="shared" si="56"/>
        <v>0</v>
      </c>
      <c r="Q306" s="271">
        <f t="shared" si="57"/>
        <v>0</v>
      </c>
    </row>
    <row r="307" spans="1:17" ht="33.75" x14ac:dyDescent="0.2">
      <c r="A307" s="264" t="s">
        <v>584</v>
      </c>
      <c r="B307" s="202" t="s">
        <v>507</v>
      </c>
      <c r="C307" s="202" t="s">
        <v>498</v>
      </c>
      <c r="D307" s="202" t="s">
        <v>583</v>
      </c>
      <c r="E307" s="202"/>
      <c r="F307" s="265">
        <v>5396</v>
      </c>
      <c r="G307" s="265">
        <v>0</v>
      </c>
      <c r="H307" s="265">
        <f>H308+H312+H315</f>
        <v>5396</v>
      </c>
      <c r="I307" s="265">
        <v>0</v>
      </c>
      <c r="J307" s="281">
        <f t="shared" si="54"/>
        <v>0</v>
      </c>
      <c r="K307" s="265">
        <f t="shared" si="55"/>
        <v>0</v>
      </c>
      <c r="L307" s="265">
        <v>5396</v>
      </c>
      <c r="M307" s="226">
        <v>0</v>
      </c>
      <c r="N307" s="265">
        <f>N308+N312+N315</f>
        <v>5396</v>
      </c>
      <c r="O307" s="226">
        <v>0</v>
      </c>
      <c r="P307" s="281">
        <f t="shared" si="56"/>
        <v>0</v>
      </c>
      <c r="Q307" s="271">
        <f t="shared" si="57"/>
        <v>0</v>
      </c>
    </row>
    <row r="308" spans="1:17" x14ac:dyDescent="0.2">
      <c r="A308" s="264" t="s">
        <v>582</v>
      </c>
      <c r="B308" s="202" t="s">
        <v>507</v>
      </c>
      <c r="C308" s="202" t="s">
        <v>498</v>
      </c>
      <c r="D308" s="202" t="s">
        <v>581</v>
      </c>
      <c r="E308" s="202"/>
      <c r="F308" s="265">
        <v>4797.7</v>
      </c>
      <c r="G308" s="265">
        <v>0</v>
      </c>
      <c r="H308" s="265">
        <f>H309</f>
        <v>4797.7</v>
      </c>
      <c r="I308" s="265">
        <v>0</v>
      </c>
      <c r="J308" s="281">
        <f t="shared" si="54"/>
        <v>0</v>
      </c>
      <c r="K308" s="265">
        <f t="shared" si="55"/>
        <v>0</v>
      </c>
      <c r="L308" s="265">
        <v>4797.7</v>
      </c>
      <c r="M308" s="226">
        <v>0</v>
      </c>
      <c r="N308" s="265">
        <f>N309</f>
        <v>4797.7</v>
      </c>
      <c r="O308" s="226">
        <v>0</v>
      </c>
      <c r="P308" s="281">
        <f t="shared" si="56"/>
        <v>0</v>
      </c>
      <c r="Q308" s="271">
        <f t="shared" si="57"/>
        <v>0</v>
      </c>
    </row>
    <row r="309" spans="1:17" x14ac:dyDescent="0.2">
      <c r="A309" s="264" t="s">
        <v>547</v>
      </c>
      <c r="B309" s="202" t="s">
        <v>507</v>
      </c>
      <c r="C309" s="202" t="s">
        <v>498</v>
      </c>
      <c r="D309" s="202" t="s">
        <v>581</v>
      </c>
      <c r="E309" s="202" t="s">
        <v>519</v>
      </c>
      <c r="F309" s="265">
        <v>4797.7</v>
      </c>
      <c r="G309" s="265">
        <v>0</v>
      </c>
      <c r="H309" s="265">
        <f>H310+H311</f>
        <v>4797.7</v>
      </c>
      <c r="I309" s="265">
        <v>0</v>
      </c>
      <c r="J309" s="281">
        <f t="shared" si="54"/>
        <v>0</v>
      </c>
      <c r="K309" s="265">
        <f t="shared" si="55"/>
        <v>0</v>
      </c>
      <c r="L309" s="265">
        <v>4797.7</v>
      </c>
      <c r="M309" s="226">
        <v>0</v>
      </c>
      <c r="N309" s="265">
        <f>N310+N311</f>
        <v>4797.7</v>
      </c>
      <c r="O309" s="226">
        <v>0</v>
      </c>
      <c r="P309" s="281">
        <f t="shared" si="56"/>
        <v>0</v>
      </c>
      <c r="Q309" s="271">
        <f t="shared" si="57"/>
        <v>0</v>
      </c>
    </row>
    <row r="310" spans="1:17" x14ac:dyDescent="0.2">
      <c r="A310" s="264" t="s">
        <v>571</v>
      </c>
      <c r="B310" s="202" t="s">
        <v>507</v>
      </c>
      <c r="C310" s="202" t="s">
        <v>498</v>
      </c>
      <c r="D310" s="202" t="s">
        <v>581</v>
      </c>
      <c r="E310" s="202" t="s">
        <v>522</v>
      </c>
      <c r="F310" s="265">
        <v>3577.6</v>
      </c>
      <c r="G310" s="265">
        <v>0</v>
      </c>
      <c r="H310" s="265">
        <f>3577.6</f>
        <v>3577.6</v>
      </c>
      <c r="I310" s="265">
        <v>0</v>
      </c>
      <c r="J310" s="281">
        <f t="shared" si="54"/>
        <v>0</v>
      </c>
      <c r="K310" s="265">
        <f t="shared" si="55"/>
        <v>0</v>
      </c>
      <c r="L310" s="265">
        <v>3577.6</v>
      </c>
      <c r="M310" s="226">
        <v>0</v>
      </c>
      <c r="N310" s="265">
        <f>3577.6</f>
        <v>3577.6</v>
      </c>
      <c r="O310" s="226">
        <v>0</v>
      </c>
      <c r="P310" s="281">
        <f t="shared" si="56"/>
        <v>0</v>
      </c>
      <c r="Q310" s="271">
        <f t="shared" si="57"/>
        <v>0</v>
      </c>
    </row>
    <row r="311" spans="1:17" x14ac:dyDescent="0.2">
      <c r="A311" s="264" t="s">
        <v>546</v>
      </c>
      <c r="B311" s="202" t="s">
        <v>507</v>
      </c>
      <c r="C311" s="202" t="s">
        <v>498</v>
      </c>
      <c r="D311" s="202" t="s">
        <v>581</v>
      </c>
      <c r="E311" s="202" t="s">
        <v>544</v>
      </c>
      <c r="F311" s="265">
        <v>1220.0999999999999</v>
      </c>
      <c r="G311" s="265">
        <v>0</v>
      </c>
      <c r="H311" s="265">
        <f>1220.1</f>
        <v>1220.0999999999999</v>
      </c>
      <c r="I311" s="265">
        <v>0</v>
      </c>
      <c r="J311" s="281">
        <f t="shared" si="54"/>
        <v>0</v>
      </c>
      <c r="K311" s="265">
        <f t="shared" si="55"/>
        <v>0</v>
      </c>
      <c r="L311" s="265">
        <v>1220.0999999999999</v>
      </c>
      <c r="M311" s="226">
        <v>0</v>
      </c>
      <c r="N311" s="265">
        <f>1220.1</f>
        <v>1220.0999999999999</v>
      </c>
      <c r="O311" s="226">
        <v>0</v>
      </c>
      <c r="P311" s="281">
        <f t="shared" si="56"/>
        <v>0</v>
      </c>
      <c r="Q311" s="271">
        <f t="shared" si="57"/>
        <v>0</v>
      </c>
    </row>
    <row r="312" spans="1:17" ht="22.5" x14ac:dyDescent="0.2">
      <c r="A312" s="264" t="s">
        <v>1526</v>
      </c>
      <c r="B312" s="202" t="s">
        <v>507</v>
      </c>
      <c r="C312" s="202" t="s">
        <v>498</v>
      </c>
      <c r="D312" s="202" t="s">
        <v>1149</v>
      </c>
      <c r="E312" s="202"/>
      <c r="F312" s="265">
        <v>459.6</v>
      </c>
      <c r="G312" s="265">
        <v>0</v>
      </c>
      <c r="H312" s="265">
        <f>H313</f>
        <v>459.6</v>
      </c>
      <c r="I312" s="265">
        <f>I313</f>
        <v>0</v>
      </c>
      <c r="J312" s="281">
        <f t="shared" si="54"/>
        <v>0</v>
      </c>
      <c r="K312" s="265">
        <f t="shared" si="55"/>
        <v>0</v>
      </c>
      <c r="L312" s="265">
        <v>459.6</v>
      </c>
      <c r="M312" s="226">
        <v>0</v>
      </c>
      <c r="N312" s="265">
        <f t="shared" ref="N312:O312" si="58">N313</f>
        <v>459.6</v>
      </c>
      <c r="O312" s="226">
        <f t="shared" si="58"/>
        <v>0</v>
      </c>
      <c r="P312" s="281">
        <f t="shared" si="56"/>
        <v>0</v>
      </c>
      <c r="Q312" s="271">
        <f t="shared" si="57"/>
        <v>0</v>
      </c>
    </row>
    <row r="313" spans="1:17" s="391" customFormat="1" x14ac:dyDescent="0.2">
      <c r="A313" s="264" t="s">
        <v>547</v>
      </c>
      <c r="B313" s="202" t="s">
        <v>507</v>
      </c>
      <c r="C313" s="202" t="s">
        <v>498</v>
      </c>
      <c r="D313" s="202" t="s">
        <v>1149</v>
      </c>
      <c r="E313" s="202" t="s">
        <v>519</v>
      </c>
      <c r="F313" s="265">
        <v>459.6</v>
      </c>
      <c r="G313" s="265">
        <v>0</v>
      </c>
      <c r="H313" s="265">
        <f>H314</f>
        <v>459.6</v>
      </c>
      <c r="I313" s="265">
        <f>I314</f>
        <v>0</v>
      </c>
      <c r="J313" s="281">
        <f t="shared" ref="J313:J314" si="59">H313-F313</f>
        <v>0</v>
      </c>
      <c r="K313" s="265">
        <f t="shared" ref="K313:K314" si="60">I313-G313</f>
        <v>0</v>
      </c>
      <c r="L313" s="265">
        <v>459.6</v>
      </c>
      <c r="M313" s="226">
        <v>0</v>
      </c>
      <c r="N313" s="265">
        <f>N314</f>
        <v>459.6</v>
      </c>
      <c r="O313" s="226">
        <f>O314</f>
        <v>0</v>
      </c>
      <c r="P313" s="281">
        <f t="shared" ref="P313:P314" si="61">N313-L313</f>
        <v>0</v>
      </c>
      <c r="Q313" s="271">
        <f t="shared" ref="Q313:Q314" si="62">O313-M313</f>
        <v>0</v>
      </c>
    </row>
    <row r="314" spans="1:17" s="391" customFormat="1" x14ac:dyDescent="0.2">
      <c r="A314" s="264" t="s">
        <v>571</v>
      </c>
      <c r="B314" s="202" t="s">
        <v>507</v>
      </c>
      <c r="C314" s="202" t="s">
        <v>498</v>
      </c>
      <c r="D314" s="202" t="s">
        <v>1149</v>
      </c>
      <c r="E314" s="202" t="s">
        <v>522</v>
      </c>
      <c r="F314" s="265">
        <v>459.6</v>
      </c>
      <c r="G314" s="265">
        <v>0</v>
      </c>
      <c r="H314" s="265">
        <f>'Ведомственная 2021-2022'!H269</f>
        <v>459.6</v>
      </c>
      <c r="I314" s="265">
        <v>0</v>
      </c>
      <c r="J314" s="281">
        <f t="shared" si="59"/>
        <v>0</v>
      </c>
      <c r="K314" s="265">
        <f t="shared" si="60"/>
        <v>0</v>
      </c>
      <c r="L314" s="265">
        <v>459.6</v>
      </c>
      <c r="M314" s="226">
        <v>0</v>
      </c>
      <c r="N314" s="265">
        <f>'Ведомственная 2021-2022'!K269</f>
        <v>459.6</v>
      </c>
      <c r="O314" s="226">
        <v>0</v>
      </c>
      <c r="P314" s="281">
        <f t="shared" si="61"/>
        <v>0</v>
      </c>
      <c r="Q314" s="271">
        <f t="shared" si="62"/>
        <v>0</v>
      </c>
    </row>
    <row r="315" spans="1:17" ht="22.5" x14ac:dyDescent="0.2">
      <c r="A315" s="264" t="s">
        <v>1148</v>
      </c>
      <c r="B315" s="202" t="s">
        <v>507</v>
      </c>
      <c r="C315" s="202" t="s">
        <v>498</v>
      </c>
      <c r="D315" s="202" t="s">
        <v>1147</v>
      </c>
      <c r="E315" s="202"/>
      <c r="F315" s="265">
        <v>138.69999999999999</v>
      </c>
      <c r="G315" s="265">
        <v>0</v>
      </c>
      <c r="H315" s="265">
        <v>138.69999999999999</v>
      </c>
      <c r="I315" s="265">
        <v>0</v>
      </c>
      <c r="J315" s="265">
        <f t="shared" si="54"/>
        <v>0</v>
      </c>
      <c r="K315" s="265">
        <f t="shared" si="55"/>
        <v>0</v>
      </c>
      <c r="L315" s="265">
        <v>138.69999999999999</v>
      </c>
      <c r="M315" s="226">
        <v>0</v>
      </c>
      <c r="N315" s="265">
        <v>138.69999999999999</v>
      </c>
      <c r="O315" s="226">
        <v>0</v>
      </c>
      <c r="P315" s="265">
        <f t="shared" si="56"/>
        <v>0</v>
      </c>
      <c r="Q315" s="271">
        <f t="shared" si="57"/>
        <v>0</v>
      </c>
    </row>
    <row r="316" spans="1:17" x14ac:dyDescent="0.2">
      <c r="A316" s="264" t="s">
        <v>547</v>
      </c>
      <c r="B316" s="202" t="s">
        <v>507</v>
      </c>
      <c r="C316" s="202" t="s">
        <v>498</v>
      </c>
      <c r="D316" s="202" t="s">
        <v>1147</v>
      </c>
      <c r="E316" s="202" t="s">
        <v>519</v>
      </c>
      <c r="F316" s="265">
        <v>138.69999999999999</v>
      </c>
      <c r="G316" s="265">
        <v>0</v>
      </c>
      <c r="H316" s="265">
        <v>138.69999999999999</v>
      </c>
      <c r="I316" s="265">
        <v>0</v>
      </c>
      <c r="J316" s="265">
        <f t="shared" si="54"/>
        <v>0</v>
      </c>
      <c r="K316" s="265">
        <f t="shared" si="55"/>
        <v>0</v>
      </c>
      <c r="L316" s="265">
        <v>138.69999999999999</v>
      </c>
      <c r="M316" s="226">
        <v>0</v>
      </c>
      <c r="N316" s="265">
        <v>138.69999999999999</v>
      </c>
      <c r="O316" s="226">
        <v>0</v>
      </c>
      <c r="P316" s="265">
        <f t="shared" si="56"/>
        <v>0</v>
      </c>
      <c r="Q316" s="271">
        <f t="shared" si="57"/>
        <v>0</v>
      </c>
    </row>
    <row r="317" spans="1:17" x14ac:dyDescent="0.2">
      <c r="A317" s="264" t="s">
        <v>571</v>
      </c>
      <c r="B317" s="202" t="s">
        <v>507</v>
      </c>
      <c r="C317" s="202" t="s">
        <v>498</v>
      </c>
      <c r="D317" s="202" t="s">
        <v>1147</v>
      </c>
      <c r="E317" s="202" t="s">
        <v>522</v>
      </c>
      <c r="F317" s="265">
        <v>138.69999999999999</v>
      </c>
      <c r="G317" s="265">
        <v>0</v>
      </c>
      <c r="H317" s="265">
        <v>138.69999999999999</v>
      </c>
      <c r="I317" s="265">
        <v>0</v>
      </c>
      <c r="J317" s="265">
        <f t="shared" si="54"/>
        <v>0</v>
      </c>
      <c r="K317" s="265">
        <f t="shared" si="55"/>
        <v>0</v>
      </c>
      <c r="L317" s="265">
        <v>138.69999999999999</v>
      </c>
      <c r="M317" s="226">
        <v>0</v>
      </c>
      <c r="N317" s="265">
        <v>138.69999999999999</v>
      </c>
      <c r="O317" s="226">
        <v>0</v>
      </c>
      <c r="P317" s="265">
        <f t="shared" si="56"/>
        <v>0</v>
      </c>
      <c r="Q317" s="271">
        <f t="shared" si="57"/>
        <v>0</v>
      </c>
    </row>
    <row r="318" spans="1:17" x14ac:dyDescent="0.2">
      <c r="A318" s="264" t="s">
        <v>1146</v>
      </c>
      <c r="B318" s="202" t="s">
        <v>507</v>
      </c>
      <c r="C318" s="202" t="s">
        <v>512</v>
      </c>
      <c r="D318" s="202"/>
      <c r="E318" s="202"/>
      <c r="F318" s="265">
        <v>11178</v>
      </c>
      <c r="G318" s="265">
        <v>2088</v>
      </c>
      <c r="H318" s="265">
        <f>H319</f>
        <v>11530</v>
      </c>
      <c r="I318" s="265">
        <f>I319</f>
        <v>2440</v>
      </c>
      <c r="J318" s="281">
        <f t="shared" si="54"/>
        <v>352</v>
      </c>
      <c r="K318" s="265">
        <f t="shared" si="55"/>
        <v>352</v>
      </c>
      <c r="L318" s="265">
        <v>11178</v>
      </c>
      <c r="M318" s="226">
        <v>2088</v>
      </c>
      <c r="N318" s="265">
        <f>N319</f>
        <v>11530</v>
      </c>
      <c r="O318" s="226">
        <f>O319</f>
        <v>2440</v>
      </c>
      <c r="P318" s="281">
        <f t="shared" si="56"/>
        <v>352</v>
      </c>
      <c r="Q318" s="271">
        <f t="shared" si="57"/>
        <v>352</v>
      </c>
    </row>
    <row r="319" spans="1:17" x14ac:dyDescent="0.2">
      <c r="A319" s="264" t="s">
        <v>1145</v>
      </c>
      <c r="B319" s="202" t="s">
        <v>507</v>
      </c>
      <c r="C319" s="202" t="s">
        <v>512</v>
      </c>
      <c r="D319" s="202" t="s">
        <v>1144</v>
      </c>
      <c r="E319" s="202"/>
      <c r="F319" s="265">
        <v>11178</v>
      </c>
      <c r="G319" s="265">
        <v>2088</v>
      </c>
      <c r="H319" s="265">
        <f>H320+H329+H334</f>
        <v>11530</v>
      </c>
      <c r="I319" s="265">
        <f>I320+I329+I334</f>
        <v>2440</v>
      </c>
      <c r="J319" s="281">
        <f t="shared" si="54"/>
        <v>352</v>
      </c>
      <c r="K319" s="265">
        <f t="shared" si="55"/>
        <v>352</v>
      </c>
      <c r="L319" s="265">
        <v>11178</v>
      </c>
      <c r="M319" s="226">
        <v>2088</v>
      </c>
      <c r="N319" s="265">
        <f>N320+N329+N334</f>
        <v>11530</v>
      </c>
      <c r="O319" s="226">
        <f>O320+O329+O334</f>
        <v>2440</v>
      </c>
      <c r="P319" s="281">
        <f t="shared" si="56"/>
        <v>352</v>
      </c>
      <c r="Q319" s="271">
        <f t="shared" si="57"/>
        <v>352</v>
      </c>
    </row>
    <row r="320" spans="1:17" x14ac:dyDescent="0.2">
      <c r="A320" s="264" t="s">
        <v>1285</v>
      </c>
      <c r="B320" s="202" t="s">
        <v>507</v>
      </c>
      <c r="C320" s="202" t="s">
        <v>512</v>
      </c>
      <c r="D320" s="202" t="s">
        <v>1286</v>
      </c>
      <c r="E320" s="202"/>
      <c r="F320" s="265">
        <v>400</v>
      </c>
      <c r="G320" s="265">
        <v>0</v>
      </c>
      <c r="H320" s="265">
        <f>H321+H325</f>
        <v>400</v>
      </c>
      <c r="I320" s="265">
        <v>0</v>
      </c>
      <c r="J320" s="281">
        <f t="shared" si="54"/>
        <v>0</v>
      </c>
      <c r="K320" s="265">
        <f t="shared" si="55"/>
        <v>0</v>
      </c>
      <c r="L320" s="265">
        <v>400</v>
      </c>
      <c r="M320" s="226">
        <v>0</v>
      </c>
      <c r="N320" s="265">
        <f>N321+N325</f>
        <v>400</v>
      </c>
      <c r="O320" s="226">
        <v>0</v>
      </c>
      <c r="P320" s="281">
        <f t="shared" si="56"/>
        <v>0</v>
      </c>
      <c r="Q320" s="271">
        <f t="shared" si="57"/>
        <v>0</v>
      </c>
    </row>
    <row r="321" spans="1:17" ht="22.5" x14ac:dyDescent="0.2">
      <c r="A321" s="264" t="s">
        <v>1287</v>
      </c>
      <c r="B321" s="202" t="s">
        <v>507</v>
      </c>
      <c r="C321" s="202" t="s">
        <v>512</v>
      </c>
      <c r="D321" s="202" t="s">
        <v>1288</v>
      </c>
      <c r="E321" s="202"/>
      <c r="F321" s="265">
        <v>400</v>
      </c>
      <c r="G321" s="265">
        <v>0</v>
      </c>
      <c r="H321" s="265">
        <f>H322</f>
        <v>0</v>
      </c>
      <c r="I321" s="265">
        <v>0</v>
      </c>
      <c r="J321" s="281">
        <f t="shared" si="54"/>
        <v>-400</v>
      </c>
      <c r="K321" s="265">
        <f t="shared" si="55"/>
        <v>0</v>
      </c>
      <c r="L321" s="265">
        <v>400</v>
      </c>
      <c r="M321" s="226">
        <v>0</v>
      </c>
      <c r="N321" s="265">
        <f>N322</f>
        <v>0</v>
      </c>
      <c r="O321" s="226">
        <v>0</v>
      </c>
      <c r="P321" s="281">
        <f t="shared" si="56"/>
        <v>-400</v>
      </c>
      <c r="Q321" s="271">
        <f t="shared" si="57"/>
        <v>0</v>
      </c>
    </row>
    <row r="322" spans="1:17" x14ac:dyDescent="0.2">
      <c r="A322" s="264" t="s">
        <v>1289</v>
      </c>
      <c r="B322" s="202" t="s">
        <v>507</v>
      </c>
      <c r="C322" s="202" t="s">
        <v>512</v>
      </c>
      <c r="D322" s="202" t="s">
        <v>1290</v>
      </c>
      <c r="E322" s="202"/>
      <c r="F322" s="265">
        <v>400</v>
      </c>
      <c r="G322" s="265">
        <v>0</v>
      </c>
      <c r="H322" s="265">
        <f>H323</f>
        <v>0</v>
      </c>
      <c r="I322" s="265">
        <v>0</v>
      </c>
      <c r="J322" s="281">
        <f t="shared" si="54"/>
        <v>-400</v>
      </c>
      <c r="K322" s="265">
        <f t="shared" si="55"/>
        <v>0</v>
      </c>
      <c r="L322" s="265">
        <v>400</v>
      </c>
      <c r="M322" s="226">
        <v>0</v>
      </c>
      <c r="N322" s="265">
        <f>N323</f>
        <v>0</v>
      </c>
      <c r="O322" s="226">
        <v>0</v>
      </c>
      <c r="P322" s="281">
        <f t="shared" si="56"/>
        <v>-400</v>
      </c>
      <c r="Q322" s="271">
        <f t="shared" si="57"/>
        <v>0</v>
      </c>
    </row>
    <row r="323" spans="1:17" x14ac:dyDescent="0.2">
      <c r="A323" s="264" t="s">
        <v>1347</v>
      </c>
      <c r="B323" s="202" t="s">
        <v>507</v>
      </c>
      <c r="C323" s="202" t="s">
        <v>512</v>
      </c>
      <c r="D323" s="202" t="s">
        <v>1290</v>
      </c>
      <c r="E323" s="202" t="s">
        <v>535</v>
      </c>
      <c r="F323" s="265">
        <v>400</v>
      </c>
      <c r="G323" s="265">
        <v>0</v>
      </c>
      <c r="H323" s="265">
        <f>H324</f>
        <v>0</v>
      </c>
      <c r="I323" s="265">
        <v>0</v>
      </c>
      <c r="J323" s="281">
        <f t="shared" si="54"/>
        <v>-400</v>
      </c>
      <c r="K323" s="265">
        <f t="shared" si="55"/>
        <v>0</v>
      </c>
      <c r="L323" s="265">
        <v>400</v>
      </c>
      <c r="M323" s="226">
        <v>0</v>
      </c>
      <c r="N323" s="265">
        <f>N324</f>
        <v>0</v>
      </c>
      <c r="O323" s="226">
        <v>0</v>
      </c>
      <c r="P323" s="281">
        <f t="shared" si="56"/>
        <v>-400</v>
      </c>
      <c r="Q323" s="271">
        <f t="shared" si="57"/>
        <v>0</v>
      </c>
    </row>
    <row r="324" spans="1:17" x14ac:dyDescent="0.2">
      <c r="A324" s="264" t="s">
        <v>534</v>
      </c>
      <c r="B324" s="202" t="s">
        <v>507</v>
      </c>
      <c r="C324" s="202" t="s">
        <v>512</v>
      </c>
      <c r="D324" s="202" t="s">
        <v>1290</v>
      </c>
      <c r="E324" s="202" t="s">
        <v>529</v>
      </c>
      <c r="F324" s="265">
        <v>400</v>
      </c>
      <c r="G324" s="265">
        <v>0</v>
      </c>
      <c r="H324" s="265">
        <f>'Ведомственная 2021-2022'!H279</f>
        <v>0</v>
      </c>
      <c r="I324" s="265">
        <v>0</v>
      </c>
      <c r="J324" s="281">
        <f t="shared" si="54"/>
        <v>-400</v>
      </c>
      <c r="K324" s="265">
        <f t="shared" si="55"/>
        <v>0</v>
      </c>
      <c r="L324" s="265">
        <v>400</v>
      </c>
      <c r="M324" s="226">
        <v>0</v>
      </c>
      <c r="N324" s="265">
        <f>'Ведомственная 2021-2022'!K279</f>
        <v>0</v>
      </c>
      <c r="O324" s="226">
        <v>0</v>
      </c>
      <c r="P324" s="281">
        <f t="shared" si="56"/>
        <v>-400</v>
      </c>
      <c r="Q324" s="271">
        <f t="shared" si="57"/>
        <v>0</v>
      </c>
    </row>
    <row r="325" spans="1:17" s="444" customFormat="1" ht="22.5" x14ac:dyDescent="0.2">
      <c r="A325" s="264" t="s">
        <v>1660</v>
      </c>
      <c r="B325" s="202" t="s">
        <v>507</v>
      </c>
      <c r="C325" s="202" t="s">
        <v>512</v>
      </c>
      <c r="D325" s="202" t="s">
        <v>1661</v>
      </c>
      <c r="E325" s="202"/>
      <c r="F325" s="265">
        <f>F326</f>
        <v>0</v>
      </c>
      <c r="G325" s="265">
        <f t="shared" ref="G325:I327" si="63">G326</f>
        <v>0</v>
      </c>
      <c r="H325" s="265">
        <f t="shared" si="63"/>
        <v>400</v>
      </c>
      <c r="I325" s="265">
        <f t="shared" si="63"/>
        <v>0</v>
      </c>
      <c r="J325" s="281">
        <f t="shared" ref="J325:J328" si="64">H325-F325</f>
        <v>400</v>
      </c>
      <c r="K325" s="265">
        <f t="shared" ref="K325:K328" si="65">I325-G325</f>
        <v>0</v>
      </c>
      <c r="L325" s="265">
        <f t="shared" ref="L325:O327" si="66">L326</f>
        <v>0</v>
      </c>
      <c r="M325" s="226">
        <f t="shared" si="66"/>
        <v>0</v>
      </c>
      <c r="N325" s="265">
        <f t="shared" si="66"/>
        <v>400</v>
      </c>
      <c r="O325" s="226">
        <f t="shared" si="66"/>
        <v>0</v>
      </c>
      <c r="P325" s="281">
        <f t="shared" ref="P325:P328" si="67">N325-L325</f>
        <v>400</v>
      </c>
      <c r="Q325" s="271">
        <f t="shared" ref="Q325:Q328" si="68">O325-M325</f>
        <v>0</v>
      </c>
    </row>
    <row r="326" spans="1:17" s="444" customFormat="1" x14ac:dyDescent="0.2">
      <c r="A326" s="264" t="s">
        <v>1289</v>
      </c>
      <c r="B326" s="202" t="s">
        <v>507</v>
      </c>
      <c r="C326" s="202" t="s">
        <v>512</v>
      </c>
      <c r="D326" s="202" t="s">
        <v>1662</v>
      </c>
      <c r="E326" s="202"/>
      <c r="F326" s="265">
        <f>F327</f>
        <v>0</v>
      </c>
      <c r="G326" s="265">
        <f t="shared" si="63"/>
        <v>0</v>
      </c>
      <c r="H326" s="265">
        <f t="shared" si="63"/>
        <v>400</v>
      </c>
      <c r="I326" s="265">
        <f t="shared" si="63"/>
        <v>0</v>
      </c>
      <c r="J326" s="281">
        <f t="shared" si="64"/>
        <v>400</v>
      </c>
      <c r="K326" s="265">
        <f t="shared" si="65"/>
        <v>0</v>
      </c>
      <c r="L326" s="265">
        <f t="shared" si="66"/>
        <v>0</v>
      </c>
      <c r="M326" s="226">
        <f t="shared" si="66"/>
        <v>0</v>
      </c>
      <c r="N326" s="265">
        <f t="shared" si="66"/>
        <v>400</v>
      </c>
      <c r="O326" s="226">
        <f t="shared" si="66"/>
        <v>0</v>
      </c>
      <c r="P326" s="281">
        <f t="shared" si="67"/>
        <v>400</v>
      </c>
      <c r="Q326" s="271">
        <f t="shared" si="68"/>
        <v>0</v>
      </c>
    </row>
    <row r="327" spans="1:17" s="444" customFormat="1" x14ac:dyDescent="0.2">
      <c r="A327" s="264" t="s">
        <v>1347</v>
      </c>
      <c r="B327" s="202" t="s">
        <v>507</v>
      </c>
      <c r="C327" s="202" t="s">
        <v>512</v>
      </c>
      <c r="D327" s="202" t="s">
        <v>1662</v>
      </c>
      <c r="E327" s="202" t="s">
        <v>535</v>
      </c>
      <c r="F327" s="265">
        <f>F328</f>
        <v>0</v>
      </c>
      <c r="G327" s="265">
        <f t="shared" si="63"/>
        <v>0</v>
      </c>
      <c r="H327" s="265">
        <f t="shared" si="63"/>
        <v>400</v>
      </c>
      <c r="I327" s="265">
        <f t="shared" si="63"/>
        <v>0</v>
      </c>
      <c r="J327" s="281">
        <f t="shared" si="64"/>
        <v>400</v>
      </c>
      <c r="K327" s="265">
        <f t="shared" si="65"/>
        <v>0</v>
      </c>
      <c r="L327" s="265">
        <f t="shared" si="66"/>
        <v>0</v>
      </c>
      <c r="M327" s="226">
        <f t="shared" si="66"/>
        <v>0</v>
      </c>
      <c r="N327" s="265">
        <f t="shared" si="66"/>
        <v>400</v>
      </c>
      <c r="O327" s="226">
        <f t="shared" si="66"/>
        <v>0</v>
      </c>
      <c r="P327" s="281">
        <f t="shared" si="67"/>
        <v>400</v>
      </c>
      <c r="Q327" s="271">
        <f t="shared" si="68"/>
        <v>0</v>
      </c>
    </row>
    <row r="328" spans="1:17" s="444" customFormat="1" x14ac:dyDescent="0.2">
      <c r="A328" s="264" t="s">
        <v>534</v>
      </c>
      <c r="B328" s="202" t="s">
        <v>507</v>
      </c>
      <c r="C328" s="202" t="s">
        <v>512</v>
      </c>
      <c r="D328" s="202" t="s">
        <v>1662</v>
      </c>
      <c r="E328" s="202" t="s">
        <v>529</v>
      </c>
      <c r="F328" s="265">
        <v>0</v>
      </c>
      <c r="G328" s="265">
        <v>0</v>
      </c>
      <c r="H328" s="265">
        <f>'Ведомственная 2021-2022'!H283</f>
        <v>400</v>
      </c>
      <c r="I328" s="265">
        <v>0</v>
      </c>
      <c r="J328" s="281">
        <f t="shared" si="64"/>
        <v>400</v>
      </c>
      <c r="K328" s="265">
        <f t="shared" si="65"/>
        <v>0</v>
      </c>
      <c r="L328" s="265">
        <v>0</v>
      </c>
      <c r="M328" s="226">
        <v>0</v>
      </c>
      <c r="N328" s="265">
        <f>'Ведомственная 2021-2022'!K283</f>
        <v>400</v>
      </c>
      <c r="O328" s="226">
        <v>0</v>
      </c>
      <c r="P328" s="281">
        <f t="shared" si="67"/>
        <v>400</v>
      </c>
      <c r="Q328" s="271">
        <f t="shared" si="68"/>
        <v>0</v>
      </c>
    </row>
    <row r="329" spans="1:17" x14ac:dyDescent="0.2">
      <c r="A329" s="264" t="s">
        <v>1143</v>
      </c>
      <c r="B329" s="202" t="s">
        <v>507</v>
      </c>
      <c r="C329" s="202" t="s">
        <v>512</v>
      </c>
      <c r="D329" s="202" t="s">
        <v>1142</v>
      </c>
      <c r="E329" s="202"/>
      <c r="F329" s="265">
        <v>8690</v>
      </c>
      <c r="G329" s="265">
        <v>0</v>
      </c>
      <c r="H329" s="265">
        <v>8690</v>
      </c>
      <c r="I329" s="265">
        <v>0</v>
      </c>
      <c r="J329" s="265">
        <f t="shared" si="54"/>
        <v>0</v>
      </c>
      <c r="K329" s="265">
        <f t="shared" si="55"/>
        <v>0</v>
      </c>
      <c r="L329" s="265">
        <v>8690</v>
      </c>
      <c r="M329" s="226">
        <v>0</v>
      </c>
      <c r="N329" s="265">
        <v>8690</v>
      </c>
      <c r="O329" s="226">
        <v>0</v>
      </c>
      <c r="P329" s="265">
        <f t="shared" si="56"/>
        <v>0</v>
      </c>
      <c r="Q329" s="271">
        <f t="shared" si="57"/>
        <v>0</v>
      </c>
    </row>
    <row r="330" spans="1:17" ht="22.5" x14ac:dyDescent="0.2">
      <c r="A330" s="264" t="s">
        <v>1141</v>
      </c>
      <c r="B330" s="202" t="s">
        <v>507</v>
      </c>
      <c r="C330" s="202" t="s">
        <v>512</v>
      </c>
      <c r="D330" s="202" t="s">
        <v>1140</v>
      </c>
      <c r="E330" s="202"/>
      <c r="F330" s="265">
        <v>8690</v>
      </c>
      <c r="G330" s="265">
        <v>0</v>
      </c>
      <c r="H330" s="265">
        <v>8690</v>
      </c>
      <c r="I330" s="265">
        <v>0</v>
      </c>
      <c r="J330" s="265">
        <f t="shared" si="54"/>
        <v>0</v>
      </c>
      <c r="K330" s="265">
        <f t="shared" si="55"/>
        <v>0</v>
      </c>
      <c r="L330" s="265">
        <v>8690</v>
      </c>
      <c r="M330" s="226">
        <v>0</v>
      </c>
      <c r="N330" s="265">
        <v>8690</v>
      </c>
      <c r="O330" s="226">
        <v>0</v>
      </c>
      <c r="P330" s="265">
        <f t="shared" si="56"/>
        <v>0</v>
      </c>
      <c r="Q330" s="271">
        <f t="shared" si="57"/>
        <v>0</v>
      </c>
    </row>
    <row r="331" spans="1:17" x14ac:dyDescent="0.2">
      <c r="A331" s="264" t="s">
        <v>1139</v>
      </c>
      <c r="B331" s="202" t="s">
        <v>507</v>
      </c>
      <c r="C331" s="202" t="s">
        <v>512</v>
      </c>
      <c r="D331" s="202" t="s">
        <v>1138</v>
      </c>
      <c r="E331" s="202"/>
      <c r="F331" s="265">
        <v>8690</v>
      </c>
      <c r="G331" s="265">
        <v>0</v>
      </c>
      <c r="H331" s="265">
        <v>8690</v>
      </c>
      <c r="I331" s="265">
        <v>0</v>
      </c>
      <c r="J331" s="265">
        <f t="shared" si="54"/>
        <v>0</v>
      </c>
      <c r="K331" s="265">
        <f t="shared" si="55"/>
        <v>0</v>
      </c>
      <c r="L331" s="265">
        <v>8690</v>
      </c>
      <c r="M331" s="226">
        <v>0</v>
      </c>
      <c r="N331" s="265">
        <v>8690</v>
      </c>
      <c r="O331" s="226">
        <v>0</v>
      </c>
      <c r="P331" s="265">
        <f t="shared" si="56"/>
        <v>0</v>
      </c>
      <c r="Q331" s="271">
        <f t="shared" si="57"/>
        <v>0</v>
      </c>
    </row>
    <row r="332" spans="1:17" x14ac:dyDescent="0.2">
      <c r="A332" s="264" t="s">
        <v>1347</v>
      </c>
      <c r="B332" s="202" t="s">
        <v>507</v>
      </c>
      <c r="C332" s="202" t="s">
        <v>512</v>
      </c>
      <c r="D332" s="202" t="s">
        <v>1138</v>
      </c>
      <c r="E332" s="202" t="s">
        <v>535</v>
      </c>
      <c r="F332" s="265">
        <v>8690</v>
      </c>
      <c r="G332" s="265">
        <v>0</v>
      </c>
      <c r="H332" s="265">
        <v>8690</v>
      </c>
      <c r="I332" s="265">
        <v>0</v>
      </c>
      <c r="J332" s="265">
        <f t="shared" si="54"/>
        <v>0</v>
      </c>
      <c r="K332" s="265">
        <f t="shared" si="55"/>
        <v>0</v>
      </c>
      <c r="L332" s="265">
        <v>8690</v>
      </c>
      <c r="M332" s="226">
        <v>0</v>
      </c>
      <c r="N332" s="265">
        <v>8690</v>
      </c>
      <c r="O332" s="226">
        <v>0</v>
      </c>
      <c r="P332" s="265">
        <f t="shared" si="56"/>
        <v>0</v>
      </c>
      <c r="Q332" s="271">
        <f t="shared" si="57"/>
        <v>0</v>
      </c>
    </row>
    <row r="333" spans="1:17" x14ac:dyDescent="0.2">
      <c r="A333" s="264" t="s">
        <v>534</v>
      </c>
      <c r="B333" s="202" t="s">
        <v>507</v>
      </c>
      <c r="C333" s="202" t="s">
        <v>512</v>
      </c>
      <c r="D333" s="202" t="s">
        <v>1138</v>
      </c>
      <c r="E333" s="202" t="s">
        <v>529</v>
      </c>
      <c r="F333" s="265">
        <v>8690</v>
      </c>
      <c r="G333" s="265">
        <v>0</v>
      </c>
      <c r="H333" s="265">
        <v>8690</v>
      </c>
      <c r="I333" s="265">
        <v>0</v>
      </c>
      <c r="J333" s="265">
        <f t="shared" si="54"/>
        <v>0</v>
      </c>
      <c r="K333" s="265">
        <f t="shared" si="55"/>
        <v>0</v>
      </c>
      <c r="L333" s="265">
        <v>8690</v>
      </c>
      <c r="M333" s="226">
        <v>0</v>
      </c>
      <c r="N333" s="265">
        <v>8690</v>
      </c>
      <c r="O333" s="226">
        <v>0</v>
      </c>
      <c r="P333" s="265">
        <f t="shared" si="56"/>
        <v>0</v>
      </c>
      <c r="Q333" s="271">
        <f t="shared" si="57"/>
        <v>0</v>
      </c>
    </row>
    <row r="334" spans="1:17" x14ac:dyDescent="0.2">
      <c r="A334" s="264" t="s">
        <v>1137</v>
      </c>
      <c r="B334" s="202" t="s">
        <v>507</v>
      </c>
      <c r="C334" s="202" t="s">
        <v>512</v>
      </c>
      <c r="D334" s="202" t="s">
        <v>1136</v>
      </c>
      <c r="E334" s="202"/>
      <c r="F334" s="265">
        <v>2088</v>
      </c>
      <c r="G334" s="265">
        <v>2088</v>
      </c>
      <c r="H334" s="265">
        <f t="shared" ref="H334:I337" si="69">H335</f>
        <v>2440</v>
      </c>
      <c r="I334" s="265">
        <f t="shared" si="69"/>
        <v>2440</v>
      </c>
      <c r="J334" s="265">
        <f t="shared" si="54"/>
        <v>352</v>
      </c>
      <c r="K334" s="265">
        <f t="shared" si="55"/>
        <v>352</v>
      </c>
      <c r="L334" s="265">
        <v>2088</v>
      </c>
      <c r="M334" s="226">
        <v>2088</v>
      </c>
      <c r="N334" s="265">
        <f t="shared" ref="N334:O337" si="70">N335</f>
        <v>2440</v>
      </c>
      <c r="O334" s="226">
        <f t="shared" si="70"/>
        <v>2440</v>
      </c>
      <c r="P334" s="265">
        <f t="shared" si="56"/>
        <v>352</v>
      </c>
      <c r="Q334" s="271">
        <f t="shared" si="57"/>
        <v>352</v>
      </c>
    </row>
    <row r="335" spans="1:17" ht="33.75" x14ac:dyDescent="0.2">
      <c r="A335" s="264" t="s">
        <v>1135</v>
      </c>
      <c r="B335" s="202" t="s">
        <v>507</v>
      </c>
      <c r="C335" s="202" t="s">
        <v>512</v>
      </c>
      <c r="D335" s="202" t="s">
        <v>1134</v>
      </c>
      <c r="E335" s="202"/>
      <c r="F335" s="265">
        <v>2088</v>
      </c>
      <c r="G335" s="265">
        <v>2088</v>
      </c>
      <c r="H335" s="265">
        <f t="shared" si="69"/>
        <v>2440</v>
      </c>
      <c r="I335" s="265">
        <f t="shared" si="69"/>
        <v>2440</v>
      </c>
      <c r="J335" s="265">
        <f t="shared" si="54"/>
        <v>352</v>
      </c>
      <c r="K335" s="265">
        <f t="shared" si="55"/>
        <v>352</v>
      </c>
      <c r="L335" s="265">
        <v>2088</v>
      </c>
      <c r="M335" s="226">
        <v>2088</v>
      </c>
      <c r="N335" s="265">
        <f t="shared" si="70"/>
        <v>2440</v>
      </c>
      <c r="O335" s="226">
        <f t="shared" si="70"/>
        <v>2440</v>
      </c>
      <c r="P335" s="265">
        <f t="shared" si="56"/>
        <v>352</v>
      </c>
      <c r="Q335" s="271">
        <f t="shared" si="57"/>
        <v>352</v>
      </c>
    </row>
    <row r="336" spans="1:17" ht="22.5" x14ac:dyDescent="0.2">
      <c r="A336" s="264" t="s">
        <v>1606</v>
      </c>
      <c r="B336" s="202" t="s">
        <v>507</v>
      </c>
      <c r="C336" s="202" t="s">
        <v>512</v>
      </c>
      <c r="D336" s="202" t="s">
        <v>1133</v>
      </c>
      <c r="E336" s="202"/>
      <c r="F336" s="265">
        <v>2088</v>
      </c>
      <c r="G336" s="265">
        <v>2088</v>
      </c>
      <c r="H336" s="265">
        <f t="shared" si="69"/>
        <v>2440</v>
      </c>
      <c r="I336" s="265">
        <f t="shared" si="69"/>
        <v>2440</v>
      </c>
      <c r="J336" s="265">
        <f t="shared" si="54"/>
        <v>352</v>
      </c>
      <c r="K336" s="265">
        <f t="shared" si="55"/>
        <v>352</v>
      </c>
      <c r="L336" s="265">
        <v>2088</v>
      </c>
      <c r="M336" s="226">
        <v>2088</v>
      </c>
      <c r="N336" s="265">
        <f t="shared" si="70"/>
        <v>2440</v>
      </c>
      <c r="O336" s="226">
        <f t="shared" si="70"/>
        <v>2440</v>
      </c>
      <c r="P336" s="265">
        <f t="shared" si="56"/>
        <v>352</v>
      </c>
      <c r="Q336" s="271">
        <f t="shared" si="57"/>
        <v>352</v>
      </c>
    </row>
    <row r="337" spans="1:17" x14ac:dyDescent="0.2">
      <c r="A337" s="264" t="s">
        <v>1347</v>
      </c>
      <c r="B337" s="202" t="s">
        <v>507</v>
      </c>
      <c r="C337" s="202" t="s">
        <v>512</v>
      </c>
      <c r="D337" s="202" t="s">
        <v>1133</v>
      </c>
      <c r="E337" s="202" t="s">
        <v>535</v>
      </c>
      <c r="F337" s="265">
        <v>2088</v>
      </c>
      <c r="G337" s="265">
        <v>2088</v>
      </c>
      <c r="H337" s="265">
        <f t="shared" si="69"/>
        <v>2440</v>
      </c>
      <c r="I337" s="265">
        <f t="shared" si="69"/>
        <v>2440</v>
      </c>
      <c r="J337" s="265">
        <f t="shared" si="54"/>
        <v>352</v>
      </c>
      <c r="K337" s="265">
        <f t="shared" si="55"/>
        <v>352</v>
      </c>
      <c r="L337" s="265">
        <v>2088</v>
      </c>
      <c r="M337" s="226">
        <v>2088</v>
      </c>
      <c r="N337" s="265">
        <f t="shared" si="70"/>
        <v>2440</v>
      </c>
      <c r="O337" s="226">
        <f t="shared" si="70"/>
        <v>2440</v>
      </c>
      <c r="P337" s="265">
        <f t="shared" si="56"/>
        <v>352</v>
      </c>
      <c r="Q337" s="271">
        <f t="shared" si="57"/>
        <v>352</v>
      </c>
    </row>
    <row r="338" spans="1:17" x14ac:dyDescent="0.2">
      <c r="A338" s="264" t="s">
        <v>534</v>
      </c>
      <c r="B338" s="202" t="s">
        <v>507</v>
      </c>
      <c r="C338" s="202" t="s">
        <v>512</v>
      </c>
      <c r="D338" s="202" t="s">
        <v>1133</v>
      </c>
      <c r="E338" s="202" t="s">
        <v>529</v>
      </c>
      <c r="F338" s="265">
        <v>2088</v>
      </c>
      <c r="G338" s="265">
        <v>2088</v>
      </c>
      <c r="H338" s="265">
        <f>'Ведомственная 2021-2022'!H293</f>
        <v>2440</v>
      </c>
      <c r="I338" s="265">
        <f>H338</f>
        <v>2440</v>
      </c>
      <c r="J338" s="265">
        <f t="shared" si="54"/>
        <v>352</v>
      </c>
      <c r="K338" s="265">
        <f t="shared" si="55"/>
        <v>352</v>
      </c>
      <c r="L338" s="265">
        <v>2088</v>
      </c>
      <c r="M338" s="226">
        <v>2088</v>
      </c>
      <c r="N338" s="265">
        <f>'Ведомственная 2021-2022'!K293</f>
        <v>2440</v>
      </c>
      <c r="O338" s="226">
        <f>N338</f>
        <v>2440</v>
      </c>
      <c r="P338" s="265">
        <f t="shared" si="56"/>
        <v>352</v>
      </c>
      <c r="Q338" s="271">
        <f t="shared" si="57"/>
        <v>352</v>
      </c>
    </row>
    <row r="339" spans="1:17" x14ac:dyDescent="0.2">
      <c r="A339" s="264" t="s">
        <v>1131</v>
      </c>
      <c r="B339" s="202" t="s">
        <v>507</v>
      </c>
      <c r="C339" s="202" t="s">
        <v>617</v>
      </c>
      <c r="D339" s="202"/>
      <c r="E339" s="202"/>
      <c r="F339" s="265">
        <v>57922</v>
      </c>
      <c r="G339" s="265">
        <v>0</v>
      </c>
      <c r="H339" s="265">
        <f>H340</f>
        <v>57922</v>
      </c>
      <c r="I339" s="265">
        <v>0</v>
      </c>
      <c r="J339" s="281">
        <f t="shared" si="54"/>
        <v>0</v>
      </c>
      <c r="K339" s="265">
        <f t="shared" si="55"/>
        <v>0</v>
      </c>
      <c r="L339" s="265">
        <v>57922</v>
      </c>
      <c r="M339" s="226">
        <v>0</v>
      </c>
      <c r="N339" s="265">
        <f>N340</f>
        <v>57922</v>
      </c>
      <c r="O339" s="226">
        <v>0</v>
      </c>
      <c r="P339" s="281">
        <f t="shared" si="56"/>
        <v>0</v>
      </c>
      <c r="Q339" s="271">
        <f t="shared" si="57"/>
        <v>0</v>
      </c>
    </row>
    <row r="340" spans="1:17" x14ac:dyDescent="0.2">
      <c r="A340" s="264" t="s">
        <v>1117</v>
      </c>
      <c r="B340" s="202" t="s">
        <v>507</v>
      </c>
      <c r="C340" s="202" t="s">
        <v>617</v>
      </c>
      <c r="D340" s="202" t="s">
        <v>1116</v>
      </c>
      <c r="E340" s="202"/>
      <c r="F340" s="265">
        <v>57922</v>
      </c>
      <c r="G340" s="265">
        <v>0</v>
      </c>
      <c r="H340" s="265">
        <f>H341</f>
        <v>57922</v>
      </c>
      <c r="I340" s="265">
        <v>0</v>
      </c>
      <c r="J340" s="281">
        <f t="shared" si="54"/>
        <v>0</v>
      </c>
      <c r="K340" s="265">
        <f t="shared" si="55"/>
        <v>0</v>
      </c>
      <c r="L340" s="265">
        <v>57922</v>
      </c>
      <c r="M340" s="226">
        <v>0</v>
      </c>
      <c r="N340" s="265">
        <f>N341</f>
        <v>57922</v>
      </c>
      <c r="O340" s="226">
        <v>0</v>
      </c>
      <c r="P340" s="281">
        <f t="shared" si="56"/>
        <v>0</v>
      </c>
      <c r="Q340" s="271">
        <f t="shared" si="57"/>
        <v>0</v>
      </c>
    </row>
    <row r="341" spans="1:17" x14ac:dyDescent="0.2">
      <c r="A341" s="264" t="s">
        <v>1130</v>
      </c>
      <c r="B341" s="202" t="s">
        <v>507</v>
      </c>
      <c r="C341" s="202" t="s">
        <v>617</v>
      </c>
      <c r="D341" s="202" t="s">
        <v>1129</v>
      </c>
      <c r="E341" s="202"/>
      <c r="F341" s="265">
        <v>57922</v>
      </c>
      <c r="G341" s="265">
        <v>0</v>
      </c>
      <c r="H341" s="265">
        <f>H342</f>
        <v>57922</v>
      </c>
      <c r="I341" s="265">
        <v>0</v>
      </c>
      <c r="J341" s="281">
        <f t="shared" si="54"/>
        <v>0</v>
      </c>
      <c r="K341" s="265">
        <f t="shared" si="55"/>
        <v>0</v>
      </c>
      <c r="L341" s="265">
        <v>57922</v>
      </c>
      <c r="M341" s="226">
        <v>0</v>
      </c>
      <c r="N341" s="265">
        <f>N342</f>
        <v>57922</v>
      </c>
      <c r="O341" s="226">
        <v>0</v>
      </c>
      <c r="P341" s="281">
        <f t="shared" si="56"/>
        <v>0</v>
      </c>
      <c r="Q341" s="271">
        <f t="shared" si="57"/>
        <v>0</v>
      </c>
    </row>
    <row r="342" spans="1:17" ht="33.75" x14ac:dyDescent="0.2">
      <c r="A342" s="264" t="s">
        <v>1128</v>
      </c>
      <c r="B342" s="202" t="s">
        <v>507</v>
      </c>
      <c r="C342" s="202" t="s">
        <v>617</v>
      </c>
      <c r="D342" s="202" t="s">
        <v>1127</v>
      </c>
      <c r="E342" s="202"/>
      <c r="F342" s="265">
        <v>57922</v>
      </c>
      <c r="G342" s="265">
        <v>0</v>
      </c>
      <c r="H342" s="265">
        <f>H343+H346+H349</f>
        <v>57922</v>
      </c>
      <c r="I342" s="265">
        <v>0</v>
      </c>
      <c r="J342" s="281">
        <f t="shared" si="54"/>
        <v>0</v>
      </c>
      <c r="K342" s="265">
        <f t="shared" si="55"/>
        <v>0</v>
      </c>
      <c r="L342" s="265">
        <v>57922</v>
      </c>
      <c r="M342" s="226">
        <v>0</v>
      </c>
      <c r="N342" s="265">
        <f>N343+N346+N349</f>
        <v>57922</v>
      </c>
      <c r="O342" s="226">
        <v>0</v>
      </c>
      <c r="P342" s="281">
        <f t="shared" si="56"/>
        <v>0</v>
      </c>
      <c r="Q342" s="271">
        <f t="shared" si="57"/>
        <v>0</v>
      </c>
    </row>
    <row r="343" spans="1:17" ht="22.5" x14ac:dyDescent="0.2">
      <c r="A343" s="264" t="s">
        <v>1126</v>
      </c>
      <c r="B343" s="202" t="s">
        <v>507</v>
      </c>
      <c r="C343" s="202" t="s">
        <v>617</v>
      </c>
      <c r="D343" s="202" t="s">
        <v>1125</v>
      </c>
      <c r="E343" s="202"/>
      <c r="F343" s="265">
        <v>6000</v>
      </c>
      <c r="G343" s="265">
        <v>0</v>
      </c>
      <c r="H343" s="265">
        <v>6000</v>
      </c>
      <c r="I343" s="265">
        <v>0</v>
      </c>
      <c r="J343" s="265">
        <f t="shared" si="54"/>
        <v>0</v>
      </c>
      <c r="K343" s="265">
        <f t="shared" si="55"/>
        <v>0</v>
      </c>
      <c r="L343" s="265">
        <v>6000</v>
      </c>
      <c r="M343" s="226">
        <v>0</v>
      </c>
      <c r="N343" s="265">
        <v>6000</v>
      </c>
      <c r="O343" s="226">
        <v>0</v>
      </c>
      <c r="P343" s="265">
        <f t="shared" si="56"/>
        <v>0</v>
      </c>
      <c r="Q343" s="271">
        <f t="shared" si="57"/>
        <v>0</v>
      </c>
    </row>
    <row r="344" spans="1:17" x14ac:dyDescent="0.2">
      <c r="A344" s="264" t="s">
        <v>1347</v>
      </c>
      <c r="B344" s="202" t="s">
        <v>507</v>
      </c>
      <c r="C344" s="202" t="s">
        <v>617</v>
      </c>
      <c r="D344" s="202" t="s">
        <v>1125</v>
      </c>
      <c r="E344" s="202" t="s">
        <v>535</v>
      </c>
      <c r="F344" s="265">
        <v>6000</v>
      </c>
      <c r="G344" s="265">
        <v>0</v>
      </c>
      <c r="H344" s="265">
        <v>6000</v>
      </c>
      <c r="I344" s="265">
        <v>0</v>
      </c>
      <c r="J344" s="265">
        <f t="shared" si="54"/>
        <v>0</v>
      </c>
      <c r="K344" s="265">
        <f t="shared" si="55"/>
        <v>0</v>
      </c>
      <c r="L344" s="265">
        <v>6000</v>
      </c>
      <c r="M344" s="226">
        <v>0</v>
      </c>
      <c r="N344" s="265">
        <v>6000</v>
      </c>
      <c r="O344" s="226">
        <v>0</v>
      </c>
      <c r="P344" s="265">
        <f t="shared" si="56"/>
        <v>0</v>
      </c>
      <c r="Q344" s="271">
        <f t="shared" si="57"/>
        <v>0</v>
      </c>
    </row>
    <row r="345" spans="1:17" x14ac:dyDescent="0.2">
      <c r="A345" s="264" t="s">
        <v>534</v>
      </c>
      <c r="B345" s="202" t="s">
        <v>507</v>
      </c>
      <c r="C345" s="202" t="s">
        <v>617</v>
      </c>
      <c r="D345" s="202" t="s">
        <v>1125</v>
      </c>
      <c r="E345" s="202" t="s">
        <v>529</v>
      </c>
      <c r="F345" s="265">
        <v>6000</v>
      </c>
      <c r="G345" s="265">
        <v>0</v>
      </c>
      <c r="H345" s="265">
        <v>6000</v>
      </c>
      <c r="I345" s="265">
        <v>0</v>
      </c>
      <c r="J345" s="265">
        <f t="shared" si="54"/>
        <v>0</v>
      </c>
      <c r="K345" s="265">
        <f t="shared" si="55"/>
        <v>0</v>
      </c>
      <c r="L345" s="265">
        <v>6000</v>
      </c>
      <c r="M345" s="226">
        <v>0</v>
      </c>
      <c r="N345" s="265">
        <v>6000</v>
      </c>
      <c r="O345" s="226">
        <v>0</v>
      </c>
      <c r="P345" s="265">
        <f t="shared" si="56"/>
        <v>0</v>
      </c>
      <c r="Q345" s="271">
        <f t="shared" si="57"/>
        <v>0</v>
      </c>
    </row>
    <row r="346" spans="1:17" ht="22.5" x14ac:dyDescent="0.2">
      <c r="A346" s="264" t="s">
        <v>1124</v>
      </c>
      <c r="B346" s="202" t="s">
        <v>507</v>
      </c>
      <c r="C346" s="202" t="s">
        <v>617</v>
      </c>
      <c r="D346" s="202" t="s">
        <v>1123</v>
      </c>
      <c r="E346" s="202"/>
      <c r="F346" s="265">
        <v>3500</v>
      </c>
      <c r="G346" s="265">
        <v>0</v>
      </c>
      <c r="H346" s="265">
        <v>3500</v>
      </c>
      <c r="I346" s="265">
        <v>0</v>
      </c>
      <c r="J346" s="265">
        <f t="shared" si="54"/>
        <v>0</v>
      </c>
      <c r="K346" s="265">
        <f t="shared" si="55"/>
        <v>0</v>
      </c>
      <c r="L346" s="265">
        <v>3500</v>
      </c>
      <c r="M346" s="226">
        <v>0</v>
      </c>
      <c r="N346" s="265">
        <v>3500</v>
      </c>
      <c r="O346" s="226">
        <v>0</v>
      </c>
      <c r="P346" s="265">
        <f t="shared" si="56"/>
        <v>0</v>
      </c>
      <c r="Q346" s="271">
        <f t="shared" si="57"/>
        <v>0</v>
      </c>
    </row>
    <row r="347" spans="1:17" x14ac:dyDescent="0.2">
      <c r="A347" s="264" t="s">
        <v>1347</v>
      </c>
      <c r="B347" s="202" t="s">
        <v>507</v>
      </c>
      <c r="C347" s="202" t="s">
        <v>617</v>
      </c>
      <c r="D347" s="202" t="s">
        <v>1123</v>
      </c>
      <c r="E347" s="202" t="s">
        <v>535</v>
      </c>
      <c r="F347" s="265">
        <v>3500</v>
      </c>
      <c r="G347" s="265">
        <v>0</v>
      </c>
      <c r="H347" s="265">
        <v>3500</v>
      </c>
      <c r="I347" s="265">
        <v>0</v>
      </c>
      <c r="J347" s="265">
        <f t="shared" si="54"/>
        <v>0</v>
      </c>
      <c r="K347" s="265">
        <f t="shared" si="55"/>
        <v>0</v>
      </c>
      <c r="L347" s="265">
        <v>3500</v>
      </c>
      <c r="M347" s="226">
        <v>0</v>
      </c>
      <c r="N347" s="265">
        <v>3500</v>
      </c>
      <c r="O347" s="226">
        <v>0</v>
      </c>
      <c r="P347" s="265">
        <f t="shared" si="56"/>
        <v>0</v>
      </c>
      <c r="Q347" s="271">
        <f t="shared" si="57"/>
        <v>0</v>
      </c>
    </row>
    <row r="348" spans="1:17" x14ac:dyDescent="0.2">
      <c r="A348" s="264" t="s">
        <v>534</v>
      </c>
      <c r="B348" s="202" t="s">
        <v>507</v>
      </c>
      <c r="C348" s="202" t="s">
        <v>617</v>
      </c>
      <c r="D348" s="202" t="s">
        <v>1123</v>
      </c>
      <c r="E348" s="202" t="s">
        <v>529</v>
      </c>
      <c r="F348" s="265">
        <v>3500</v>
      </c>
      <c r="G348" s="265">
        <v>0</v>
      </c>
      <c r="H348" s="265">
        <v>3500</v>
      </c>
      <c r="I348" s="265">
        <v>0</v>
      </c>
      <c r="J348" s="265">
        <f t="shared" si="54"/>
        <v>0</v>
      </c>
      <c r="K348" s="265">
        <f t="shared" si="55"/>
        <v>0</v>
      </c>
      <c r="L348" s="265">
        <v>3500</v>
      </c>
      <c r="M348" s="226">
        <v>0</v>
      </c>
      <c r="N348" s="265">
        <v>3500</v>
      </c>
      <c r="O348" s="226">
        <v>0</v>
      </c>
      <c r="P348" s="265">
        <f t="shared" si="56"/>
        <v>0</v>
      </c>
      <c r="Q348" s="271">
        <f t="shared" si="57"/>
        <v>0</v>
      </c>
    </row>
    <row r="349" spans="1:17" ht="22.5" x14ac:dyDescent="0.2">
      <c r="A349" s="264" t="s">
        <v>1122</v>
      </c>
      <c r="B349" s="202" t="s">
        <v>507</v>
      </c>
      <c r="C349" s="202" t="s">
        <v>617</v>
      </c>
      <c r="D349" s="202" t="s">
        <v>1121</v>
      </c>
      <c r="E349" s="202"/>
      <c r="F349" s="265">
        <v>48422</v>
      </c>
      <c r="G349" s="265">
        <v>0</v>
      </c>
      <c r="H349" s="265">
        <f>H350</f>
        <v>48422</v>
      </c>
      <c r="I349" s="265">
        <v>0</v>
      </c>
      <c r="J349" s="281">
        <f t="shared" si="54"/>
        <v>0</v>
      </c>
      <c r="K349" s="265">
        <f t="shared" si="55"/>
        <v>0</v>
      </c>
      <c r="L349" s="265">
        <v>48422</v>
      </c>
      <c r="M349" s="226">
        <v>0</v>
      </c>
      <c r="N349" s="265">
        <f>N350</f>
        <v>48422</v>
      </c>
      <c r="O349" s="226">
        <v>0</v>
      </c>
      <c r="P349" s="281">
        <f t="shared" si="56"/>
        <v>0</v>
      </c>
      <c r="Q349" s="271">
        <f t="shared" si="57"/>
        <v>0</v>
      </c>
    </row>
    <row r="350" spans="1:17" x14ac:dyDescent="0.2">
      <c r="A350" s="264" t="s">
        <v>1347</v>
      </c>
      <c r="B350" s="202" t="s">
        <v>507</v>
      </c>
      <c r="C350" s="202" t="s">
        <v>617</v>
      </c>
      <c r="D350" s="202" t="s">
        <v>1121</v>
      </c>
      <c r="E350" s="202" t="s">
        <v>535</v>
      </c>
      <c r="F350" s="265">
        <v>48422</v>
      </c>
      <c r="G350" s="265">
        <v>0</v>
      </c>
      <c r="H350" s="265">
        <f>H351</f>
        <v>48422</v>
      </c>
      <c r="I350" s="265">
        <v>0</v>
      </c>
      <c r="J350" s="281">
        <f t="shared" si="54"/>
        <v>0</v>
      </c>
      <c r="K350" s="265">
        <f t="shared" si="55"/>
        <v>0</v>
      </c>
      <c r="L350" s="265">
        <v>48422</v>
      </c>
      <c r="M350" s="226">
        <v>0</v>
      </c>
      <c r="N350" s="265">
        <f>N351</f>
        <v>48422</v>
      </c>
      <c r="O350" s="226">
        <v>0</v>
      </c>
      <c r="P350" s="281">
        <f t="shared" si="56"/>
        <v>0</v>
      </c>
      <c r="Q350" s="271">
        <f t="shared" si="57"/>
        <v>0</v>
      </c>
    </row>
    <row r="351" spans="1:17" x14ac:dyDescent="0.2">
      <c r="A351" s="264" t="s">
        <v>534</v>
      </c>
      <c r="B351" s="202" t="s">
        <v>507</v>
      </c>
      <c r="C351" s="202" t="s">
        <v>617</v>
      </c>
      <c r="D351" s="202" t="s">
        <v>1121</v>
      </c>
      <c r="E351" s="202" t="s">
        <v>529</v>
      </c>
      <c r="F351" s="265">
        <v>48422</v>
      </c>
      <c r="G351" s="265">
        <v>0</v>
      </c>
      <c r="H351" s="265">
        <f>'Ведомственная 2021-2022'!H306</f>
        <v>48422</v>
      </c>
      <c r="I351" s="265">
        <v>0</v>
      </c>
      <c r="J351" s="281">
        <f t="shared" si="54"/>
        <v>0</v>
      </c>
      <c r="K351" s="265">
        <f t="shared" si="55"/>
        <v>0</v>
      </c>
      <c r="L351" s="265">
        <v>48422</v>
      </c>
      <c r="M351" s="226">
        <v>0</v>
      </c>
      <c r="N351" s="265">
        <f>'Ведомственная 2021-2022'!K306</f>
        <v>48422</v>
      </c>
      <c r="O351" s="226">
        <v>0</v>
      </c>
      <c r="P351" s="281">
        <f t="shared" si="56"/>
        <v>0</v>
      </c>
      <c r="Q351" s="271">
        <f t="shared" si="57"/>
        <v>0</v>
      </c>
    </row>
    <row r="352" spans="1:17" x14ac:dyDescent="0.2">
      <c r="A352" s="264" t="s">
        <v>1120</v>
      </c>
      <c r="B352" s="202" t="s">
        <v>507</v>
      </c>
      <c r="C352" s="202" t="s">
        <v>670</v>
      </c>
      <c r="D352" s="202"/>
      <c r="E352" s="202"/>
      <c r="F352" s="265">
        <v>584307.9</v>
      </c>
      <c r="G352" s="265">
        <v>0</v>
      </c>
      <c r="H352" s="265">
        <v>584307.9</v>
      </c>
      <c r="I352" s="265">
        <v>0</v>
      </c>
      <c r="J352" s="265">
        <f t="shared" si="54"/>
        <v>0</v>
      </c>
      <c r="K352" s="265">
        <f t="shared" si="55"/>
        <v>0</v>
      </c>
      <c r="L352" s="265">
        <v>586408.9</v>
      </c>
      <c r="M352" s="226">
        <v>0</v>
      </c>
      <c r="N352" s="265">
        <v>586408.9</v>
      </c>
      <c r="O352" s="226">
        <v>0</v>
      </c>
      <c r="P352" s="265">
        <f t="shared" si="56"/>
        <v>0</v>
      </c>
      <c r="Q352" s="271">
        <f t="shared" si="57"/>
        <v>0</v>
      </c>
    </row>
    <row r="353" spans="1:17" x14ac:dyDescent="0.2">
      <c r="A353" s="264" t="s">
        <v>568</v>
      </c>
      <c r="B353" s="202" t="s">
        <v>507</v>
      </c>
      <c r="C353" s="202" t="s">
        <v>670</v>
      </c>
      <c r="D353" s="202" t="s">
        <v>567</v>
      </c>
      <c r="E353" s="202"/>
      <c r="F353" s="265">
        <v>2000</v>
      </c>
      <c r="G353" s="265">
        <v>0</v>
      </c>
      <c r="H353" s="265">
        <v>2000</v>
      </c>
      <c r="I353" s="265">
        <v>0</v>
      </c>
      <c r="J353" s="265">
        <f t="shared" ref="J353:J410" si="71">H353-F353</f>
        <v>0</v>
      </c>
      <c r="K353" s="265">
        <f t="shared" ref="K353:K410" si="72">I353-G353</f>
        <v>0</v>
      </c>
      <c r="L353" s="265">
        <v>2000</v>
      </c>
      <c r="M353" s="226">
        <v>0</v>
      </c>
      <c r="N353" s="265">
        <v>2000</v>
      </c>
      <c r="O353" s="226">
        <v>0</v>
      </c>
      <c r="P353" s="265">
        <f t="shared" ref="P353:P410" si="73">N353-L353</f>
        <v>0</v>
      </c>
      <c r="Q353" s="271">
        <f t="shared" ref="Q353:Q410" si="74">O353-M353</f>
        <v>0</v>
      </c>
    </row>
    <row r="354" spans="1:17" x14ac:dyDescent="0.2">
      <c r="A354" s="264" t="s">
        <v>566</v>
      </c>
      <c r="B354" s="202" t="s">
        <v>507</v>
      </c>
      <c r="C354" s="202" t="s">
        <v>670</v>
      </c>
      <c r="D354" s="202" t="s">
        <v>565</v>
      </c>
      <c r="E354" s="202"/>
      <c r="F354" s="265">
        <v>2000</v>
      </c>
      <c r="G354" s="265">
        <v>0</v>
      </c>
      <c r="H354" s="265">
        <v>2000</v>
      </c>
      <c r="I354" s="265">
        <v>0</v>
      </c>
      <c r="J354" s="265">
        <f t="shared" si="71"/>
        <v>0</v>
      </c>
      <c r="K354" s="265">
        <f t="shared" si="72"/>
        <v>0</v>
      </c>
      <c r="L354" s="265">
        <v>2000</v>
      </c>
      <c r="M354" s="226">
        <v>0</v>
      </c>
      <c r="N354" s="265">
        <v>2000</v>
      </c>
      <c r="O354" s="226">
        <v>0</v>
      </c>
      <c r="P354" s="265">
        <f t="shared" si="73"/>
        <v>0</v>
      </c>
      <c r="Q354" s="271">
        <f t="shared" si="74"/>
        <v>0</v>
      </c>
    </row>
    <row r="355" spans="1:17" ht="22.5" x14ac:dyDescent="0.2">
      <c r="A355" s="202" t="s">
        <v>1387</v>
      </c>
      <c r="B355" s="202" t="s">
        <v>507</v>
      </c>
      <c r="C355" s="202" t="s">
        <v>670</v>
      </c>
      <c r="D355" s="202" t="s">
        <v>578</v>
      </c>
      <c r="E355" s="202"/>
      <c r="F355" s="265">
        <v>2000</v>
      </c>
      <c r="G355" s="265">
        <v>0</v>
      </c>
      <c r="H355" s="265">
        <v>2000</v>
      </c>
      <c r="I355" s="265">
        <v>0</v>
      </c>
      <c r="J355" s="265">
        <f t="shared" si="71"/>
        <v>0</v>
      </c>
      <c r="K355" s="265">
        <f t="shared" si="72"/>
        <v>0</v>
      </c>
      <c r="L355" s="265">
        <v>2000</v>
      </c>
      <c r="M355" s="226">
        <v>0</v>
      </c>
      <c r="N355" s="265">
        <v>2000</v>
      </c>
      <c r="O355" s="226">
        <v>0</v>
      </c>
      <c r="P355" s="265">
        <f t="shared" si="73"/>
        <v>0</v>
      </c>
      <c r="Q355" s="271">
        <f t="shared" si="74"/>
        <v>0</v>
      </c>
    </row>
    <row r="356" spans="1:17" ht="39" customHeight="1" x14ac:dyDescent="0.2">
      <c r="A356" s="202" t="s">
        <v>1389</v>
      </c>
      <c r="B356" s="202" t="s">
        <v>507</v>
      </c>
      <c r="C356" s="202" t="s">
        <v>670</v>
      </c>
      <c r="D356" s="202" t="s">
        <v>1119</v>
      </c>
      <c r="E356" s="202"/>
      <c r="F356" s="265">
        <v>500</v>
      </c>
      <c r="G356" s="265">
        <v>0</v>
      </c>
      <c r="H356" s="265">
        <v>500</v>
      </c>
      <c r="I356" s="265">
        <v>0</v>
      </c>
      <c r="J356" s="265">
        <f t="shared" si="71"/>
        <v>0</v>
      </c>
      <c r="K356" s="265">
        <f t="shared" si="72"/>
        <v>0</v>
      </c>
      <c r="L356" s="265">
        <v>500</v>
      </c>
      <c r="M356" s="226">
        <v>0</v>
      </c>
      <c r="N356" s="265">
        <v>500</v>
      </c>
      <c r="O356" s="226">
        <v>0</v>
      </c>
      <c r="P356" s="265">
        <f t="shared" si="73"/>
        <v>0</v>
      </c>
      <c r="Q356" s="271">
        <f t="shared" si="74"/>
        <v>0</v>
      </c>
    </row>
    <row r="357" spans="1:17" x14ac:dyDescent="0.2">
      <c r="A357" s="264" t="s">
        <v>547</v>
      </c>
      <c r="B357" s="202" t="s">
        <v>507</v>
      </c>
      <c r="C357" s="202" t="s">
        <v>670</v>
      </c>
      <c r="D357" s="202" t="s">
        <v>1119</v>
      </c>
      <c r="E357" s="202" t="s">
        <v>519</v>
      </c>
      <c r="F357" s="265">
        <v>500</v>
      </c>
      <c r="G357" s="265">
        <v>0</v>
      </c>
      <c r="H357" s="265">
        <v>500</v>
      </c>
      <c r="I357" s="265">
        <v>0</v>
      </c>
      <c r="J357" s="265">
        <f t="shared" si="71"/>
        <v>0</v>
      </c>
      <c r="K357" s="265">
        <f t="shared" si="72"/>
        <v>0</v>
      </c>
      <c r="L357" s="265">
        <v>500</v>
      </c>
      <c r="M357" s="226">
        <v>0</v>
      </c>
      <c r="N357" s="265">
        <v>500</v>
      </c>
      <c r="O357" s="226">
        <v>0</v>
      </c>
      <c r="P357" s="265">
        <f t="shared" si="73"/>
        <v>0</v>
      </c>
      <c r="Q357" s="271">
        <f t="shared" si="74"/>
        <v>0</v>
      </c>
    </row>
    <row r="358" spans="1:17" x14ac:dyDescent="0.2">
      <c r="A358" s="264" t="s">
        <v>571</v>
      </c>
      <c r="B358" s="202" t="s">
        <v>507</v>
      </c>
      <c r="C358" s="202" t="s">
        <v>670</v>
      </c>
      <c r="D358" s="202" t="s">
        <v>1119</v>
      </c>
      <c r="E358" s="202" t="s">
        <v>522</v>
      </c>
      <c r="F358" s="265">
        <v>500</v>
      </c>
      <c r="G358" s="265">
        <v>0</v>
      </c>
      <c r="H358" s="265">
        <v>500</v>
      </c>
      <c r="I358" s="265">
        <v>0</v>
      </c>
      <c r="J358" s="265">
        <f t="shared" si="71"/>
        <v>0</v>
      </c>
      <c r="K358" s="265">
        <f t="shared" si="72"/>
        <v>0</v>
      </c>
      <c r="L358" s="265">
        <v>500</v>
      </c>
      <c r="M358" s="226">
        <v>0</v>
      </c>
      <c r="N358" s="265">
        <v>500</v>
      </c>
      <c r="O358" s="226">
        <v>0</v>
      </c>
      <c r="P358" s="265">
        <f t="shared" si="73"/>
        <v>0</v>
      </c>
      <c r="Q358" s="271">
        <f t="shared" si="74"/>
        <v>0</v>
      </c>
    </row>
    <row r="359" spans="1:17" ht="36" customHeight="1" x14ac:dyDescent="0.2">
      <c r="A359" s="202" t="s">
        <v>1390</v>
      </c>
      <c r="B359" s="202" t="s">
        <v>507</v>
      </c>
      <c r="C359" s="202" t="s">
        <v>670</v>
      </c>
      <c r="D359" s="202" t="s">
        <v>1118</v>
      </c>
      <c r="E359" s="202"/>
      <c r="F359" s="265">
        <v>1500</v>
      </c>
      <c r="G359" s="265">
        <v>0</v>
      </c>
      <c r="H359" s="265">
        <v>1500</v>
      </c>
      <c r="I359" s="265">
        <v>0</v>
      </c>
      <c r="J359" s="265">
        <f t="shared" si="71"/>
        <v>0</v>
      </c>
      <c r="K359" s="265">
        <f t="shared" si="72"/>
        <v>0</v>
      </c>
      <c r="L359" s="265">
        <v>1500</v>
      </c>
      <c r="M359" s="226">
        <v>0</v>
      </c>
      <c r="N359" s="265">
        <v>1500</v>
      </c>
      <c r="O359" s="226">
        <v>0</v>
      </c>
      <c r="P359" s="265">
        <f t="shared" si="73"/>
        <v>0</v>
      </c>
      <c r="Q359" s="271">
        <f t="shared" si="74"/>
        <v>0</v>
      </c>
    </row>
    <row r="360" spans="1:17" x14ac:dyDescent="0.2">
      <c r="A360" s="264" t="s">
        <v>1347</v>
      </c>
      <c r="B360" s="202" t="s">
        <v>507</v>
      </c>
      <c r="C360" s="202" t="s">
        <v>670</v>
      </c>
      <c r="D360" s="202" t="s">
        <v>1118</v>
      </c>
      <c r="E360" s="202" t="s">
        <v>535</v>
      </c>
      <c r="F360" s="265">
        <v>1500</v>
      </c>
      <c r="G360" s="265">
        <v>0</v>
      </c>
      <c r="H360" s="265">
        <v>1500</v>
      </c>
      <c r="I360" s="265">
        <v>0</v>
      </c>
      <c r="J360" s="265">
        <f t="shared" si="71"/>
        <v>0</v>
      </c>
      <c r="K360" s="265">
        <f t="shared" si="72"/>
        <v>0</v>
      </c>
      <c r="L360" s="265">
        <v>1500</v>
      </c>
      <c r="M360" s="226">
        <v>0</v>
      </c>
      <c r="N360" s="265">
        <v>1500</v>
      </c>
      <c r="O360" s="226">
        <v>0</v>
      </c>
      <c r="P360" s="265">
        <f t="shared" si="73"/>
        <v>0</v>
      </c>
      <c r="Q360" s="271">
        <f t="shared" si="74"/>
        <v>0</v>
      </c>
    </row>
    <row r="361" spans="1:17" x14ac:dyDescent="0.2">
      <c r="A361" s="264" t="s">
        <v>534</v>
      </c>
      <c r="B361" s="202" t="s">
        <v>507</v>
      </c>
      <c r="C361" s="202" t="s">
        <v>670</v>
      </c>
      <c r="D361" s="202" t="s">
        <v>1118</v>
      </c>
      <c r="E361" s="202" t="s">
        <v>529</v>
      </c>
      <c r="F361" s="265">
        <v>1500</v>
      </c>
      <c r="G361" s="265">
        <v>0</v>
      </c>
      <c r="H361" s="265">
        <v>1500</v>
      </c>
      <c r="I361" s="265">
        <v>0</v>
      </c>
      <c r="J361" s="265">
        <f t="shared" si="71"/>
        <v>0</v>
      </c>
      <c r="K361" s="265">
        <f t="shared" si="72"/>
        <v>0</v>
      </c>
      <c r="L361" s="265">
        <v>1500</v>
      </c>
      <c r="M361" s="226">
        <v>0</v>
      </c>
      <c r="N361" s="265">
        <v>1500</v>
      </c>
      <c r="O361" s="226">
        <v>0</v>
      </c>
      <c r="P361" s="265">
        <f t="shared" si="73"/>
        <v>0</v>
      </c>
      <c r="Q361" s="271">
        <f t="shared" si="74"/>
        <v>0</v>
      </c>
    </row>
    <row r="362" spans="1:17" x14ac:dyDescent="0.2">
      <c r="A362" s="264" t="s">
        <v>1117</v>
      </c>
      <c r="B362" s="202" t="s">
        <v>507</v>
      </c>
      <c r="C362" s="202" t="s">
        <v>670</v>
      </c>
      <c r="D362" s="202" t="s">
        <v>1116</v>
      </c>
      <c r="E362" s="202"/>
      <c r="F362" s="265">
        <v>582307.9</v>
      </c>
      <c r="G362" s="265">
        <v>0</v>
      </c>
      <c r="H362" s="265">
        <v>582307.9</v>
      </c>
      <c r="I362" s="265">
        <v>0</v>
      </c>
      <c r="J362" s="265">
        <f t="shared" si="71"/>
        <v>0</v>
      </c>
      <c r="K362" s="265">
        <f t="shared" si="72"/>
        <v>0</v>
      </c>
      <c r="L362" s="265">
        <v>584408.9</v>
      </c>
      <c r="M362" s="226">
        <v>0</v>
      </c>
      <c r="N362" s="265">
        <v>584408.9</v>
      </c>
      <c r="O362" s="226">
        <v>0</v>
      </c>
      <c r="P362" s="265">
        <f t="shared" si="73"/>
        <v>0</v>
      </c>
      <c r="Q362" s="271">
        <f t="shared" si="74"/>
        <v>0</v>
      </c>
    </row>
    <row r="363" spans="1:17" x14ac:dyDescent="0.2">
      <c r="A363" s="264" t="s">
        <v>1115</v>
      </c>
      <c r="B363" s="202" t="s">
        <v>507</v>
      </c>
      <c r="C363" s="202" t="s">
        <v>670</v>
      </c>
      <c r="D363" s="202" t="s">
        <v>1114</v>
      </c>
      <c r="E363" s="202"/>
      <c r="F363" s="265">
        <v>582307.9</v>
      </c>
      <c r="G363" s="265">
        <v>0</v>
      </c>
      <c r="H363" s="265">
        <v>582307.9</v>
      </c>
      <c r="I363" s="265">
        <v>0</v>
      </c>
      <c r="J363" s="265">
        <f t="shared" si="71"/>
        <v>0</v>
      </c>
      <c r="K363" s="265">
        <f t="shared" si="72"/>
        <v>0</v>
      </c>
      <c r="L363" s="265">
        <v>584408.9</v>
      </c>
      <c r="M363" s="226">
        <v>0</v>
      </c>
      <c r="N363" s="265">
        <v>584408.9</v>
      </c>
      <c r="O363" s="226">
        <v>0</v>
      </c>
      <c r="P363" s="265">
        <f t="shared" si="73"/>
        <v>0</v>
      </c>
      <c r="Q363" s="271">
        <f t="shared" si="74"/>
        <v>0</v>
      </c>
    </row>
    <row r="364" spans="1:17" ht="22.5" x14ac:dyDescent="0.2">
      <c r="A364" s="264" t="s">
        <v>1113</v>
      </c>
      <c r="B364" s="202" t="s">
        <v>507</v>
      </c>
      <c r="C364" s="202" t="s">
        <v>670</v>
      </c>
      <c r="D364" s="202" t="s">
        <v>1112</v>
      </c>
      <c r="E364" s="202"/>
      <c r="F364" s="265">
        <v>582307.9</v>
      </c>
      <c r="G364" s="265">
        <v>0</v>
      </c>
      <c r="H364" s="265">
        <v>582307.9</v>
      </c>
      <c r="I364" s="265">
        <v>0</v>
      </c>
      <c r="J364" s="265">
        <f t="shared" si="71"/>
        <v>0</v>
      </c>
      <c r="K364" s="265">
        <f t="shared" si="72"/>
        <v>0</v>
      </c>
      <c r="L364" s="265">
        <v>584408.9</v>
      </c>
      <c r="M364" s="226">
        <v>0</v>
      </c>
      <c r="N364" s="265">
        <v>584408.9</v>
      </c>
      <c r="O364" s="226">
        <v>0</v>
      </c>
      <c r="P364" s="265">
        <f t="shared" si="73"/>
        <v>0</v>
      </c>
      <c r="Q364" s="271">
        <f t="shared" si="74"/>
        <v>0</v>
      </c>
    </row>
    <row r="365" spans="1:17" ht="22.5" x14ac:dyDescent="0.2">
      <c r="A365" s="264" t="s">
        <v>1111</v>
      </c>
      <c r="B365" s="202" t="s">
        <v>507</v>
      </c>
      <c r="C365" s="202" t="s">
        <v>670</v>
      </c>
      <c r="D365" s="202" t="s">
        <v>1110</v>
      </c>
      <c r="E365" s="202"/>
      <c r="F365" s="265">
        <v>12124.1</v>
      </c>
      <c r="G365" s="265">
        <v>0</v>
      </c>
      <c r="H365" s="265">
        <v>12124.1</v>
      </c>
      <c r="I365" s="265">
        <v>0</v>
      </c>
      <c r="J365" s="265">
        <f t="shared" si="71"/>
        <v>0</v>
      </c>
      <c r="K365" s="265">
        <f t="shared" si="72"/>
        <v>0</v>
      </c>
      <c r="L365" s="265">
        <v>12124.1</v>
      </c>
      <c r="M365" s="226">
        <v>0</v>
      </c>
      <c r="N365" s="265">
        <v>12124.1</v>
      </c>
      <c r="O365" s="226">
        <v>0</v>
      </c>
      <c r="P365" s="265">
        <f t="shared" si="73"/>
        <v>0</v>
      </c>
      <c r="Q365" s="271">
        <f t="shared" si="74"/>
        <v>0</v>
      </c>
    </row>
    <row r="366" spans="1:17" x14ac:dyDescent="0.2">
      <c r="A366" s="264" t="s">
        <v>1347</v>
      </c>
      <c r="B366" s="202" t="s">
        <v>507</v>
      </c>
      <c r="C366" s="202" t="s">
        <v>670</v>
      </c>
      <c r="D366" s="202" t="s">
        <v>1110</v>
      </c>
      <c r="E366" s="202" t="s">
        <v>535</v>
      </c>
      <c r="F366" s="265">
        <v>12124.1</v>
      </c>
      <c r="G366" s="265">
        <v>0</v>
      </c>
      <c r="H366" s="265">
        <v>12124.1</v>
      </c>
      <c r="I366" s="265">
        <v>0</v>
      </c>
      <c r="J366" s="265">
        <f t="shared" si="71"/>
        <v>0</v>
      </c>
      <c r="K366" s="265">
        <f t="shared" si="72"/>
        <v>0</v>
      </c>
      <c r="L366" s="265">
        <v>12124.1</v>
      </c>
      <c r="M366" s="226">
        <v>0</v>
      </c>
      <c r="N366" s="265">
        <v>12124.1</v>
      </c>
      <c r="O366" s="226">
        <v>0</v>
      </c>
      <c r="P366" s="265">
        <f t="shared" si="73"/>
        <v>0</v>
      </c>
      <c r="Q366" s="271">
        <f t="shared" si="74"/>
        <v>0</v>
      </c>
    </row>
    <row r="367" spans="1:17" x14ac:dyDescent="0.2">
      <c r="A367" s="264" t="s">
        <v>534</v>
      </c>
      <c r="B367" s="202" t="s">
        <v>507</v>
      </c>
      <c r="C367" s="202" t="s">
        <v>670</v>
      </c>
      <c r="D367" s="202" t="s">
        <v>1110</v>
      </c>
      <c r="E367" s="202" t="s">
        <v>529</v>
      </c>
      <c r="F367" s="265">
        <v>12124.1</v>
      </c>
      <c r="G367" s="265">
        <v>0</v>
      </c>
      <c r="H367" s="265">
        <v>12124.1</v>
      </c>
      <c r="I367" s="265">
        <v>0</v>
      </c>
      <c r="J367" s="265">
        <f t="shared" si="71"/>
        <v>0</v>
      </c>
      <c r="K367" s="265">
        <f t="shared" si="72"/>
        <v>0</v>
      </c>
      <c r="L367" s="265">
        <v>12124.1</v>
      </c>
      <c r="M367" s="226">
        <v>0</v>
      </c>
      <c r="N367" s="265">
        <v>12124.1</v>
      </c>
      <c r="O367" s="226">
        <v>0</v>
      </c>
      <c r="P367" s="265">
        <f t="shared" si="73"/>
        <v>0</v>
      </c>
      <c r="Q367" s="271">
        <f t="shared" si="74"/>
        <v>0</v>
      </c>
    </row>
    <row r="368" spans="1:17" ht="22.5" x14ac:dyDescent="0.2">
      <c r="A368" s="264" t="s">
        <v>1099</v>
      </c>
      <c r="B368" s="202" t="s">
        <v>507</v>
      </c>
      <c r="C368" s="202" t="s">
        <v>670</v>
      </c>
      <c r="D368" s="202" t="s">
        <v>1109</v>
      </c>
      <c r="E368" s="202"/>
      <c r="F368" s="265">
        <v>4791.2</v>
      </c>
      <c r="G368" s="265">
        <v>0</v>
      </c>
      <c r="H368" s="265">
        <v>4791.2</v>
      </c>
      <c r="I368" s="265">
        <v>0</v>
      </c>
      <c r="J368" s="265">
        <f t="shared" si="71"/>
        <v>0</v>
      </c>
      <c r="K368" s="265">
        <f t="shared" si="72"/>
        <v>0</v>
      </c>
      <c r="L368" s="265">
        <v>4791.2</v>
      </c>
      <c r="M368" s="226">
        <v>0</v>
      </c>
      <c r="N368" s="265">
        <v>4791.2</v>
      </c>
      <c r="O368" s="226">
        <v>0</v>
      </c>
      <c r="P368" s="265">
        <f t="shared" si="73"/>
        <v>0</v>
      </c>
      <c r="Q368" s="271">
        <f t="shared" si="74"/>
        <v>0</v>
      </c>
    </row>
    <row r="369" spans="1:17" x14ac:dyDescent="0.2">
      <c r="A369" s="264" t="s">
        <v>1347</v>
      </c>
      <c r="B369" s="202" t="s">
        <v>507</v>
      </c>
      <c r="C369" s="202" t="s">
        <v>670</v>
      </c>
      <c r="D369" s="202" t="s">
        <v>1109</v>
      </c>
      <c r="E369" s="202" t="s">
        <v>535</v>
      </c>
      <c r="F369" s="265">
        <v>4791.2</v>
      </c>
      <c r="G369" s="265">
        <v>0</v>
      </c>
      <c r="H369" s="265">
        <v>4791.2</v>
      </c>
      <c r="I369" s="265">
        <v>0</v>
      </c>
      <c r="J369" s="265">
        <f t="shared" si="71"/>
        <v>0</v>
      </c>
      <c r="K369" s="265">
        <f t="shared" si="72"/>
        <v>0</v>
      </c>
      <c r="L369" s="265">
        <v>4791.2</v>
      </c>
      <c r="M369" s="226">
        <v>0</v>
      </c>
      <c r="N369" s="265">
        <v>4791.2</v>
      </c>
      <c r="O369" s="226">
        <v>0</v>
      </c>
      <c r="P369" s="265">
        <f t="shared" si="73"/>
        <v>0</v>
      </c>
      <c r="Q369" s="271">
        <f t="shared" si="74"/>
        <v>0</v>
      </c>
    </row>
    <row r="370" spans="1:17" x14ac:dyDescent="0.2">
      <c r="A370" s="264" t="s">
        <v>534</v>
      </c>
      <c r="B370" s="202" t="s">
        <v>507</v>
      </c>
      <c r="C370" s="202" t="s">
        <v>670</v>
      </c>
      <c r="D370" s="202" t="s">
        <v>1109</v>
      </c>
      <c r="E370" s="202" t="s">
        <v>529</v>
      </c>
      <c r="F370" s="265">
        <v>4791.2</v>
      </c>
      <c r="G370" s="265">
        <v>0</v>
      </c>
      <c r="H370" s="265">
        <v>4791.2</v>
      </c>
      <c r="I370" s="265">
        <v>0</v>
      </c>
      <c r="J370" s="265">
        <f t="shared" si="71"/>
        <v>0</v>
      </c>
      <c r="K370" s="265">
        <f t="shared" si="72"/>
        <v>0</v>
      </c>
      <c r="L370" s="265">
        <v>4791.2</v>
      </c>
      <c r="M370" s="226">
        <v>0</v>
      </c>
      <c r="N370" s="265">
        <v>4791.2</v>
      </c>
      <c r="O370" s="226">
        <v>0</v>
      </c>
      <c r="P370" s="265">
        <f t="shared" si="73"/>
        <v>0</v>
      </c>
      <c r="Q370" s="271">
        <f t="shared" si="74"/>
        <v>0</v>
      </c>
    </row>
    <row r="371" spans="1:17" ht="22.5" x14ac:dyDescent="0.2">
      <c r="A371" s="264" t="s">
        <v>1108</v>
      </c>
      <c r="B371" s="202" t="s">
        <v>507</v>
      </c>
      <c r="C371" s="202" t="s">
        <v>670</v>
      </c>
      <c r="D371" s="202" t="s">
        <v>1107</v>
      </c>
      <c r="E371" s="202"/>
      <c r="F371" s="265">
        <v>36971.4</v>
      </c>
      <c r="G371" s="265">
        <v>0</v>
      </c>
      <c r="H371" s="265">
        <v>36971.4</v>
      </c>
      <c r="I371" s="265">
        <v>0</v>
      </c>
      <c r="J371" s="265">
        <f t="shared" si="71"/>
        <v>0</v>
      </c>
      <c r="K371" s="265">
        <f t="shared" si="72"/>
        <v>0</v>
      </c>
      <c r="L371" s="265">
        <v>36971.4</v>
      </c>
      <c r="M371" s="226">
        <v>0</v>
      </c>
      <c r="N371" s="265">
        <v>36971.4</v>
      </c>
      <c r="O371" s="226">
        <v>0</v>
      </c>
      <c r="P371" s="265">
        <f t="shared" si="73"/>
        <v>0</v>
      </c>
      <c r="Q371" s="271">
        <f t="shared" si="74"/>
        <v>0</v>
      </c>
    </row>
    <row r="372" spans="1:17" ht="33.75" x14ac:dyDescent="0.2">
      <c r="A372" s="264" t="s">
        <v>1348</v>
      </c>
      <c r="B372" s="202" t="s">
        <v>507</v>
      </c>
      <c r="C372" s="202" t="s">
        <v>670</v>
      </c>
      <c r="D372" s="202" t="s">
        <v>1107</v>
      </c>
      <c r="E372" s="202" t="s">
        <v>556</v>
      </c>
      <c r="F372" s="265">
        <v>28096.2</v>
      </c>
      <c r="G372" s="265">
        <v>0</v>
      </c>
      <c r="H372" s="265">
        <v>28096.2</v>
      </c>
      <c r="I372" s="265">
        <v>0</v>
      </c>
      <c r="J372" s="265">
        <f t="shared" si="71"/>
        <v>0</v>
      </c>
      <c r="K372" s="265">
        <f t="shared" si="72"/>
        <v>0</v>
      </c>
      <c r="L372" s="265">
        <v>28096.2</v>
      </c>
      <c r="M372" s="226">
        <v>0</v>
      </c>
      <c r="N372" s="265">
        <v>28096.2</v>
      </c>
      <c r="O372" s="226">
        <v>0</v>
      </c>
      <c r="P372" s="265">
        <f t="shared" si="73"/>
        <v>0</v>
      </c>
      <c r="Q372" s="271">
        <f t="shared" si="74"/>
        <v>0</v>
      </c>
    </row>
    <row r="373" spans="1:17" x14ac:dyDescent="0.2">
      <c r="A373" s="264" t="s">
        <v>555</v>
      </c>
      <c r="B373" s="202" t="s">
        <v>507</v>
      </c>
      <c r="C373" s="202" t="s">
        <v>670</v>
      </c>
      <c r="D373" s="202" t="s">
        <v>1107</v>
      </c>
      <c r="E373" s="202" t="s">
        <v>554</v>
      </c>
      <c r="F373" s="265">
        <v>28096.2</v>
      </c>
      <c r="G373" s="265">
        <v>0</v>
      </c>
      <c r="H373" s="265">
        <v>28096.2</v>
      </c>
      <c r="I373" s="265">
        <v>0</v>
      </c>
      <c r="J373" s="265">
        <f t="shared" si="71"/>
        <v>0</v>
      </c>
      <c r="K373" s="265">
        <f t="shared" si="72"/>
        <v>0</v>
      </c>
      <c r="L373" s="265">
        <v>28096.2</v>
      </c>
      <c r="M373" s="226">
        <v>0</v>
      </c>
      <c r="N373" s="265">
        <v>28096.2</v>
      </c>
      <c r="O373" s="226">
        <v>0</v>
      </c>
      <c r="P373" s="265">
        <f t="shared" si="73"/>
        <v>0</v>
      </c>
      <c r="Q373" s="271">
        <f t="shared" si="74"/>
        <v>0</v>
      </c>
    </row>
    <row r="374" spans="1:17" x14ac:dyDescent="0.2">
      <c r="A374" s="264" t="s">
        <v>1347</v>
      </c>
      <c r="B374" s="202" t="s">
        <v>507</v>
      </c>
      <c r="C374" s="202" t="s">
        <v>670</v>
      </c>
      <c r="D374" s="202" t="s">
        <v>1107</v>
      </c>
      <c r="E374" s="202" t="s">
        <v>535</v>
      </c>
      <c r="F374" s="265">
        <v>7068.9</v>
      </c>
      <c r="G374" s="265">
        <v>0</v>
      </c>
      <c r="H374" s="265">
        <v>7068.9</v>
      </c>
      <c r="I374" s="265">
        <v>0</v>
      </c>
      <c r="J374" s="265">
        <f t="shared" si="71"/>
        <v>0</v>
      </c>
      <c r="K374" s="265">
        <f t="shared" si="72"/>
        <v>0</v>
      </c>
      <c r="L374" s="265">
        <v>7068.9</v>
      </c>
      <c r="M374" s="226">
        <v>0</v>
      </c>
      <c r="N374" s="265">
        <v>7068.9</v>
      </c>
      <c r="O374" s="226">
        <v>0</v>
      </c>
      <c r="P374" s="265">
        <f t="shared" si="73"/>
        <v>0</v>
      </c>
      <c r="Q374" s="271">
        <f t="shared" si="74"/>
        <v>0</v>
      </c>
    </row>
    <row r="375" spans="1:17" x14ac:dyDescent="0.2">
      <c r="A375" s="264" t="s">
        <v>534</v>
      </c>
      <c r="B375" s="202" t="s">
        <v>507</v>
      </c>
      <c r="C375" s="202" t="s">
        <v>670</v>
      </c>
      <c r="D375" s="202" t="s">
        <v>1107</v>
      </c>
      <c r="E375" s="202" t="s">
        <v>529</v>
      </c>
      <c r="F375" s="265">
        <v>7068.9</v>
      </c>
      <c r="G375" s="265">
        <v>0</v>
      </c>
      <c r="H375" s="265">
        <v>7068.9</v>
      </c>
      <c r="I375" s="265">
        <v>0</v>
      </c>
      <c r="J375" s="265">
        <f t="shared" si="71"/>
        <v>0</v>
      </c>
      <c r="K375" s="265">
        <f t="shared" si="72"/>
        <v>0</v>
      </c>
      <c r="L375" s="265">
        <v>7068.9</v>
      </c>
      <c r="M375" s="226">
        <v>0</v>
      </c>
      <c r="N375" s="265">
        <v>7068.9</v>
      </c>
      <c r="O375" s="226">
        <v>0</v>
      </c>
      <c r="P375" s="265">
        <f t="shared" si="73"/>
        <v>0</v>
      </c>
      <c r="Q375" s="271">
        <f t="shared" si="74"/>
        <v>0</v>
      </c>
    </row>
    <row r="376" spans="1:17" x14ac:dyDescent="0.2">
      <c r="A376" s="264" t="s">
        <v>615</v>
      </c>
      <c r="B376" s="202" t="s">
        <v>507</v>
      </c>
      <c r="C376" s="202" t="s">
        <v>670</v>
      </c>
      <c r="D376" s="202" t="s">
        <v>1107</v>
      </c>
      <c r="E376" s="202" t="s">
        <v>509</v>
      </c>
      <c r="F376" s="265">
        <v>1806.3</v>
      </c>
      <c r="G376" s="265">
        <v>0</v>
      </c>
      <c r="H376" s="265">
        <v>1806.3</v>
      </c>
      <c r="I376" s="265">
        <v>0</v>
      </c>
      <c r="J376" s="265">
        <f t="shared" si="71"/>
        <v>0</v>
      </c>
      <c r="K376" s="265">
        <f t="shared" si="72"/>
        <v>0</v>
      </c>
      <c r="L376" s="265">
        <v>1806.3</v>
      </c>
      <c r="M376" s="226">
        <v>0</v>
      </c>
      <c r="N376" s="265">
        <v>1806.3</v>
      </c>
      <c r="O376" s="226">
        <v>0</v>
      </c>
      <c r="P376" s="265">
        <f t="shared" si="73"/>
        <v>0</v>
      </c>
      <c r="Q376" s="271">
        <f t="shared" si="74"/>
        <v>0</v>
      </c>
    </row>
    <row r="377" spans="1:17" x14ac:dyDescent="0.2">
      <c r="A377" s="264" t="s">
        <v>614</v>
      </c>
      <c r="B377" s="202" t="s">
        <v>507</v>
      </c>
      <c r="C377" s="202" t="s">
        <v>670</v>
      </c>
      <c r="D377" s="202" t="s">
        <v>1107</v>
      </c>
      <c r="E377" s="202" t="s">
        <v>613</v>
      </c>
      <c r="F377" s="265">
        <v>1806.3</v>
      </c>
      <c r="G377" s="265">
        <v>0</v>
      </c>
      <c r="H377" s="265">
        <v>1806.3</v>
      </c>
      <c r="I377" s="265">
        <v>0</v>
      </c>
      <c r="J377" s="265">
        <f t="shared" si="71"/>
        <v>0</v>
      </c>
      <c r="K377" s="265">
        <f t="shared" si="72"/>
        <v>0</v>
      </c>
      <c r="L377" s="265">
        <v>1806.3</v>
      </c>
      <c r="M377" s="226">
        <v>0</v>
      </c>
      <c r="N377" s="265">
        <v>1806.3</v>
      </c>
      <c r="O377" s="226">
        <v>0</v>
      </c>
      <c r="P377" s="265">
        <f t="shared" si="73"/>
        <v>0</v>
      </c>
      <c r="Q377" s="271">
        <f t="shared" si="74"/>
        <v>0</v>
      </c>
    </row>
    <row r="378" spans="1:17" ht="22.5" x14ac:dyDescent="0.2">
      <c r="A378" s="264" t="s">
        <v>1106</v>
      </c>
      <c r="B378" s="202" t="s">
        <v>507</v>
      </c>
      <c r="C378" s="202" t="s">
        <v>670</v>
      </c>
      <c r="D378" s="202" t="s">
        <v>1105</v>
      </c>
      <c r="E378" s="202"/>
      <c r="F378" s="265">
        <v>2750</v>
      </c>
      <c r="G378" s="265">
        <v>0</v>
      </c>
      <c r="H378" s="265">
        <v>2750</v>
      </c>
      <c r="I378" s="265">
        <v>0</v>
      </c>
      <c r="J378" s="265">
        <f t="shared" si="71"/>
        <v>0</v>
      </c>
      <c r="K378" s="265">
        <f t="shared" si="72"/>
        <v>0</v>
      </c>
      <c r="L378" s="265">
        <v>2750</v>
      </c>
      <c r="M378" s="226">
        <v>0</v>
      </c>
      <c r="N378" s="265">
        <v>2750</v>
      </c>
      <c r="O378" s="226">
        <v>0</v>
      </c>
      <c r="P378" s="265">
        <f t="shared" si="73"/>
        <v>0</v>
      </c>
      <c r="Q378" s="271">
        <f t="shared" si="74"/>
        <v>0</v>
      </c>
    </row>
    <row r="379" spans="1:17" x14ac:dyDescent="0.2">
      <c r="A379" s="264" t="s">
        <v>547</v>
      </c>
      <c r="B379" s="202" t="s">
        <v>507</v>
      </c>
      <c r="C379" s="202" t="s">
        <v>670</v>
      </c>
      <c r="D379" s="202" t="s">
        <v>1105</v>
      </c>
      <c r="E379" s="202" t="s">
        <v>519</v>
      </c>
      <c r="F379" s="265">
        <v>2750</v>
      </c>
      <c r="G379" s="265">
        <v>0</v>
      </c>
      <c r="H379" s="265">
        <v>2750</v>
      </c>
      <c r="I379" s="265">
        <v>0</v>
      </c>
      <c r="J379" s="265">
        <f t="shared" si="71"/>
        <v>0</v>
      </c>
      <c r="K379" s="265">
        <f t="shared" si="72"/>
        <v>0</v>
      </c>
      <c r="L379" s="265">
        <v>2750</v>
      </c>
      <c r="M379" s="226">
        <v>0</v>
      </c>
      <c r="N379" s="265">
        <v>2750</v>
      </c>
      <c r="O379" s="226">
        <v>0</v>
      </c>
      <c r="P379" s="265">
        <f t="shared" si="73"/>
        <v>0</v>
      </c>
      <c r="Q379" s="271">
        <f t="shared" si="74"/>
        <v>0</v>
      </c>
    </row>
    <row r="380" spans="1:17" x14ac:dyDescent="0.2">
      <c r="A380" s="264" t="s">
        <v>571</v>
      </c>
      <c r="B380" s="202" t="s">
        <v>507</v>
      </c>
      <c r="C380" s="202" t="s">
        <v>670</v>
      </c>
      <c r="D380" s="202" t="s">
        <v>1105</v>
      </c>
      <c r="E380" s="202" t="s">
        <v>522</v>
      </c>
      <c r="F380" s="265">
        <v>2750</v>
      </c>
      <c r="G380" s="265">
        <v>0</v>
      </c>
      <c r="H380" s="265">
        <v>2750</v>
      </c>
      <c r="I380" s="265">
        <v>0</v>
      </c>
      <c r="J380" s="265">
        <f t="shared" si="71"/>
        <v>0</v>
      </c>
      <c r="K380" s="265">
        <f t="shared" si="72"/>
        <v>0</v>
      </c>
      <c r="L380" s="265">
        <v>2750</v>
      </c>
      <c r="M380" s="226">
        <v>0</v>
      </c>
      <c r="N380" s="265">
        <v>2750</v>
      </c>
      <c r="O380" s="226">
        <v>0</v>
      </c>
      <c r="P380" s="265">
        <f t="shared" si="73"/>
        <v>0</v>
      </c>
      <c r="Q380" s="271">
        <f t="shared" si="74"/>
        <v>0</v>
      </c>
    </row>
    <row r="381" spans="1:17" ht="22.5" x14ac:dyDescent="0.2">
      <c r="A381" s="264" t="s">
        <v>1104</v>
      </c>
      <c r="B381" s="202" t="s">
        <v>507</v>
      </c>
      <c r="C381" s="202" t="s">
        <v>670</v>
      </c>
      <c r="D381" s="202" t="s">
        <v>1103</v>
      </c>
      <c r="E381" s="202"/>
      <c r="F381" s="265">
        <v>197770.7</v>
      </c>
      <c r="G381" s="265">
        <v>0</v>
      </c>
      <c r="H381" s="265">
        <v>197770.7</v>
      </c>
      <c r="I381" s="265">
        <v>0</v>
      </c>
      <c r="J381" s="265">
        <f t="shared" si="71"/>
        <v>0</v>
      </c>
      <c r="K381" s="265">
        <f t="shared" si="72"/>
        <v>0</v>
      </c>
      <c r="L381" s="265">
        <v>197660.7</v>
      </c>
      <c r="M381" s="226">
        <v>0</v>
      </c>
      <c r="N381" s="265">
        <v>197660.7</v>
      </c>
      <c r="O381" s="226">
        <v>0</v>
      </c>
      <c r="P381" s="265">
        <f t="shared" si="73"/>
        <v>0</v>
      </c>
      <c r="Q381" s="271">
        <f t="shared" si="74"/>
        <v>0</v>
      </c>
    </row>
    <row r="382" spans="1:17" x14ac:dyDescent="0.2">
      <c r="A382" s="264" t="s">
        <v>1347</v>
      </c>
      <c r="B382" s="202" t="s">
        <v>507</v>
      </c>
      <c r="C382" s="202" t="s">
        <v>670</v>
      </c>
      <c r="D382" s="202" t="s">
        <v>1103</v>
      </c>
      <c r="E382" s="202" t="s">
        <v>535</v>
      </c>
      <c r="F382" s="265">
        <v>197770.7</v>
      </c>
      <c r="G382" s="265">
        <v>0</v>
      </c>
      <c r="H382" s="265">
        <v>197770.7</v>
      </c>
      <c r="I382" s="265">
        <v>0</v>
      </c>
      <c r="J382" s="265">
        <f t="shared" si="71"/>
        <v>0</v>
      </c>
      <c r="K382" s="265">
        <f t="shared" si="72"/>
        <v>0</v>
      </c>
      <c r="L382" s="265">
        <v>197660.7</v>
      </c>
      <c r="M382" s="226">
        <v>0</v>
      </c>
      <c r="N382" s="265">
        <v>197660.7</v>
      </c>
      <c r="O382" s="226">
        <v>0</v>
      </c>
      <c r="P382" s="265">
        <f t="shared" si="73"/>
        <v>0</v>
      </c>
      <c r="Q382" s="271">
        <f t="shared" si="74"/>
        <v>0</v>
      </c>
    </row>
    <row r="383" spans="1:17" x14ac:dyDescent="0.2">
      <c r="A383" s="264" t="s">
        <v>534</v>
      </c>
      <c r="B383" s="202" t="s">
        <v>507</v>
      </c>
      <c r="C383" s="202" t="s">
        <v>670</v>
      </c>
      <c r="D383" s="202" t="s">
        <v>1103</v>
      </c>
      <c r="E383" s="202" t="s">
        <v>529</v>
      </c>
      <c r="F383" s="265">
        <v>197770.7</v>
      </c>
      <c r="G383" s="265">
        <v>0</v>
      </c>
      <c r="H383" s="265">
        <v>197770.7</v>
      </c>
      <c r="I383" s="265">
        <v>0</v>
      </c>
      <c r="J383" s="265">
        <f t="shared" si="71"/>
        <v>0</v>
      </c>
      <c r="K383" s="265">
        <f t="shared" si="72"/>
        <v>0</v>
      </c>
      <c r="L383" s="265">
        <v>197660.7</v>
      </c>
      <c r="M383" s="226">
        <v>0</v>
      </c>
      <c r="N383" s="265">
        <v>197660.7</v>
      </c>
      <c r="O383" s="226">
        <v>0</v>
      </c>
      <c r="P383" s="265">
        <f t="shared" si="73"/>
        <v>0</v>
      </c>
      <c r="Q383" s="271">
        <f t="shared" si="74"/>
        <v>0</v>
      </c>
    </row>
    <row r="384" spans="1:17" ht="22.5" x14ac:dyDescent="0.2">
      <c r="A384" s="264" t="s">
        <v>1527</v>
      </c>
      <c r="B384" s="202" t="s">
        <v>507</v>
      </c>
      <c r="C384" s="202" t="s">
        <v>670</v>
      </c>
      <c r="D384" s="202" t="s">
        <v>1102</v>
      </c>
      <c r="E384" s="202"/>
      <c r="F384" s="265">
        <v>157791.79999999999</v>
      </c>
      <c r="G384" s="265">
        <v>0</v>
      </c>
      <c r="H384" s="265">
        <f>H385</f>
        <v>157791.79999999999</v>
      </c>
      <c r="I384" s="265">
        <f>I385</f>
        <v>0</v>
      </c>
      <c r="J384" s="265">
        <f t="shared" si="71"/>
        <v>0</v>
      </c>
      <c r="K384" s="265">
        <f t="shared" si="72"/>
        <v>0</v>
      </c>
      <c r="L384" s="265">
        <v>157791.79999999999</v>
      </c>
      <c r="M384" s="226">
        <v>0</v>
      </c>
      <c r="N384" s="265">
        <f>N385</f>
        <v>157791.79999999999</v>
      </c>
      <c r="O384" s="226">
        <v>0</v>
      </c>
      <c r="P384" s="281">
        <f t="shared" si="73"/>
        <v>0</v>
      </c>
      <c r="Q384" s="271">
        <f t="shared" si="74"/>
        <v>0</v>
      </c>
    </row>
    <row r="385" spans="1:17" s="393" customFormat="1" x14ac:dyDescent="0.2">
      <c r="A385" s="264" t="s">
        <v>547</v>
      </c>
      <c r="B385" s="202" t="s">
        <v>507</v>
      </c>
      <c r="C385" s="202" t="s">
        <v>670</v>
      </c>
      <c r="D385" s="202" t="s">
        <v>1102</v>
      </c>
      <c r="E385" s="202" t="s">
        <v>519</v>
      </c>
      <c r="F385" s="265">
        <v>157791.79999999999</v>
      </c>
      <c r="G385" s="265">
        <v>0</v>
      </c>
      <c r="H385" s="265">
        <f>H386</f>
        <v>157791.79999999999</v>
      </c>
      <c r="I385" s="265">
        <f>I386</f>
        <v>0</v>
      </c>
      <c r="J385" s="281">
        <f t="shared" ref="J385:J386" si="75">H385-F385</f>
        <v>0</v>
      </c>
      <c r="K385" s="265">
        <f t="shared" ref="K385:K386" si="76">I385-G385</f>
        <v>0</v>
      </c>
      <c r="L385" s="265">
        <v>157791.79999999999</v>
      </c>
      <c r="M385" s="226">
        <v>0</v>
      </c>
      <c r="N385" s="265">
        <f>N386</f>
        <v>157791.79999999999</v>
      </c>
      <c r="O385" s="226">
        <f>O386</f>
        <v>0</v>
      </c>
      <c r="P385" s="281">
        <f t="shared" ref="P385:P386" si="77">N385-L385</f>
        <v>0</v>
      </c>
      <c r="Q385" s="271">
        <f t="shared" ref="Q385:Q386" si="78">O385-M385</f>
        <v>0</v>
      </c>
    </row>
    <row r="386" spans="1:17" s="393" customFormat="1" x14ac:dyDescent="0.2">
      <c r="A386" s="264" t="s">
        <v>571</v>
      </c>
      <c r="B386" s="202" t="s">
        <v>507</v>
      </c>
      <c r="C386" s="202" t="s">
        <v>670</v>
      </c>
      <c r="D386" s="202" t="s">
        <v>1102</v>
      </c>
      <c r="E386" s="202" t="s">
        <v>522</v>
      </c>
      <c r="F386" s="265">
        <v>157791.79999999999</v>
      </c>
      <c r="G386" s="265">
        <v>0</v>
      </c>
      <c r="H386" s="265">
        <f>'Ведомственная 2021-2022'!H341</f>
        <v>157791.79999999999</v>
      </c>
      <c r="I386" s="265">
        <v>0</v>
      </c>
      <c r="J386" s="281">
        <f t="shared" si="75"/>
        <v>0</v>
      </c>
      <c r="K386" s="265">
        <f t="shared" si="76"/>
        <v>0</v>
      </c>
      <c r="L386" s="265">
        <v>157791.79999999999</v>
      </c>
      <c r="M386" s="226">
        <v>0</v>
      </c>
      <c r="N386" s="265">
        <f>'Ведомственная 2021-2022'!K341</f>
        <v>157791.79999999999</v>
      </c>
      <c r="O386" s="226">
        <v>0</v>
      </c>
      <c r="P386" s="281">
        <f t="shared" si="77"/>
        <v>0</v>
      </c>
      <c r="Q386" s="271">
        <f t="shared" si="78"/>
        <v>0</v>
      </c>
    </row>
    <row r="387" spans="1:17" ht="22.5" x14ac:dyDescent="0.2">
      <c r="A387" s="264" t="s">
        <v>1101</v>
      </c>
      <c r="B387" s="202" t="s">
        <v>507</v>
      </c>
      <c r="C387" s="202" t="s">
        <v>670</v>
      </c>
      <c r="D387" s="202" t="s">
        <v>1100</v>
      </c>
      <c r="E387" s="202"/>
      <c r="F387" s="265">
        <v>41792.699999999997</v>
      </c>
      <c r="G387" s="265">
        <v>0</v>
      </c>
      <c r="H387" s="265">
        <v>41792.699999999997</v>
      </c>
      <c r="I387" s="265">
        <v>0</v>
      </c>
      <c r="J387" s="265">
        <f t="shared" si="71"/>
        <v>0</v>
      </c>
      <c r="K387" s="265">
        <f t="shared" si="72"/>
        <v>0</v>
      </c>
      <c r="L387" s="265">
        <v>41792.699999999997</v>
      </c>
      <c r="M387" s="226">
        <v>0</v>
      </c>
      <c r="N387" s="265">
        <v>41792.699999999997</v>
      </c>
      <c r="O387" s="226">
        <v>0</v>
      </c>
      <c r="P387" s="265">
        <f t="shared" si="73"/>
        <v>0</v>
      </c>
      <c r="Q387" s="271">
        <f t="shared" si="74"/>
        <v>0</v>
      </c>
    </row>
    <row r="388" spans="1:17" x14ac:dyDescent="0.2">
      <c r="A388" s="264" t="s">
        <v>1347</v>
      </c>
      <c r="B388" s="202" t="s">
        <v>507</v>
      </c>
      <c r="C388" s="202" t="s">
        <v>670</v>
      </c>
      <c r="D388" s="202" t="s">
        <v>1100</v>
      </c>
      <c r="E388" s="202" t="s">
        <v>535</v>
      </c>
      <c r="F388" s="265">
        <v>41792.699999999997</v>
      </c>
      <c r="G388" s="265">
        <v>0</v>
      </c>
      <c r="H388" s="265">
        <v>41792.699999999997</v>
      </c>
      <c r="I388" s="265">
        <v>0</v>
      </c>
      <c r="J388" s="265">
        <f t="shared" si="71"/>
        <v>0</v>
      </c>
      <c r="K388" s="265">
        <f t="shared" si="72"/>
        <v>0</v>
      </c>
      <c r="L388" s="265">
        <v>41792.699999999997</v>
      </c>
      <c r="M388" s="226">
        <v>0</v>
      </c>
      <c r="N388" s="265">
        <v>41792.699999999997</v>
      </c>
      <c r="O388" s="226">
        <v>0</v>
      </c>
      <c r="P388" s="265">
        <f t="shared" si="73"/>
        <v>0</v>
      </c>
      <c r="Q388" s="271">
        <f t="shared" si="74"/>
        <v>0</v>
      </c>
    </row>
    <row r="389" spans="1:17" x14ac:dyDescent="0.2">
      <c r="A389" s="264" t="s">
        <v>534</v>
      </c>
      <c r="B389" s="202" t="s">
        <v>507</v>
      </c>
      <c r="C389" s="202" t="s">
        <v>670</v>
      </c>
      <c r="D389" s="202" t="s">
        <v>1100</v>
      </c>
      <c r="E389" s="202" t="s">
        <v>529</v>
      </c>
      <c r="F389" s="265">
        <v>41792.699999999997</v>
      </c>
      <c r="G389" s="265">
        <v>0</v>
      </c>
      <c r="H389" s="265">
        <v>41792.699999999997</v>
      </c>
      <c r="I389" s="265">
        <v>0</v>
      </c>
      <c r="J389" s="265">
        <f t="shared" si="71"/>
        <v>0</v>
      </c>
      <c r="K389" s="265">
        <f t="shared" si="72"/>
        <v>0</v>
      </c>
      <c r="L389" s="265">
        <v>41792.699999999997</v>
      </c>
      <c r="M389" s="226">
        <v>0</v>
      </c>
      <c r="N389" s="265">
        <v>41792.699999999997</v>
      </c>
      <c r="O389" s="226">
        <v>0</v>
      </c>
      <c r="P389" s="265">
        <f t="shared" si="73"/>
        <v>0</v>
      </c>
      <c r="Q389" s="271">
        <f t="shared" si="74"/>
        <v>0</v>
      </c>
    </row>
    <row r="390" spans="1:17" ht="22.5" x14ac:dyDescent="0.2">
      <c r="A390" s="264" t="s">
        <v>1099</v>
      </c>
      <c r="B390" s="202" t="s">
        <v>507</v>
      </c>
      <c r="C390" s="202" t="s">
        <v>670</v>
      </c>
      <c r="D390" s="202" t="s">
        <v>1098</v>
      </c>
      <c r="E390" s="202"/>
      <c r="F390" s="265">
        <v>9581</v>
      </c>
      <c r="G390" s="265">
        <v>0</v>
      </c>
      <c r="H390" s="265">
        <v>9581</v>
      </c>
      <c r="I390" s="265">
        <v>0</v>
      </c>
      <c r="J390" s="265">
        <f t="shared" si="71"/>
        <v>0</v>
      </c>
      <c r="K390" s="265">
        <f t="shared" si="72"/>
        <v>0</v>
      </c>
      <c r="L390" s="265">
        <v>9581</v>
      </c>
      <c r="M390" s="226">
        <v>0</v>
      </c>
      <c r="N390" s="265">
        <v>9581</v>
      </c>
      <c r="O390" s="226">
        <v>0</v>
      </c>
      <c r="P390" s="265">
        <f t="shared" si="73"/>
        <v>0</v>
      </c>
      <c r="Q390" s="271">
        <f t="shared" si="74"/>
        <v>0</v>
      </c>
    </row>
    <row r="391" spans="1:17" ht="33.75" x14ac:dyDescent="0.2">
      <c r="A391" s="264" t="s">
        <v>1348</v>
      </c>
      <c r="B391" s="202" t="s">
        <v>507</v>
      </c>
      <c r="C391" s="202" t="s">
        <v>670</v>
      </c>
      <c r="D391" s="202" t="s">
        <v>1098</v>
      </c>
      <c r="E391" s="202" t="s">
        <v>556</v>
      </c>
      <c r="F391" s="265">
        <v>5217.3</v>
      </c>
      <c r="G391" s="265">
        <v>0</v>
      </c>
      <c r="H391" s="265">
        <v>5217.3</v>
      </c>
      <c r="I391" s="265">
        <v>0</v>
      </c>
      <c r="J391" s="265">
        <f t="shared" si="71"/>
        <v>0</v>
      </c>
      <c r="K391" s="265">
        <f t="shared" si="72"/>
        <v>0</v>
      </c>
      <c r="L391" s="265">
        <v>5217.3</v>
      </c>
      <c r="M391" s="226">
        <v>0</v>
      </c>
      <c r="N391" s="265">
        <v>5217.3</v>
      </c>
      <c r="O391" s="226">
        <v>0</v>
      </c>
      <c r="P391" s="265">
        <f t="shared" si="73"/>
        <v>0</v>
      </c>
      <c r="Q391" s="271">
        <f t="shared" si="74"/>
        <v>0</v>
      </c>
    </row>
    <row r="392" spans="1:17" x14ac:dyDescent="0.2">
      <c r="A392" s="264" t="s">
        <v>555</v>
      </c>
      <c r="B392" s="202" t="s">
        <v>507</v>
      </c>
      <c r="C392" s="202" t="s">
        <v>670</v>
      </c>
      <c r="D392" s="202" t="s">
        <v>1098</v>
      </c>
      <c r="E392" s="202" t="s">
        <v>554</v>
      </c>
      <c r="F392" s="265">
        <v>5217.3</v>
      </c>
      <c r="G392" s="265">
        <v>0</v>
      </c>
      <c r="H392" s="265">
        <v>5217.3</v>
      </c>
      <c r="I392" s="265">
        <v>0</v>
      </c>
      <c r="J392" s="265">
        <f t="shared" si="71"/>
        <v>0</v>
      </c>
      <c r="K392" s="265">
        <f t="shared" si="72"/>
        <v>0</v>
      </c>
      <c r="L392" s="265">
        <v>5217.3</v>
      </c>
      <c r="M392" s="226">
        <v>0</v>
      </c>
      <c r="N392" s="265">
        <v>5217.3</v>
      </c>
      <c r="O392" s="226">
        <v>0</v>
      </c>
      <c r="P392" s="265">
        <f t="shared" si="73"/>
        <v>0</v>
      </c>
      <c r="Q392" s="271">
        <f t="shared" si="74"/>
        <v>0</v>
      </c>
    </row>
    <row r="393" spans="1:17" x14ac:dyDescent="0.2">
      <c r="A393" s="264" t="s">
        <v>1347</v>
      </c>
      <c r="B393" s="202" t="s">
        <v>507</v>
      </c>
      <c r="C393" s="202" t="s">
        <v>670</v>
      </c>
      <c r="D393" s="202" t="s">
        <v>1098</v>
      </c>
      <c r="E393" s="202" t="s">
        <v>535</v>
      </c>
      <c r="F393" s="265">
        <v>4263.7</v>
      </c>
      <c r="G393" s="265">
        <v>0</v>
      </c>
      <c r="H393" s="265">
        <v>4263.7</v>
      </c>
      <c r="I393" s="265">
        <v>0</v>
      </c>
      <c r="J393" s="265">
        <f t="shared" si="71"/>
        <v>0</v>
      </c>
      <c r="K393" s="265">
        <f t="shared" si="72"/>
        <v>0</v>
      </c>
      <c r="L393" s="265">
        <v>4263.7</v>
      </c>
      <c r="M393" s="226">
        <v>0</v>
      </c>
      <c r="N393" s="265">
        <v>4263.7</v>
      </c>
      <c r="O393" s="226">
        <v>0</v>
      </c>
      <c r="P393" s="265">
        <f t="shared" si="73"/>
        <v>0</v>
      </c>
      <c r="Q393" s="271">
        <f t="shared" si="74"/>
        <v>0</v>
      </c>
    </row>
    <row r="394" spans="1:17" x14ac:dyDescent="0.2">
      <c r="A394" s="264" t="s">
        <v>534</v>
      </c>
      <c r="B394" s="202" t="s">
        <v>507</v>
      </c>
      <c r="C394" s="202" t="s">
        <v>670</v>
      </c>
      <c r="D394" s="202" t="s">
        <v>1098</v>
      </c>
      <c r="E394" s="202" t="s">
        <v>529</v>
      </c>
      <c r="F394" s="265">
        <v>4263.7</v>
      </c>
      <c r="G394" s="265">
        <v>0</v>
      </c>
      <c r="H394" s="265">
        <v>4263.7</v>
      </c>
      <c r="I394" s="265">
        <v>0</v>
      </c>
      <c r="J394" s="265">
        <f t="shared" si="71"/>
        <v>0</v>
      </c>
      <c r="K394" s="265">
        <f t="shared" si="72"/>
        <v>0</v>
      </c>
      <c r="L394" s="265">
        <v>4263.7</v>
      </c>
      <c r="M394" s="226">
        <v>0</v>
      </c>
      <c r="N394" s="265">
        <v>4263.7</v>
      </c>
      <c r="O394" s="226">
        <v>0</v>
      </c>
      <c r="P394" s="265">
        <f t="shared" si="73"/>
        <v>0</v>
      </c>
      <c r="Q394" s="271">
        <f t="shared" si="74"/>
        <v>0</v>
      </c>
    </row>
    <row r="395" spans="1:17" x14ac:dyDescent="0.2">
      <c r="A395" s="264" t="s">
        <v>615</v>
      </c>
      <c r="B395" s="202" t="s">
        <v>507</v>
      </c>
      <c r="C395" s="202" t="s">
        <v>670</v>
      </c>
      <c r="D395" s="202" t="s">
        <v>1098</v>
      </c>
      <c r="E395" s="202" t="s">
        <v>509</v>
      </c>
      <c r="F395" s="265">
        <v>100</v>
      </c>
      <c r="G395" s="265">
        <v>0</v>
      </c>
      <c r="H395" s="265">
        <v>100</v>
      </c>
      <c r="I395" s="265">
        <v>0</v>
      </c>
      <c r="J395" s="265">
        <f t="shared" si="71"/>
        <v>0</v>
      </c>
      <c r="K395" s="265">
        <f t="shared" si="72"/>
        <v>0</v>
      </c>
      <c r="L395" s="265">
        <v>100</v>
      </c>
      <c r="M395" s="226">
        <v>0</v>
      </c>
      <c r="N395" s="265">
        <v>100</v>
      </c>
      <c r="O395" s="226">
        <v>0</v>
      </c>
      <c r="P395" s="265">
        <f t="shared" si="73"/>
        <v>0</v>
      </c>
      <c r="Q395" s="271">
        <f t="shared" si="74"/>
        <v>0</v>
      </c>
    </row>
    <row r="396" spans="1:17" x14ac:dyDescent="0.2">
      <c r="A396" s="264" t="s">
        <v>614</v>
      </c>
      <c r="B396" s="202" t="s">
        <v>507</v>
      </c>
      <c r="C396" s="202" t="s">
        <v>670</v>
      </c>
      <c r="D396" s="202" t="s">
        <v>1098</v>
      </c>
      <c r="E396" s="202" t="s">
        <v>613</v>
      </c>
      <c r="F396" s="265">
        <v>100</v>
      </c>
      <c r="G396" s="265">
        <v>0</v>
      </c>
      <c r="H396" s="265">
        <v>100</v>
      </c>
      <c r="I396" s="265">
        <v>0</v>
      </c>
      <c r="J396" s="265">
        <f t="shared" si="71"/>
        <v>0</v>
      </c>
      <c r="K396" s="265">
        <f t="shared" si="72"/>
        <v>0</v>
      </c>
      <c r="L396" s="265">
        <v>100</v>
      </c>
      <c r="M396" s="226">
        <v>0</v>
      </c>
      <c r="N396" s="265">
        <v>100</v>
      </c>
      <c r="O396" s="226">
        <v>0</v>
      </c>
      <c r="P396" s="265">
        <f t="shared" si="73"/>
        <v>0</v>
      </c>
      <c r="Q396" s="271">
        <f t="shared" si="74"/>
        <v>0</v>
      </c>
    </row>
    <row r="397" spans="1:17" x14ac:dyDescent="0.2">
      <c r="A397" s="264" t="s">
        <v>1097</v>
      </c>
      <c r="B397" s="202" t="s">
        <v>507</v>
      </c>
      <c r="C397" s="202" t="s">
        <v>670</v>
      </c>
      <c r="D397" s="202" t="s">
        <v>1096</v>
      </c>
      <c r="E397" s="202"/>
      <c r="F397" s="265">
        <v>50</v>
      </c>
      <c r="G397" s="265">
        <v>0</v>
      </c>
      <c r="H397" s="265">
        <v>50</v>
      </c>
      <c r="I397" s="265">
        <v>0</v>
      </c>
      <c r="J397" s="265">
        <f t="shared" si="71"/>
        <v>0</v>
      </c>
      <c r="K397" s="265">
        <f t="shared" si="72"/>
        <v>0</v>
      </c>
      <c r="L397" s="265">
        <v>50</v>
      </c>
      <c r="M397" s="226">
        <v>0</v>
      </c>
      <c r="N397" s="265">
        <v>50</v>
      </c>
      <c r="O397" s="226">
        <v>0</v>
      </c>
      <c r="P397" s="265">
        <f t="shared" si="73"/>
        <v>0</v>
      </c>
      <c r="Q397" s="271">
        <f t="shared" si="74"/>
        <v>0</v>
      </c>
    </row>
    <row r="398" spans="1:17" x14ac:dyDescent="0.2">
      <c r="A398" s="264" t="s">
        <v>1347</v>
      </c>
      <c r="B398" s="202" t="s">
        <v>507</v>
      </c>
      <c r="C398" s="202" t="s">
        <v>670</v>
      </c>
      <c r="D398" s="202" t="s">
        <v>1096</v>
      </c>
      <c r="E398" s="202" t="s">
        <v>535</v>
      </c>
      <c r="F398" s="265">
        <v>50</v>
      </c>
      <c r="G398" s="265">
        <v>0</v>
      </c>
      <c r="H398" s="265">
        <v>50</v>
      </c>
      <c r="I398" s="265">
        <v>0</v>
      </c>
      <c r="J398" s="265">
        <f t="shared" si="71"/>
        <v>0</v>
      </c>
      <c r="K398" s="265">
        <f t="shared" si="72"/>
        <v>0</v>
      </c>
      <c r="L398" s="265">
        <v>50</v>
      </c>
      <c r="M398" s="226">
        <v>0</v>
      </c>
      <c r="N398" s="265">
        <v>50</v>
      </c>
      <c r="O398" s="226">
        <v>0</v>
      </c>
      <c r="P398" s="265">
        <f t="shared" si="73"/>
        <v>0</v>
      </c>
      <c r="Q398" s="271">
        <f t="shared" si="74"/>
        <v>0</v>
      </c>
    </row>
    <row r="399" spans="1:17" x14ac:dyDescent="0.2">
      <c r="A399" s="264" t="s">
        <v>534</v>
      </c>
      <c r="B399" s="202" t="s">
        <v>507</v>
      </c>
      <c r="C399" s="202" t="s">
        <v>670</v>
      </c>
      <c r="D399" s="202" t="s">
        <v>1096</v>
      </c>
      <c r="E399" s="202" t="s">
        <v>529</v>
      </c>
      <c r="F399" s="265">
        <v>50</v>
      </c>
      <c r="G399" s="265">
        <v>0</v>
      </c>
      <c r="H399" s="265">
        <v>50</v>
      </c>
      <c r="I399" s="265">
        <v>0</v>
      </c>
      <c r="J399" s="265">
        <f t="shared" si="71"/>
        <v>0</v>
      </c>
      <c r="K399" s="265">
        <f t="shared" si="72"/>
        <v>0</v>
      </c>
      <c r="L399" s="265">
        <v>50</v>
      </c>
      <c r="M399" s="226">
        <v>0</v>
      </c>
      <c r="N399" s="265">
        <v>50</v>
      </c>
      <c r="O399" s="226">
        <v>0</v>
      </c>
      <c r="P399" s="265">
        <f t="shared" si="73"/>
        <v>0</v>
      </c>
      <c r="Q399" s="271">
        <f t="shared" si="74"/>
        <v>0</v>
      </c>
    </row>
    <row r="400" spans="1:17" x14ac:dyDescent="0.2">
      <c r="A400" s="264" t="s">
        <v>1095</v>
      </c>
      <c r="B400" s="202" t="s">
        <v>507</v>
      </c>
      <c r="C400" s="202" t="s">
        <v>670</v>
      </c>
      <c r="D400" s="202" t="s">
        <v>1094</v>
      </c>
      <c r="E400" s="202"/>
      <c r="F400" s="265">
        <v>50</v>
      </c>
      <c r="G400" s="265">
        <v>0</v>
      </c>
      <c r="H400" s="265">
        <v>50</v>
      </c>
      <c r="I400" s="265">
        <v>0</v>
      </c>
      <c r="J400" s="265">
        <f t="shared" si="71"/>
        <v>0</v>
      </c>
      <c r="K400" s="265">
        <f t="shared" si="72"/>
        <v>0</v>
      </c>
      <c r="L400" s="265">
        <v>50</v>
      </c>
      <c r="M400" s="226">
        <v>0</v>
      </c>
      <c r="N400" s="265">
        <v>50</v>
      </c>
      <c r="O400" s="226">
        <v>0</v>
      </c>
      <c r="P400" s="265">
        <f t="shared" si="73"/>
        <v>0</v>
      </c>
      <c r="Q400" s="271">
        <f t="shared" si="74"/>
        <v>0</v>
      </c>
    </row>
    <row r="401" spans="1:17" x14ac:dyDescent="0.2">
      <c r="A401" s="264" t="s">
        <v>1347</v>
      </c>
      <c r="B401" s="202" t="s">
        <v>507</v>
      </c>
      <c r="C401" s="202" t="s">
        <v>670</v>
      </c>
      <c r="D401" s="202" t="s">
        <v>1094</v>
      </c>
      <c r="E401" s="202" t="s">
        <v>535</v>
      </c>
      <c r="F401" s="265">
        <v>50</v>
      </c>
      <c r="G401" s="265">
        <v>0</v>
      </c>
      <c r="H401" s="265">
        <v>50</v>
      </c>
      <c r="I401" s="265">
        <v>0</v>
      </c>
      <c r="J401" s="265">
        <f t="shared" si="71"/>
        <v>0</v>
      </c>
      <c r="K401" s="265">
        <f t="shared" si="72"/>
        <v>0</v>
      </c>
      <c r="L401" s="265">
        <v>50</v>
      </c>
      <c r="M401" s="226">
        <v>0</v>
      </c>
      <c r="N401" s="265">
        <v>50</v>
      </c>
      <c r="O401" s="226">
        <v>0</v>
      </c>
      <c r="P401" s="265">
        <f t="shared" si="73"/>
        <v>0</v>
      </c>
      <c r="Q401" s="271">
        <f t="shared" si="74"/>
        <v>0</v>
      </c>
    </row>
    <row r="402" spans="1:17" x14ac:dyDescent="0.2">
      <c r="A402" s="264" t="s">
        <v>534</v>
      </c>
      <c r="B402" s="202" t="s">
        <v>507</v>
      </c>
      <c r="C402" s="202" t="s">
        <v>670</v>
      </c>
      <c r="D402" s="202" t="s">
        <v>1094</v>
      </c>
      <c r="E402" s="202" t="s">
        <v>529</v>
      </c>
      <c r="F402" s="265">
        <v>50</v>
      </c>
      <c r="G402" s="265">
        <v>0</v>
      </c>
      <c r="H402" s="265">
        <v>50</v>
      </c>
      <c r="I402" s="265">
        <v>0</v>
      </c>
      <c r="J402" s="265">
        <f t="shared" si="71"/>
        <v>0</v>
      </c>
      <c r="K402" s="265">
        <f t="shared" si="72"/>
        <v>0</v>
      </c>
      <c r="L402" s="265">
        <v>50</v>
      </c>
      <c r="M402" s="226">
        <v>0</v>
      </c>
      <c r="N402" s="265">
        <v>50</v>
      </c>
      <c r="O402" s="226">
        <v>0</v>
      </c>
      <c r="P402" s="265">
        <f t="shared" si="73"/>
        <v>0</v>
      </c>
      <c r="Q402" s="271">
        <f t="shared" si="74"/>
        <v>0</v>
      </c>
    </row>
    <row r="403" spans="1:17" x14ac:dyDescent="0.2">
      <c r="A403" s="264" t="s">
        <v>1093</v>
      </c>
      <c r="B403" s="202" t="s">
        <v>507</v>
      </c>
      <c r="C403" s="202" t="s">
        <v>670</v>
      </c>
      <c r="D403" s="202" t="s">
        <v>1092</v>
      </c>
      <c r="E403" s="202"/>
      <c r="F403" s="265">
        <v>7430</v>
      </c>
      <c r="G403" s="265">
        <v>0</v>
      </c>
      <c r="H403" s="265">
        <v>7430</v>
      </c>
      <c r="I403" s="265">
        <v>0</v>
      </c>
      <c r="J403" s="265">
        <f t="shared" si="71"/>
        <v>0</v>
      </c>
      <c r="K403" s="265">
        <f t="shared" si="72"/>
        <v>0</v>
      </c>
      <c r="L403" s="265">
        <v>7430</v>
      </c>
      <c r="M403" s="226">
        <v>0</v>
      </c>
      <c r="N403" s="265">
        <v>7430</v>
      </c>
      <c r="O403" s="226">
        <v>0</v>
      </c>
      <c r="P403" s="265">
        <f t="shared" si="73"/>
        <v>0</v>
      </c>
      <c r="Q403" s="271">
        <f t="shared" si="74"/>
        <v>0</v>
      </c>
    </row>
    <row r="404" spans="1:17" x14ac:dyDescent="0.2">
      <c r="A404" s="264" t="s">
        <v>1347</v>
      </c>
      <c r="B404" s="202" t="s">
        <v>507</v>
      </c>
      <c r="C404" s="202" t="s">
        <v>670</v>
      </c>
      <c r="D404" s="202" t="s">
        <v>1092</v>
      </c>
      <c r="E404" s="202" t="s">
        <v>535</v>
      </c>
      <c r="F404" s="265">
        <v>7430</v>
      </c>
      <c r="G404" s="265">
        <v>0</v>
      </c>
      <c r="H404" s="265">
        <v>7430</v>
      </c>
      <c r="I404" s="265">
        <v>0</v>
      </c>
      <c r="J404" s="265">
        <f t="shared" si="71"/>
        <v>0</v>
      </c>
      <c r="K404" s="265">
        <f t="shared" si="72"/>
        <v>0</v>
      </c>
      <c r="L404" s="265">
        <v>7430</v>
      </c>
      <c r="M404" s="226">
        <v>0</v>
      </c>
      <c r="N404" s="265">
        <v>7430</v>
      </c>
      <c r="O404" s="226">
        <v>0</v>
      </c>
      <c r="P404" s="265">
        <f t="shared" si="73"/>
        <v>0</v>
      </c>
      <c r="Q404" s="271">
        <f t="shared" si="74"/>
        <v>0</v>
      </c>
    </row>
    <row r="405" spans="1:17" x14ac:dyDescent="0.2">
      <c r="A405" s="264" t="s">
        <v>534</v>
      </c>
      <c r="B405" s="202" t="s">
        <v>507</v>
      </c>
      <c r="C405" s="202" t="s">
        <v>670</v>
      </c>
      <c r="D405" s="202" t="s">
        <v>1092</v>
      </c>
      <c r="E405" s="202" t="s">
        <v>529</v>
      </c>
      <c r="F405" s="265">
        <v>7430</v>
      </c>
      <c r="G405" s="265">
        <v>0</v>
      </c>
      <c r="H405" s="265">
        <v>7430</v>
      </c>
      <c r="I405" s="265">
        <v>0</v>
      </c>
      <c r="J405" s="265">
        <f t="shared" si="71"/>
        <v>0</v>
      </c>
      <c r="K405" s="265">
        <f t="shared" si="72"/>
        <v>0</v>
      </c>
      <c r="L405" s="265">
        <v>7430</v>
      </c>
      <c r="M405" s="226">
        <v>0</v>
      </c>
      <c r="N405" s="265">
        <v>7430</v>
      </c>
      <c r="O405" s="226">
        <v>0</v>
      </c>
      <c r="P405" s="265">
        <f t="shared" si="73"/>
        <v>0</v>
      </c>
      <c r="Q405" s="271">
        <f t="shared" si="74"/>
        <v>0</v>
      </c>
    </row>
    <row r="406" spans="1:17" x14ac:dyDescent="0.2">
      <c r="A406" s="264" t="s">
        <v>1528</v>
      </c>
      <c r="B406" s="202" t="s">
        <v>507</v>
      </c>
      <c r="C406" s="202" t="s">
        <v>670</v>
      </c>
      <c r="D406" s="202" t="s">
        <v>1091</v>
      </c>
      <c r="E406" s="202"/>
      <c r="F406" s="265">
        <v>660</v>
      </c>
      <c r="G406" s="265">
        <v>0</v>
      </c>
      <c r="H406" s="265">
        <f>H407</f>
        <v>660</v>
      </c>
      <c r="I406" s="265">
        <v>0</v>
      </c>
      <c r="J406" s="265">
        <f t="shared" si="71"/>
        <v>0</v>
      </c>
      <c r="K406" s="265">
        <f t="shared" si="72"/>
        <v>0</v>
      </c>
      <c r="L406" s="265">
        <v>660</v>
      </c>
      <c r="M406" s="226">
        <v>0</v>
      </c>
      <c r="N406" s="265">
        <f>N407</f>
        <v>660</v>
      </c>
      <c r="O406" s="226">
        <v>0</v>
      </c>
      <c r="P406" s="265">
        <f t="shared" si="73"/>
        <v>0</v>
      </c>
      <c r="Q406" s="271">
        <f t="shared" si="74"/>
        <v>0</v>
      </c>
    </row>
    <row r="407" spans="1:17" s="394" customFormat="1" x14ac:dyDescent="0.2">
      <c r="A407" s="264" t="s">
        <v>547</v>
      </c>
      <c r="B407" s="202" t="s">
        <v>507</v>
      </c>
      <c r="C407" s="202" t="s">
        <v>670</v>
      </c>
      <c r="D407" s="202" t="s">
        <v>1091</v>
      </c>
      <c r="E407" s="202">
        <v>600</v>
      </c>
      <c r="F407" s="265">
        <v>660</v>
      </c>
      <c r="G407" s="265">
        <v>0</v>
      </c>
      <c r="H407" s="265">
        <f>H408</f>
        <v>660</v>
      </c>
      <c r="I407" s="265">
        <f>I408</f>
        <v>0</v>
      </c>
      <c r="J407" s="265">
        <f t="shared" ref="J407:J408" si="79">H407-F407</f>
        <v>0</v>
      </c>
      <c r="K407" s="265">
        <f t="shared" ref="K407:K408" si="80">I407-G407</f>
        <v>0</v>
      </c>
      <c r="L407" s="265">
        <v>660</v>
      </c>
      <c r="M407" s="226">
        <v>0</v>
      </c>
      <c r="N407" s="265">
        <f>N408</f>
        <v>660</v>
      </c>
      <c r="O407" s="226">
        <f>O408</f>
        <v>0</v>
      </c>
      <c r="P407" s="265">
        <f t="shared" ref="P407:P408" si="81">N407-L407</f>
        <v>0</v>
      </c>
      <c r="Q407" s="271">
        <f t="shared" ref="Q407:Q408" si="82">O407-M407</f>
        <v>0</v>
      </c>
    </row>
    <row r="408" spans="1:17" s="394" customFormat="1" x14ac:dyDescent="0.2">
      <c r="A408" s="264" t="s">
        <v>571</v>
      </c>
      <c r="B408" s="202" t="s">
        <v>507</v>
      </c>
      <c r="C408" s="202" t="s">
        <v>670</v>
      </c>
      <c r="D408" s="202" t="s">
        <v>1091</v>
      </c>
      <c r="E408" s="202">
        <v>610</v>
      </c>
      <c r="F408" s="265">
        <v>660</v>
      </c>
      <c r="G408" s="265">
        <v>0</v>
      </c>
      <c r="H408" s="265">
        <f>'Ведомственная 2021-2022'!H363</f>
        <v>660</v>
      </c>
      <c r="I408" s="265">
        <v>0</v>
      </c>
      <c r="J408" s="265">
        <f t="shared" si="79"/>
        <v>0</v>
      </c>
      <c r="K408" s="265">
        <f t="shared" si="80"/>
        <v>0</v>
      </c>
      <c r="L408" s="265">
        <v>660</v>
      </c>
      <c r="M408" s="226">
        <v>0</v>
      </c>
      <c r="N408" s="265">
        <f>'Ведомственная 2021-2022'!K363</f>
        <v>660</v>
      </c>
      <c r="O408" s="226">
        <v>0</v>
      </c>
      <c r="P408" s="265">
        <f t="shared" si="81"/>
        <v>0</v>
      </c>
      <c r="Q408" s="271">
        <f t="shared" si="82"/>
        <v>0</v>
      </c>
    </row>
    <row r="409" spans="1:17" x14ac:dyDescent="0.2">
      <c r="A409" s="264" t="s">
        <v>1090</v>
      </c>
      <c r="B409" s="202" t="s">
        <v>507</v>
      </c>
      <c r="C409" s="202" t="s">
        <v>670</v>
      </c>
      <c r="D409" s="202" t="s">
        <v>1089</v>
      </c>
      <c r="E409" s="202"/>
      <c r="F409" s="265">
        <v>70</v>
      </c>
      <c r="G409" s="265">
        <v>0</v>
      </c>
      <c r="H409" s="265">
        <v>70</v>
      </c>
      <c r="I409" s="265">
        <v>0</v>
      </c>
      <c r="J409" s="265">
        <f t="shared" si="71"/>
        <v>0</v>
      </c>
      <c r="K409" s="265">
        <f t="shared" si="72"/>
        <v>0</v>
      </c>
      <c r="L409" s="265">
        <v>70</v>
      </c>
      <c r="M409" s="226">
        <v>0</v>
      </c>
      <c r="N409" s="265">
        <v>70</v>
      </c>
      <c r="O409" s="226">
        <v>0</v>
      </c>
      <c r="P409" s="265">
        <f t="shared" si="73"/>
        <v>0</v>
      </c>
      <c r="Q409" s="271">
        <f t="shared" si="74"/>
        <v>0</v>
      </c>
    </row>
    <row r="410" spans="1:17" x14ac:dyDescent="0.2">
      <c r="A410" s="264" t="s">
        <v>1347</v>
      </c>
      <c r="B410" s="202" t="s">
        <v>507</v>
      </c>
      <c r="C410" s="202" t="s">
        <v>670</v>
      </c>
      <c r="D410" s="202" t="s">
        <v>1089</v>
      </c>
      <c r="E410" s="202" t="s">
        <v>535</v>
      </c>
      <c r="F410" s="265">
        <v>70</v>
      </c>
      <c r="G410" s="265">
        <v>0</v>
      </c>
      <c r="H410" s="265">
        <v>70</v>
      </c>
      <c r="I410" s="265">
        <v>0</v>
      </c>
      <c r="J410" s="265">
        <f t="shared" si="71"/>
        <v>0</v>
      </c>
      <c r="K410" s="265">
        <f t="shared" si="72"/>
        <v>0</v>
      </c>
      <c r="L410" s="265">
        <v>70</v>
      </c>
      <c r="M410" s="226">
        <v>0</v>
      </c>
      <c r="N410" s="265">
        <v>70</v>
      </c>
      <c r="O410" s="226">
        <v>0</v>
      </c>
      <c r="P410" s="265">
        <f t="shared" si="73"/>
        <v>0</v>
      </c>
      <c r="Q410" s="271">
        <f t="shared" si="74"/>
        <v>0</v>
      </c>
    </row>
    <row r="411" spans="1:17" x14ac:dyDescent="0.2">
      <c r="A411" s="264" t="s">
        <v>534</v>
      </c>
      <c r="B411" s="202" t="s">
        <v>507</v>
      </c>
      <c r="C411" s="202" t="s">
        <v>670</v>
      </c>
      <c r="D411" s="202" t="s">
        <v>1089</v>
      </c>
      <c r="E411" s="202" t="s">
        <v>529</v>
      </c>
      <c r="F411" s="265">
        <v>70</v>
      </c>
      <c r="G411" s="265">
        <v>0</v>
      </c>
      <c r="H411" s="265">
        <v>70</v>
      </c>
      <c r="I411" s="265">
        <v>0</v>
      </c>
      <c r="J411" s="265">
        <f t="shared" ref="J411:J490" si="83">H411-F411</f>
        <v>0</v>
      </c>
      <c r="K411" s="265">
        <f t="shared" ref="K411:K490" si="84">I411-G411</f>
        <v>0</v>
      </c>
      <c r="L411" s="265">
        <v>70</v>
      </c>
      <c r="M411" s="226">
        <v>0</v>
      </c>
      <c r="N411" s="265">
        <v>70</v>
      </c>
      <c r="O411" s="226">
        <v>0</v>
      </c>
      <c r="P411" s="265">
        <f t="shared" ref="P411:P490" si="85">N411-L411</f>
        <v>0</v>
      </c>
      <c r="Q411" s="271">
        <f t="shared" ref="Q411:Q490" si="86">O411-M411</f>
        <v>0</v>
      </c>
    </row>
    <row r="412" spans="1:17" ht="22.5" x14ac:dyDescent="0.2">
      <c r="A412" s="264" t="s">
        <v>1088</v>
      </c>
      <c r="B412" s="202" t="s">
        <v>507</v>
      </c>
      <c r="C412" s="202" t="s">
        <v>670</v>
      </c>
      <c r="D412" s="202" t="s">
        <v>1087</v>
      </c>
      <c r="E412" s="202"/>
      <c r="F412" s="265">
        <v>1250</v>
      </c>
      <c r="G412" s="265">
        <v>0</v>
      </c>
      <c r="H412" s="265">
        <v>1250</v>
      </c>
      <c r="I412" s="265">
        <v>0</v>
      </c>
      <c r="J412" s="265">
        <f t="shared" si="83"/>
        <v>0</v>
      </c>
      <c r="K412" s="265">
        <f t="shared" si="84"/>
        <v>0</v>
      </c>
      <c r="L412" s="265">
        <v>1250</v>
      </c>
      <c r="M412" s="226">
        <v>0</v>
      </c>
      <c r="N412" s="265">
        <v>1250</v>
      </c>
      <c r="O412" s="226">
        <v>0</v>
      </c>
      <c r="P412" s="265">
        <f t="shared" si="85"/>
        <v>0</v>
      </c>
      <c r="Q412" s="271">
        <f t="shared" si="86"/>
        <v>0</v>
      </c>
    </row>
    <row r="413" spans="1:17" x14ac:dyDescent="0.2">
      <c r="A413" s="264" t="s">
        <v>547</v>
      </c>
      <c r="B413" s="202" t="s">
        <v>507</v>
      </c>
      <c r="C413" s="202" t="s">
        <v>670</v>
      </c>
      <c r="D413" s="202" t="s">
        <v>1087</v>
      </c>
      <c r="E413" s="202" t="s">
        <v>519</v>
      </c>
      <c r="F413" s="265">
        <v>1250</v>
      </c>
      <c r="G413" s="265">
        <v>0</v>
      </c>
      <c r="H413" s="265">
        <v>1250</v>
      </c>
      <c r="I413" s="265">
        <v>0</v>
      </c>
      <c r="J413" s="265">
        <f t="shared" si="83"/>
        <v>0</v>
      </c>
      <c r="K413" s="265">
        <f t="shared" si="84"/>
        <v>0</v>
      </c>
      <c r="L413" s="265">
        <v>1250</v>
      </c>
      <c r="M413" s="226">
        <v>0</v>
      </c>
      <c r="N413" s="265">
        <v>1250</v>
      </c>
      <c r="O413" s="226">
        <v>0</v>
      </c>
      <c r="P413" s="265">
        <f t="shared" si="85"/>
        <v>0</v>
      </c>
      <c r="Q413" s="271">
        <f t="shared" si="86"/>
        <v>0</v>
      </c>
    </row>
    <row r="414" spans="1:17" x14ac:dyDescent="0.2">
      <c r="A414" s="264" t="s">
        <v>571</v>
      </c>
      <c r="B414" s="202" t="s">
        <v>507</v>
      </c>
      <c r="C414" s="202" t="s">
        <v>670</v>
      </c>
      <c r="D414" s="202" t="s">
        <v>1087</v>
      </c>
      <c r="E414" s="202" t="s">
        <v>522</v>
      </c>
      <c r="F414" s="265">
        <v>1250</v>
      </c>
      <c r="G414" s="265">
        <v>0</v>
      </c>
      <c r="H414" s="265">
        <v>1250</v>
      </c>
      <c r="I414" s="265">
        <v>0</v>
      </c>
      <c r="J414" s="265">
        <f t="shared" si="83"/>
        <v>0</v>
      </c>
      <c r="K414" s="265">
        <f t="shared" si="84"/>
        <v>0</v>
      </c>
      <c r="L414" s="265">
        <v>1250</v>
      </c>
      <c r="M414" s="226">
        <v>0</v>
      </c>
      <c r="N414" s="265">
        <v>1250</v>
      </c>
      <c r="O414" s="226">
        <v>0</v>
      </c>
      <c r="P414" s="265">
        <f t="shared" si="85"/>
        <v>0</v>
      </c>
      <c r="Q414" s="271">
        <f t="shared" si="86"/>
        <v>0</v>
      </c>
    </row>
    <row r="415" spans="1:17" ht="22.5" x14ac:dyDescent="0.2">
      <c r="A415" s="264" t="s">
        <v>1086</v>
      </c>
      <c r="B415" s="202" t="s">
        <v>507</v>
      </c>
      <c r="C415" s="202" t="s">
        <v>670</v>
      </c>
      <c r="D415" s="202" t="s">
        <v>1085</v>
      </c>
      <c r="E415" s="202"/>
      <c r="F415" s="265">
        <v>14000</v>
      </c>
      <c r="G415" s="265">
        <v>0</v>
      </c>
      <c r="H415" s="265">
        <v>14000</v>
      </c>
      <c r="I415" s="265">
        <v>0</v>
      </c>
      <c r="J415" s="265">
        <f t="shared" si="83"/>
        <v>0</v>
      </c>
      <c r="K415" s="265">
        <f t="shared" si="84"/>
        <v>0</v>
      </c>
      <c r="L415" s="265">
        <v>18000</v>
      </c>
      <c r="M415" s="226">
        <v>0</v>
      </c>
      <c r="N415" s="265">
        <v>18000</v>
      </c>
      <c r="O415" s="226">
        <v>0</v>
      </c>
      <c r="P415" s="265">
        <f t="shared" si="85"/>
        <v>0</v>
      </c>
      <c r="Q415" s="271">
        <f t="shared" si="86"/>
        <v>0</v>
      </c>
    </row>
    <row r="416" spans="1:17" x14ac:dyDescent="0.2">
      <c r="A416" s="264" t="s">
        <v>1347</v>
      </c>
      <c r="B416" s="202" t="s">
        <v>507</v>
      </c>
      <c r="C416" s="202" t="s">
        <v>670</v>
      </c>
      <c r="D416" s="202" t="s">
        <v>1085</v>
      </c>
      <c r="E416" s="202" t="s">
        <v>535</v>
      </c>
      <c r="F416" s="265">
        <v>14000</v>
      </c>
      <c r="G416" s="265">
        <v>0</v>
      </c>
      <c r="H416" s="265">
        <v>14000</v>
      </c>
      <c r="I416" s="265">
        <v>0</v>
      </c>
      <c r="J416" s="265">
        <f t="shared" si="83"/>
        <v>0</v>
      </c>
      <c r="K416" s="265">
        <f t="shared" si="84"/>
        <v>0</v>
      </c>
      <c r="L416" s="265">
        <v>18000</v>
      </c>
      <c r="M416" s="226">
        <v>0</v>
      </c>
      <c r="N416" s="265">
        <v>18000</v>
      </c>
      <c r="O416" s="226">
        <v>0</v>
      </c>
      <c r="P416" s="265">
        <f t="shared" si="85"/>
        <v>0</v>
      </c>
      <c r="Q416" s="271">
        <f t="shared" si="86"/>
        <v>0</v>
      </c>
    </row>
    <row r="417" spans="1:17" x14ac:dyDescent="0.2">
      <c r="A417" s="264" t="s">
        <v>534</v>
      </c>
      <c r="B417" s="202" t="s">
        <v>507</v>
      </c>
      <c r="C417" s="202" t="s">
        <v>670</v>
      </c>
      <c r="D417" s="202" t="s">
        <v>1085</v>
      </c>
      <c r="E417" s="202" t="s">
        <v>529</v>
      </c>
      <c r="F417" s="265">
        <v>14000</v>
      </c>
      <c r="G417" s="265">
        <v>0</v>
      </c>
      <c r="H417" s="265">
        <v>14000</v>
      </c>
      <c r="I417" s="265">
        <v>0</v>
      </c>
      <c r="J417" s="265">
        <f t="shared" si="83"/>
        <v>0</v>
      </c>
      <c r="K417" s="265">
        <f t="shared" si="84"/>
        <v>0</v>
      </c>
      <c r="L417" s="265">
        <v>18000</v>
      </c>
      <c r="M417" s="226">
        <v>0</v>
      </c>
      <c r="N417" s="265">
        <v>18000</v>
      </c>
      <c r="O417" s="226">
        <v>0</v>
      </c>
      <c r="P417" s="265">
        <f t="shared" si="85"/>
        <v>0</v>
      </c>
      <c r="Q417" s="271">
        <f t="shared" si="86"/>
        <v>0</v>
      </c>
    </row>
    <row r="418" spans="1:17" ht="22.5" x14ac:dyDescent="0.2">
      <c r="A418" s="264" t="s">
        <v>1084</v>
      </c>
      <c r="B418" s="202" t="s">
        <v>507</v>
      </c>
      <c r="C418" s="202" t="s">
        <v>670</v>
      </c>
      <c r="D418" s="202" t="s">
        <v>1083</v>
      </c>
      <c r="E418" s="202"/>
      <c r="F418" s="265">
        <v>65225</v>
      </c>
      <c r="G418" s="265">
        <v>0</v>
      </c>
      <c r="H418" s="265">
        <v>65225</v>
      </c>
      <c r="I418" s="265">
        <v>0</v>
      </c>
      <c r="J418" s="265">
        <f t="shared" si="83"/>
        <v>0</v>
      </c>
      <c r="K418" s="265">
        <f t="shared" si="84"/>
        <v>0</v>
      </c>
      <c r="L418" s="265">
        <v>73436</v>
      </c>
      <c r="M418" s="226">
        <v>0</v>
      </c>
      <c r="N418" s="265">
        <v>73436</v>
      </c>
      <c r="O418" s="226">
        <v>0</v>
      </c>
      <c r="P418" s="265">
        <f t="shared" si="85"/>
        <v>0</v>
      </c>
      <c r="Q418" s="271">
        <f t="shared" si="86"/>
        <v>0</v>
      </c>
    </row>
    <row r="419" spans="1:17" x14ac:dyDescent="0.2">
      <c r="A419" s="264" t="s">
        <v>1347</v>
      </c>
      <c r="B419" s="202" t="s">
        <v>507</v>
      </c>
      <c r="C419" s="202" t="s">
        <v>670</v>
      </c>
      <c r="D419" s="202" t="s">
        <v>1083</v>
      </c>
      <c r="E419" s="202" t="s">
        <v>535</v>
      </c>
      <c r="F419" s="265">
        <v>65225</v>
      </c>
      <c r="G419" s="265">
        <v>0</v>
      </c>
      <c r="H419" s="265">
        <v>65225</v>
      </c>
      <c r="I419" s="265">
        <v>0</v>
      </c>
      <c r="J419" s="265">
        <f t="shared" si="83"/>
        <v>0</v>
      </c>
      <c r="K419" s="265">
        <f t="shared" si="84"/>
        <v>0</v>
      </c>
      <c r="L419" s="265">
        <v>73436</v>
      </c>
      <c r="M419" s="226">
        <v>0</v>
      </c>
      <c r="N419" s="265">
        <v>73436</v>
      </c>
      <c r="O419" s="226">
        <v>0</v>
      </c>
      <c r="P419" s="265">
        <f t="shared" si="85"/>
        <v>0</v>
      </c>
      <c r="Q419" s="271">
        <f t="shared" si="86"/>
        <v>0</v>
      </c>
    </row>
    <row r="420" spans="1:17" x14ac:dyDescent="0.2">
      <c r="A420" s="264" t="s">
        <v>534</v>
      </c>
      <c r="B420" s="202" t="s">
        <v>507</v>
      </c>
      <c r="C420" s="202" t="s">
        <v>670</v>
      </c>
      <c r="D420" s="202" t="s">
        <v>1083</v>
      </c>
      <c r="E420" s="202" t="s">
        <v>529</v>
      </c>
      <c r="F420" s="265">
        <v>65225</v>
      </c>
      <c r="G420" s="265">
        <v>0</v>
      </c>
      <c r="H420" s="265">
        <v>65225</v>
      </c>
      <c r="I420" s="265">
        <v>0</v>
      </c>
      <c r="J420" s="265">
        <f t="shared" si="83"/>
        <v>0</v>
      </c>
      <c r="K420" s="265">
        <f t="shared" si="84"/>
        <v>0</v>
      </c>
      <c r="L420" s="265">
        <v>73436</v>
      </c>
      <c r="M420" s="226">
        <v>0</v>
      </c>
      <c r="N420" s="265">
        <v>73436</v>
      </c>
      <c r="O420" s="226">
        <v>0</v>
      </c>
      <c r="P420" s="265">
        <f t="shared" si="85"/>
        <v>0</v>
      </c>
      <c r="Q420" s="271">
        <f t="shared" si="86"/>
        <v>0</v>
      </c>
    </row>
    <row r="421" spans="1:17" ht="22.5" x14ac:dyDescent="0.2">
      <c r="A421" s="264" t="s">
        <v>1082</v>
      </c>
      <c r="B421" s="202" t="s">
        <v>507</v>
      </c>
      <c r="C421" s="202" t="s">
        <v>670</v>
      </c>
      <c r="D421" s="202" t="s">
        <v>1081</v>
      </c>
      <c r="E421" s="202"/>
      <c r="F421" s="265">
        <v>30000</v>
      </c>
      <c r="G421" s="265">
        <v>0</v>
      </c>
      <c r="H421" s="265">
        <v>30000</v>
      </c>
      <c r="I421" s="265">
        <v>0</v>
      </c>
      <c r="J421" s="265">
        <f t="shared" si="83"/>
        <v>0</v>
      </c>
      <c r="K421" s="265">
        <f t="shared" si="84"/>
        <v>0</v>
      </c>
      <c r="L421" s="265">
        <v>20000</v>
      </c>
      <c r="M421" s="226">
        <v>0</v>
      </c>
      <c r="N421" s="265">
        <v>20000</v>
      </c>
      <c r="O421" s="226">
        <v>0</v>
      </c>
      <c r="P421" s="265">
        <f t="shared" si="85"/>
        <v>0</v>
      </c>
      <c r="Q421" s="271">
        <f t="shared" si="86"/>
        <v>0</v>
      </c>
    </row>
    <row r="422" spans="1:17" x14ac:dyDescent="0.2">
      <c r="A422" s="264" t="s">
        <v>1347</v>
      </c>
      <c r="B422" s="202" t="s">
        <v>507</v>
      </c>
      <c r="C422" s="202" t="s">
        <v>670</v>
      </c>
      <c r="D422" s="202" t="s">
        <v>1081</v>
      </c>
      <c r="E422" s="202" t="s">
        <v>535</v>
      </c>
      <c r="F422" s="265">
        <v>30000</v>
      </c>
      <c r="G422" s="265">
        <v>0</v>
      </c>
      <c r="H422" s="265">
        <v>30000</v>
      </c>
      <c r="I422" s="265">
        <v>0</v>
      </c>
      <c r="J422" s="265">
        <f t="shared" si="83"/>
        <v>0</v>
      </c>
      <c r="K422" s="265">
        <f t="shared" si="84"/>
        <v>0</v>
      </c>
      <c r="L422" s="265">
        <v>20000</v>
      </c>
      <c r="M422" s="226">
        <v>0</v>
      </c>
      <c r="N422" s="265">
        <v>20000</v>
      </c>
      <c r="O422" s="226">
        <v>0</v>
      </c>
      <c r="P422" s="265">
        <f t="shared" si="85"/>
        <v>0</v>
      </c>
      <c r="Q422" s="271">
        <f t="shared" si="86"/>
        <v>0</v>
      </c>
    </row>
    <row r="423" spans="1:17" x14ac:dyDescent="0.2">
      <c r="A423" s="264" t="s">
        <v>534</v>
      </c>
      <c r="B423" s="202" t="s">
        <v>507</v>
      </c>
      <c r="C423" s="202" t="s">
        <v>670</v>
      </c>
      <c r="D423" s="202" t="s">
        <v>1081</v>
      </c>
      <c r="E423" s="202" t="s">
        <v>529</v>
      </c>
      <c r="F423" s="265">
        <v>30000</v>
      </c>
      <c r="G423" s="265">
        <v>0</v>
      </c>
      <c r="H423" s="265">
        <v>30000</v>
      </c>
      <c r="I423" s="265">
        <v>0</v>
      </c>
      <c r="J423" s="265">
        <f t="shared" si="83"/>
        <v>0</v>
      </c>
      <c r="K423" s="265">
        <f t="shared" si="84"/>
        <v>0</v>
      </c>
      <c r="L423" s="265">
        <v>20000</v>
      </c>
      <c r="M423" s="226">
        <v>0</v>
      </c>
      <c r="N423" s="265">
        <v>20000</v>
      </c>
      <c r="O423" s="226">
        <v>0</v>
      </c>
      <c r="P423" s="265">
        <f t="shared" si="85"/>
        <v>0</v>
      </c>
      <c r="Q423" s="271">
        <f t="shared" si="86"/>
        <v>0</v>
      </c>
    </row>
    <row r="424" spans="1:17" x14ac:dyDescent="0.2">
      <c r="A424" s="264" t="s">
        <v>743</v>
      </c>
      <c r="B424" s="202" t="s">
        <v>507</v>
      </c>
      <c r="C424" s="202" t="s">
        <v>657</v>
      </c>
      <c r="D424" s="202"/>
      <c r="E424" s="202"/>
      <c r="F424" s="265">
        <v>48431.7</v>
      </c>
      <c r="G424" s="265">
        <v>0</v>
      </c>
      <c r="H424" s="265">
        <f>H425</f>
        <v>48431.7</v>
      </c>
      <c r="I424" s="265">
        <v>0</v>
      </c>
      <c r="J424" s="281">
        <f t="shared" si="83"/>
        <v>0</v>
      </c>
      <c r="K424" s="265">
        <f t="shared" si="84"/>
        <v>0</v>
      </c>
      <c r="L424" s="265">
        <v>77437.399999999994</v>
      </c>
      <c r="M424" s="226">
        <v>0</v>
      </c>
      <c r="N424" s="265">
        <f>N425</f>
        <v>77437.399999999994</v>
      </c>
      <c r="O424" s="226">
        <v>0</v>
      </c>
      <c r="P424" s="281">
        <f t="shared" si="85"/>
        <v>0</v>
      </c>
      <c r="Q424" s="271">
        <f t="shared" si="86"/>
        <v>0</v>
      </c>
    </row>
    <row r="425" spans="1:17" x14ac:dyDescent="0.2">
      <c r="A425" s="264" t="s">
        <v>742</v>
      </c>
      <c r="B425" s="202" t="s">
        <v>507</v>
      </c>
      <c r="C425" s="202" t="s">
        <v>657</v>
      </c>
      <c r="D425" s="202" t="s">
        <v>741</v>
      </c>
      <c r="E425" s="202"/>
      <c r="F425" s="265">
        <v>48431.7</v>
      </c>
      <c r="G425" s="265">
        <v>0</v>
      </c>
      <c r="H425" s="265">
        <f>H426</f>
        <v>48431.7</v>
      </c>
      <c r="I425" s="265">
        <v>0</v>
      </c>
      <c r="J425" s="281">
        <f t="shared" si="83"/>
        <v>0</v>
      </c>
      <c r="K425" s="265">
        <f t="shared" si="84"/>
        <v>0</v>
      </c>
      <c r="L425" s="265">
        <v>77437.399999999994</v>
      </c>
      <c r="M425" s="226">
        <v>0</v>
      </c>
      <c r="N425" s="265">
        <f>N426</f>
        <v>77437.399999999994</v>
      </c>
      <c r="O425" s="226">
        <v>0</v>
      </c>
      <c r="P425" s="281">
        <f t="shared" si="85"/>
        <v>0</v>
      </c>
      <c r="Q425" s="271">
        <f t="shared" si="86"/>
        <v>0</v>
      </c>
    </row>
    <row r="426" spans="1:17" ht="22.5" x14ac:dyDescent="0.2">
      <c r="A426" s="264" t="s">
        <v>740</v>
      </c>
      <c r="B426" s="202" t="s">
        <v>507</v>
      </c>
      <c r="C426" s="202" t="s">
        <v>657</v>
      </c>
      <c r="D426" s="202" t="s">
        <v>739</v>
      </c>
      <c r="E426" s="202"/>
      <c r="F426" s="265">
        <v>48431.7</v>
      </c>
      <c r="G426" s="265">
        <v>0</v>
      </c>
      <c r="H426" s="265">
        <f>H427+H431+H435+H442+H446</f>
        <v>48431.7</v>
      </c>
      <c r="I426" s="265">
        <v>0</v>
      </c>
      <c r="J426" s="281">
        <f t="shared" si="83"/>
        <v>0</v>
      </c>
      <c r="K426" s="265">
        <f t="shared" si="84"/>
        <v>0</v>
      </c>
      <c r="L426" s="265">
        <v>77437.399999999994</v>
      </c>
      <c r="M426" s="226">
        <v>0</v>
      </c>
      <c r="N426" s="265">
        <f>N427+N431+N435+N442+N446</f>
        <v>77437.399999999994</v>
      </c>
      <c r="O426" s="226">
        <v>0</v>
      </c>
      <c r="P426" s="281">
        <f t="shared" si="85"/>
        <v>0</v>
      </c>
      <c r="Q426" s="271">
        <f t="shared" si="86"/>
        <v>0</v>
      </c>
    </row>
    <row r="427" spans="1:17" x14ac:dyDescent="0.2">
      <c r="A427" s="264" t="s">
        <v>786</v>
      </c>
      <c r="B427" s="202" t="s">
        <v>507</v>
      </c>
      <c r="C427" s="202" t="s">
        <v>657</v>
      </c>
      <c r="D427" s="202" t="s">
        <v>785</v>
      </c>
      <c r="E427" s="202"/>
      <c r="F427" s="265">
        <v>14331.1</v>
      </c>
      <c r="G427" s="265">
        <v>0</v>
      </c>
      <c r="H427" s="265">
        <v>14331.1</v>
      </c>
      <c r="I427" s="265">
        <v>0</v>
      </c>
      <c r="J427" s="265">
        <f t="shared" si="83"/>
        <v>0</v>
      </c>
      <c r="K427" s="265">
        <f t="shared" si="84"/>
        <v>0</v>
      </c>
      <c r="L427" s="265">
        <v>22800</v>
      </c>
      <c r="M427" s="226">
        <v>0</v>
      </c>
      <c r="N427" s="265">
        <v>22800</v>
      </c>
      <c r="O427" s="226">
        <v>0</v>
      </c>
      <c r="P427" s="265">
        <f t="shared" si="85"/>
        <v>0</v>
      </c>
      <c r="Q427" s="271">
        <f t="shared" si="86"/>
        <v>0</v>
      </c>
    </row>
    <row r="428" spans="1:17" x14ac:dyDescent="0.2">
      <c r="A428" s="264" t="s">
        <v>1080</v>
      </c>
      <c r="B428" s="202" t="s">
        <v>507</v>
      </c>
      <c r="C428" s="202" t="s">
        <v>657</v>
      </c>
      <c r="D428" s="202" t="s">
        <v>1079</v>
      </c>
      <c r="E428" s="202"/>
      <c r="F428" s="265">
        <v>14331.1</v>
      </c>
      <c r="G428" s="265">
        <v>0</v>
      </c>
      <c r="H428" s="265">
        <v>14331.1</v>
      </c>
      <c r="I428" s="265">
        <v>0</v>
      </c>
      <c r="J428" s="265">
        <f t="shared" si="83"/>
        <v>0</v>
      </c>
      <c r="K428" s="265">
        <f t="shared" si="84"/>
        <v>0</v>
      </c>
      <c r="L428" s="265">
        <v>22800</v>
      </c>
      <c r="M428" s="226">
        <v>0</v>
      </c>
      <c r="N428" s="265">
        <v>22800</v>
      </c>
      <c r="O428" s="226">
        <v>0</v>
      </c>
      <c r="P428" s="265">
        <f t="shared" si="85"/>
        <v>0</v>
      </c>
      <c r="Q428" s="271">
        <f t="shared" si="86"/>
        <v>0</v>
      </c>
    </row>
    <row r="429" spans="1:17" x14ac:dyDescent="0.2">
      <c r="A429" s="264" t="s">
        <v>1347</v>
      </c>
      <c r="B429" s="202" t="s">
        <v>507</v>
      </c>
      <c r="C429" s="202" t="s">
        <v>657</v>
      </c>
      <c r="D429" s="202" t="s">
        <v>1079</v>
      </c>
      <c r="E429" s="202" t="s">
        <v>535</v>
      </c>
      <c r="F429" s="265">
        <v>14331.1</v>
      </c>
      <c r="G429" s="265">
        <v>0</v>
      </c>
      <c r="H429" s="265">
        <v>14331.1</v>
      </c>
      <c r="I429" s="265">
        <v>0</v>
      </c>
      <c r="J429" s="265">
        <f t="shared" si="83"/>
        <v>0</v>
      </c>
      <c r="K429" s="265">
        <f t="shared" si="84"/>
        <v>0</v>
      </c>
      <c r="L429" s="265">
        <v>22800</v>
      </c>
      <c r="M429" s="226">
        <v>0</v>
      </c>
      <c r="N429" s="265">
        <v>22800</v>
      </c>
      <c r="O429" s="226">
        <v>0</v>
      </c>
      <c r="P429" s="265">
        <f t="shared" si="85"/>
        <v>0</v>
      </c>
      <c r="Q429" s="271">
        <f t="shared" si="86"/>
        <v>0</v>
      </c>
    </row>
    <row r="430" spans="1:17" x14ac:dyDescent="0.2">
      <c r="A430" s="264" t="s">
        <v>534</v>
      </c>
      <c r="B430" s="202" t="s">
        <v>507</v>
      </c>
      <c r="C430" s="202" t="s">
        <v>657</v>
      </c>
      <c r="D430" s="202" t="s">
        <v>1079</v>
      </c>
      <c r="E430" s="202" t="s">
        <v>529</v>
      </c>
      <c r="F430" s="265">
        <v>14331.1</v>
      </c>
      <c r="G430" s="265">
        <v>0</v>
      </c>
      <c r="H430" s="265">
        <v>14331.1</v>
      </c>
      <c r="I430" s="265">
        <v>0</v>
      </c>
      <c r="J430" s="265">
        <f t="shared" si="83"/>
        <v>0</v>
      </c>
      <c r="K430" s="265">
        <f t="shared" si="84"/>
        <v>0</v>
      </c>
      <c r="L430" s="265">
        <v>22800</v>
      </c>
      <c r="M430" s="226">
        <v>0</v>
      </c>
      <c r="N430" s="265">
        <v>22800</v>
      </c>
      <c r="O430" s="226">
        <v>0</v>
      </c>
      <c r="P430" s="265">
        <f t="shared" si="85"/>
        <v>0</v>
      </c>
      <c r="Q430" s="271">
        <f t="shared" si="86"/>
        <v>0</v>
      </c>
    </row>
    <row r="431" spans="1:17" x14ac:dyDescent="0.2">
      <c r="A431" s="264" t="s">
        <v>1078</v>
      </c>
      <c r="B431" s="202" t="s">
        <v>507</v>
      </c>
      <c r="C431" s="202" t="s">
        <v>657</v>
      </c>
      <c r="D431" s="202" t="s">
        <v>1077</v>
      </c>
      <c r="E431" s="202"/>
      <c r="F431" s="265">
        <v>200</v>
      </c>
      <c r="G431" s="265">
        <v>0</v>
      </c>
      <c r="H431" s="265">
        <v>200</v>
      </c>
      <c r="I431" s="265">
        <v>0</v>
      </c>
      <c r="J431" s="265">
        <f t="shared" si="83"/>
        <v>0</v>
      </c>
      <c r="K431" s="265">
        <f t="shared" si="84"/>
        <v>0</v>
      </c>
      <c r="L431" s="265">
        <v>710</v>
      </c>
      <c r="M431" s="226">
        <v>0</v>
      </c>
      <c r="N431" s="265">
        <v>710</v>
      </c>
      <c r="O431" s="226">
        <v>0</v>
      </c>
      <c r="P431" s="265">
        <f t="shared" si="85"/>
        <v>0</v>
      </c>
      <c r="Q431" s="271">
        <f t="shared" si="86"/>
        <v>0</v>
      </c>
    </row>
    <row r="432" spans="1:17" x14ac:dyDescent="0.2">
      <c r="A432" s="264" t="s">
        <v>1076</v>
      </c>
      <c r="B432" s="202" t="s">
        <v>507</v>
      </c>
      <c r="C432" s="202" t="s">
        <v>657</v>
      </c>
      <c r="D432" s="202" t="s">
        <v>1075</v>
      </c>
      <c r="E432" s="202"/>
      <c r="F432" s="265">
        <v>200</v>
      </c>
      <c r="G432" s="265">
        <v>0</v>
      </c>
      <c r="H432" s="265">
        <v>200</v>
      </c>
      <c r="I432" s="265">
        <v>0</v>
      </c>
      <c r="J432" s="265">
        <f t="shared" si="83"/>
        <v>0</v>
      </c>
      <c r="K432" s="265">
        <f t="shared" si="84"/>
        <v>0</v>
      </c>
      <c r="L432" s="265">
        <v>710</v>
      </c>
      <c r="M432" s="226">
        <v>0</v>
      </c>
      <c r="N432" s="265">
        <v>710</v>
      </c>
      <c r="O432" s="226">
        <v>0</v>
      </c>
      <c r="P432" s="265">
        <f t="shared" si="85"/>
        <v>0</v>
      </c>
      <c r="Q432" s="271">
        <f t="shared" si="86"/>
        <v>0</v>
      </c>
    </row>
    <row r="433" spans="1:17" x14ac:dyDescent="0.2">
      <c r="A433" s="264" t="s">
        <v>1347</v>
      </c>
      <c r="B433" s="202" t="s">
        <v>507</v>
      </c>
      <c r="C433" s="202" t="s">
        <v>657</v>
      </c>
      <c r="D433" s="202" t="s">
        <v>1075</v>
      </c>
      <c r="E433" s="202" t="s">
        <v>535</v>
      </c>
      <c r="F433" s="265">
        <v>200</v>
      </c>
      <c r="G433" s="265">
        <v>0</v>
      </c>
      <c r="H433" s="265">
        <v>200</v>
      </c>
      <c r="I433" s="265">
        <v>0</v>
      </c>
      <c r="J433" s="265">
        <f t="shared" si="83"/>
        <v>0</v>
      </c>
      <c r="K433" s="265">
        <f t="shared" si="84"/>
        <v>0</v>
      </c>
      <c r="L433" s="265">
        <v>710</v>
      </c>
      <c r="M433" s="226">
        <v>0</v>
      </c>
      <c r="N433" s="265">
        <v>710</v>
      </c>
      <c r="O433" s="226">
        <v>0</v>
      </c>
      <c r="P433" s="265">
        <f t="shared" si="85"/>
        <v>0</v>
      </c>
      <c r="Q433" s="271">
        <f t="shared" si="86"/>
        <v>0</v>
      </c>
    </row>
    <row r="434" spans="1:17" x14ac:dyDescent="0.2">
      <c r="A434" s="264" t="s">
        <v>534</v>
      </c>
      <c r="B434" s="202" t="s">
        <v>507</v>
      </c>
      <c r="C434" s="202" t="s">
        <v>657</v>
      </c>
      <c r="D434" s="202" t="s">
        <v>1075</v>
      </c>
      <c r="E434" s="202" t="s">
        <v>529</v>
      </c>
      <c r="F434" s="265">
        <v>200</v>
      </c>
      <c r="G434" s="265">
        <v>0</v>
      </c>
      <c r="H434" s="265">
        <v>200</v>
      </c>
      <c r="I434" s="265">
        <v>0</v>
      </c>
      <c r="J434" s="265">
        <f t="shared" si="83"/>
        <v>0</v>
      </c>
      <c r="K434" s="265">
        <f t="shared" si="84"/>
        <v>0</v>
      </c>
      <c r="L434" s="265">
        <v>710</v>
      </c>
      <c r="M434" s="226">
        <v>0</v>
      </c>
      <c r="N434" s="265">
        <v>710</v>
      </c>
      <c r="O434" s="226">
        <v>0</v>
      </c>
      <c r="P434" s="265">
        <f t="shared" si="85"/>
        <v>0</v>
      </c>
      <c r="Q434" s="271">
        <f t="shared" si="86"/>
        <v>0</v>
      </c>
    </row>
    <row r="435" spans="1:17" x14ac:dyDescent="0.2">
      <c r="A435" s="264" t="s">
        <v>1074</v>
      </c>
      <c r="B435" s="202" t="s">
        <v>507</v>
      </c>
      <c r="C435" s="202" t="s">
        <v>657</v>
      </c>
      <c r="D435" s="202" t="s">
        <v>1073</v>
      </c>
      <c r="E435" s="202"/>
      <c r="F435" s="265">
        <v>24415.599999999999</v>
      </c>
      <c r="G435" s="265">
        <v>0</v>
      </c>
      <c r="H435" s="265">
        <v>24415.599999999999</v>
      </c>
      <c r="I435" s="265">
        <v>0</v>
      </c>
      <c r="J435" s="265">
        <f t="shared" si="83"/>
        <v>0</v>
      </c>
      <c r="K435" s="265">
        <f t="shared" si="84"/>
        <v>0</v>
      </c>
      <c r="L435" s="265">
        <v>27159.4</v>
      </c>
      <c r="M435" s="226">
        <v>0</v>
      </c>
      <c r="N435" s="265">
        <v>27159.4</v>
      </c>
      <c r="O435" s="226">
        <v>0</v>
      </c>
      <c r="P435" s="265">
        <f t="shared" si="85"/>
        <v>0</v>
      </c>
      <c r="Q435" s="271">
        <f t="shared" si="86"/>
        <v>0</v>
      </c>
    </row>
    <row r="436" spans="1:17" x14ac:dyDescent="0.2">
      <c r="A436" s="264" t="s">
        <v>1072</v>
      </c>
      <c r="B436" s="202" t="s">
        <v>507</v>
      </c>
      <c r="C436" s="202" t="s">
        <v>657</v>
      </c>
      <c r="D436" s="202" t="s">
        <v>1071</v>
      </c>
      <c r="E436" s="202"/>
      <c r="F436" s="265">
        <v>5491.6</v>
      </c>
      <c r="G436" s="265">
        <v>0</v>
      </c>
      <c r="H436" s="265">
        <v>5491.6</v>
      </c>
      <c r="I436" s="265">
        <v>0</v>
      </c>
      <c r="J436" s="265">
        <f t="shared" si="83"/>
        <v>0</v>
      </c>
      <c r="K436" s="265">
        <f t="shared" si="84"/>
        <v>0</v>
      </c>
      <c r="L436" s="265">
        <v>13578</v>
      </c>
      <c r="M436" s="226">
        <v>0</v>
      </c>
      <c r="N436" s="265">
        <v>13578</v>
      </c>
      <c r="O436" s="226">
        <v>0</v>
      </c>
      <c r="P436" s="265">
        <f t="shared" si="85"/>
        <v>0</v>
      </c>
      <c r="Q436" s="271">
        <f t="shared" si="86"/>
        <v>0</v>
      </c>
    </row>
    <row r="437" spans="1:17" x14ac:dyDescent="0.2">
      <c r="A437" s="264" t="s">
        <v>1347</v>
      </c>
      <c r="B437" s="202" t="s">
        <v>507</v>
      </c>
      <c r="C437" s="202" t="s">
        <v>657</v>
      </c>
      <c r="D437" s="202" t="s">
        <v>1071</v>
      </c>
      <c r="E437" s="202" t="s">
        <v>535</v>
      </c>
      <c r="F437" s="265">
        <v>5491.6</v>
      </c>
      <c r="G437" s="265">
        <v>0</v>
      </c>
      <c r="H437" s="265">
        <v>5491.6</v>
      </c>
      <c r="I437" s="265">
        <v>0</v>
      </c>
      <c r="J437" s="265">
        <f t="shared" si="83"/>
        <v>0</v>
      </c>
      <c r="K437" s="265">
        <f t="shared" si="84"/>
        <v>0</v>
      </c>
      <c r="L437" s="265">
        <v>13578</v>
      </c>
      <c r="M437" s="226">
        <v>0</v>
      </c>
      <c r="N437" s="265">
        <v>13578</v>
      </c>
      <c r="O437" s="226">
        <v>0</v>
      </c>
      <c r="P437" s="265">
        <f t="shared" si="85"/>
        <v>0</v>
      </c>
      <c r="Q437" s="271">
        <f t="shared" si="86"/>
        <v>0</v>
      </c>
    </row>
    <row r="438" spans="1:17" x14ac:dyDescent="0.2">
      <c r="A438" s="264" t="s">
        <v>534</v>
      </c>
      <c r="B438" s="202" t="s">
        <v>507</v>
      </c>
      <c r="C438" s="202" t="s">
        <v>657</v>
      </c>
      <c r="D438" s="202" t="s">
        <v>1071</v>
      </c>
      <c r="E438" s="202" t="s">
        <v>529</v>
      </c>
      <c r="F438" s="265">
        <v>5491.6</v>
      </c>
      <c r="G438" s="265">
        <v>0</v>
      </c>
      <c r="H438" s="265">
        <v>5491.6</v>
      </c>
      <c r="I438" s="265">
        <v>0</v>
      </c>
      <c r="J438" s="265">
        <f t="shared" si="83"/>
        <v>0</v>
      </c>
      <c r="K438" s="265">
        <f t="shared" si="84"/>
        <v>0</v>
      </c>
      <c r="L438" s="265">
        <v>13578</v>
      </c>
      <c r="M438" s="226">
        <v>0</v>
      </c>
      <c r="N438" s="265">
        <v>13578</v>
      </c>
      <c r="O438" s="226">
        <v>0</v>
      </c>
      <c r="P438" s="265">
        <f t="shared" si="85"/>
        <v>0</v>
      </c>
      <c r="Q438" s="271">
        <f t="shared" si="86"/>
        <v>0</v>
      </c>
    </row>
    <row r="439" spans="1:17" x14ac:dyDescent="0.2">
      <c r="A439" s="264" t="s">
        <v>1352</v>
      </c>
      <c r="B439" s="202" t="s">
        <v>507</v>
      </c>
      <c r="C439" s="202" t="s">
        <v>657</v>
      </c>
      <c r="D439" s="202" t="s">
        <v>1070</v>
      </c>
      <c r="E439" s="202"/>
      <c r="F439" s="265">
        <v>18924</v>
      </c>
      <c r="G439" s="265">
        <v>0</v>
      </c>
      <c r="H439" s="265">
        <v>18924</v>
      </c>
      <c r="I439" s="265">
        <v>0</v>
      </c>
      <c r="J439" s="265">
        <f t="shared" si="83"/>
        <v>0</v>
      </c>
      <c r="K439" s="265">
        <f t="shared" si="84"/>
        <v>0</v>
      </c>
      <c r="L439" s="265">
        <v>13581.4</v>
      </c>
      <c r="M439" s="226">
        <v>0</v>
      </c>
      <c r="N439" s="265">
        <v>13581.4</v>
      </c>
      <c r="O439" s="226">
        <v>0</v>
      </c>
      <c r="P439" s="265">
        <f t="shared" si="85"/>
        <v>0</v>
      </c>
      <c r="Q439" s="271">
        <f t="shared" si="86"/>
        <v>0</v>
      </c>
    </row>
    <row r="440" spans="1:17" x14ac:dyDescent="0.2">
      <c r="A440" s="264" t="s">
        <v>547</v>
      </c>
      <c r="B440" s="202" t="s">
        <v>507</v>
      </c>
      <c r="C440" s="202" t="s">
        <v>657</v>
      </c>
      <c r="D440" s="202" t="s">
        <v>1070</v>
      </c>
      <c r="E440" s="202" t="s">
        <v>519</v>
      </c>
      <c r="F440" s="265">
        <v>18924</v>
      </c>
      <c r="G440" s="265">
        <v>0</v>
      </c>
      <c r="H440" s="265">
        <v>18924</v>
      </c>
      <c r="I440" s="265">
        <v>0</v>
      </c>
      <c r="J440" s="265">
        <f t="shared" si="83"/>
        <v>0</v>
      </c>
      <c r="K440" s="265">
        <f t="shared" si="84"/>
        <v>0</v>
      </c>
      <c r="L440" s="265">
        <v>13581.4</v>
      </c>
      <c r="M440" s="226">
        <v>0</v>
      </c>
      <c r="N440" s="265">
        <v>13581.4</v>
      </c>
      <c r="O440" s="226">
        <v>0</v>
      </c>
      <c r="P440" s="265">
        <f t="shared" si="85"/>
        <v>0</v>
      </c>
      <c r="Q440" s="271">
        <f t="shared" si="86"/>
        <v>0</v>
      </c>
    </row>
    <row r="441" spans="1:17" x14ac:dyDescent="0.2">
      <c r="A441" s="264" t="s">
        <v>546</v>
      </c>
      <c r="B441" s="202" t="s">
        <v>507</v>
      </c>
      <c r="C441" s="202" t="s">
        <v>657</v>
      </c>
      <c r="D441" s="202" t="s">
        <v>1070</v>
      </c>
      <c r="E441" s="202" t="s">
        <v>544</v>
      </c>
      <c r="F441" s="265">
        <v>18924</v>
      </c>
      <c r="G441" s="265">
        <v>0</v>
      </c>
      <c r="H441" s="265">
        <v>18924</v>
      </c>
      <c r="I441" s="265">
        <v>0</v>
      </c>
      <c r="J441" s="265">
        <f t="shared" si="83"/>
        <v>0</v>
      </c>
      <c r="K441" s="265">
        <f t="shared" si="84"/>
        <v>0</v>
      </c>
      <c r="L441" s="265">
        <v>13581.4</v>
      </c>
      <c r="M441" s="226">
        <v>0</v>
      </c>
      <c r="N441" s="265">
        <v>13581.4</v>
      </c>
      <c r="O441" s="226">
        <v>0</v>
      </c>
      <c r="P441" s="265">
        <f t="shared" si="85"/>
        <v>0</v>
      </c>
      <c r="Q441" s="271">
        <f t="shared" si="86"/>
        <v>0</v>
      </c>
    </row>
    <row r="442" spans="1:17" x14ac:dyDescent="0.2">
      <c r="A442" s="264" t="s">
        <v>1322</v>
      </c>
      <c r="B442" s="202" t="s">
        <v>507</v>
      </c>
      <c r="C442" s="202" t="s">
        <v>657</v>
      </c>
      <c r="D442" s="202" t="s">
        <v>1323</v>
      </c>
      <c r="E442" s="202"/>
      <c r="F442" s="265">
        <v>5300</v>
      </c>
      <c r="G442" s="265">
        <v>0</v>
      </c>
      <c r="H442" s="265">
        <f>H443</f>
        <v>5300</v>
      </c>
      <c r="I442" s="265">
        <v>0</v>
      </c>
      <c r="J442" s="281">
        <f t="shared" si="83"/>
        <v>0</v>
      </c>
      <c r="K442" s="265">
        <f t="shared" si="84"/>
        <v>0</v>
      </c>
      <c r="L442" s="265">
        <v>0</v>
      </c>
      <c r="M442" s="226">
        <v>0</v>
      </c>
      <c r="N442" s="265">
        <f>N443</f>
        <v>0</v>
      </c>
      <c r="O442" s="226">
        <v>0</v>
      </c>
      <c r="P442" s="281">
        <f t="shared" si="85"/>
        <v>0</v>
      </c>
      <c r="Q442" s="271">
        <f t="shared" si="86"/>
        <v>0</v>
      </c>
    </row>
    <row r="443" spans="1:17" ht="33.75" x14ac:dyDescent="0.2">
      <c r="A443" s="264" t="s">
        <v>1324</v>
      </c>
      <c r="B443" s="202" t="s">
        <v>507</v>
      </c>
      <c r="C443" s="202" t="s">
        <v>657</v>
      </c>
      <c r="D443" s="202" t="s">
        <v>1325</v>
      </c>
      <c r="E443" s="202"/>
      <c r="F443" s="265">
        <v>5300</v>
      </c>
      <c r="G443" s="265">
        <v>0</v>
      </c>
      <c r="H443" s="265">
        <f>H444</f>
        <v>5300</v>
      </c>
      <c r="I443" s="265">
        <v>0</v>
      </c>
      <c r="J443" s="281">
        <f t="shared" si="83"/>
        <v>0</v>
      </c>
      <c r="K443" s="265">
        <f t="shared" si="84"/>
        <v>0</v>
      </c>
      <c r="L443" s="265">
        <v>0</v>
      </c>
      <c r="M443" s="226">
        <v>0</v>
      </c>
      <c r="N443" s="265">
        <f>N444</f>
        <v>0</v>
      </c>
      <c r="O443" s="226">
        <v>0</v>
      </c>
      <c r="P443" s="281">
        <f t="shared" si="85"/>
        <v>0</v>
      </c>
      <c r="Q443" s="271">
        <f t="shared" si="86"/>
        <v>0</v>
      </c>
    </row>
    <row r="444" spans="1:17" x14ac:dyDescent="0.2">
      <c r="A444" s="264" t="s">
        <v>547</v>
      </c>
      <c r="B444" s="202" t="s">
        <v>507</v>
      </c>
      <c r="C444" s="202" t="s">
        <v>657</v>
      </c>
      <c r="D444" s="202" t="s">
        <v>1325</v>
      </c>
      <c r="E444" s="202" t="s">
        <v>519</v>
      </c>
      <c r="F444" s="265">
        <v>5300</v>
      </c>
      <c r="G444" s="265">
        <v>0</v>
      </c>
      <c r="H444" s="265">
        <f>H445</f>
        <v>5300</v>
      </c>
      <c r="I444" s="265">
        <v>0</v>
      </c>
      <c r="J444" s="281">
        <f t="shared" si="83"/>
        <v>0</v>
      </c>
      <c r="K444" s="265">
        <f t="shared" si="84"/>
        <v>0</v>
      </c>
      <c r="L444" s="265">
        <v>0</v>
      </c>
      <c r="M444" s="226">
        <v>0</v>
      </c>
      <c r="N444" s="265">
        <f>N445</f>
        <v>0</v>
      </c>
      <c r="O444" s="226">
        <v>0</v>
      </c>
      <c r="P444" s="281">
        <f t="shared" si="85"/>
        <v>0</v>
      </c>
      <c r="Q444" s="271">
        <f t="shared" si="86"/>
        <v>0</v>
      </c>
    </row>
    <row r="445" spans="1:17" x14ac:dyDescent="0.2">
      <c r="A445" s="264" t="s">
        <v>571</v>
      </c>
      <c r="B445" s="202" t="s">
        <v>507</v>
      </c>
      <c r="C445" s="202" t="s">
        <v>657</v>
      </c>
      <c r="D445" s="202" t="s">
        <v>1325</v>
      </c>
      <c r="E445" s="202" t="s">
        <v>522</v>
      </c>
      <c r="F445" s="265">
        <v>5300</v>
      </c>
      <c r="G445" s="265">
        <v>0</v>
      </c>
      <c r="H445" s="265">
        <f>'Ведомственная 2021-2022'!H996</f>
        <v>5300</v>
      </c>
      <c r="I445" s="265">
        <v>0</v>
      </c>
      <c r="J445" s="281">
        <f t="shared" si="83"/>
        <v>0</v>
      </c>
      <c r="K445" s="265">
        <f t="shared" si="84"/>
        <v>0</v>
      </c>
      <c r="L445" s="265">
        <v>0</v>
      </c>
      <c r="M445" s="226">
        <v>0</v>
      </c>
      <c r="N445" s="265">
        <f>'Ведомственная 2021-2022'!K996</f>
        <v>0</v>
      </c>
      <c r="O445" s="226">
        <v>0</v>
      </c>
      <c r="P445" s="281">
        <f t="shared" si="85"/>
        <v>0</v>
      </c>
      <c r="Q445" s="271">
        <f t="shared" si="86"/>
        <v>0</v>
      </c>
    </row>
    <row r="446" spans="1:17" x14ac:dyDescent="0.2">
      <c r="A446" s="264" t="s">
        <v>738</v>
      </c>
      <c r="B446" s="202" t="s">
        <v>507</v>
      </c>
      <c r="C446" s="202" t="s">
        <v>657</v>
      </c>
      <c r="D446" s="202" t="s">
        <v>737</v>
      </c>
      <c r="E446" s="202"/>
      <c r="F446" s="265">
        <v>4185</v>
      </c>
      <c r="G446" s="265">
        <v>0</v>
      </c>
      <c r="H446" s="265">
        <f>H447+H450+H453</f>
        <v>4185</v>
      </c>
      <c r="I446" s="265">
        <v>0</v>
      </c>
      <c r="J446" s="281">
        <f t="shared" si="83"/>
        <v>0</v>
      </c>
      <c r="K446" s="265">
        <f t="shared" si="84"/>
        <v>0</v>
      </c>
      <c r="L446" s="265">
        <v>26768</v>
      </c>
      <c r="M446" s="226">
        <v>0</v>
      </c>
      <c r="N446" s="265">
        <f>N447+N450+N453</f>
        <v>26768</v>
      </c>
      <c r="O446" s="226">
        <v>0</v>
      </c>
      <c r="P446" s="281">
        <f t="shared" si="85"/>
        <v>0</v>
      </c>
      <c r="Q446" s="271">
        <f t="shared" si="86"/>
        <v>0</v>
      </c>
    </row>
    <row r="447" spans="1:17" ht="22.5" x14ac:dyDescent="0.2">
      <c r="A447" s="264" t="s">
        <v>736</v>
      </c>
      <c r="B447" s="202" t="s">
        <v>507</v>
      </c>
      <c r="C447" s="202" t="s">
        <v>657</v>
      </c>
      <c r="D447" s="202" t="s">
        <v>735</v>
      </c>
      <c r="E447" s="202"/>
      <c r="F447" s="265">
        <v>2311</v>
      </c>
      <c r="G447" s="265">
        <v>0</v>
      </c>
      <c r="H447" s="265">
        <f>H448</f>
        <v>2311</v>
      </c>
      <c r="I447" s="265">
        <v>0</v>
      </c>
      <c r="J447" s="281">
        <f t="shared" si="83"/>
        <v>0</v>
      </c>
      <c r="K447" s="265">
        <f t="shared" si="84"/>
        <v>0</v>
      </c>
      <c r="L447" s="265">
        <v>0</v>
      </c>
      <c r="M447" s="226">
        <v>0</v>
      </c>
      <c r="N447" s="265">
        <f>N448</f>
        <v>0</v>
      </c>
      <c r="O447" s="226">
        <v>0</v>
      </c>
      <c r="P447" s="265">
        <f t="shared" si="85"/>
        <v>0</v>
      </c>
      <c r="Q447" s="271">
        <f t="shared" si="86"/>
        <v>0</v>
      </c>
    </row>
    <row r="448" spans="1:17" s="304" customFormat="1" x14ac:dyDescent="0.2">
      <c r="A448" s="264" t="s">
        <v>1347</v>
      </c>
      <c r="B448" s="202" t="s">
        <v>507</v>
      </c>
      <c r="C448" s="202" t="s">
        <v>657</v>
      </c>
      <c r="D448" s="202" t="s">
        <v>735</v>
      </c>
      <c r="E448" s="202" t="s">
        <v>535</v>
      </c>
      <c r="F448" s="265">
        <v>2311</v>
      </c>
      <c r="G448" s="265">
        <v>0</v>
      </c>
      <c r="H448" s="265">
        <f>H449</f>
        <v>2311</v>
      </c>
      <c r="I448" s="265">
        <f>I449</f>
        <v>0</v>
      </c>
      <c r="J448" s="281">
        <f t="shared" ref="J448:J449" si="87">H448-F448</f>
        <v>0</v>
      </c>
      <c r="K448" s="265">
        <f t="shared" ref="K448:K449" si="88">I448-G448</f>
        <v>0</v>
      </c>
      <c r="L448" s="265">
        <v>0</v>
      </c>
      <c r="M448" s="226">
        <v>0</v>
      </c>
      <c r="N448" s="265">
        <f>N449</f>
        <v>0</v>
      </c>
      <c r="O448" s="226">
        <f>O449</f>
        <v>0</v>
      </c>
      <c r="P448" s="265">
        <f t="shared" ref="P448:P449" si="89">N448-L448</f>
        <v>0</v>
      </c>
      <c r="Q448" s="271">
        <f t="shared" ref="Q448:Q449" si="90">O448-M448</f>
        <v>0</v>
      </c>
    </row>
    <row r="449" spans="1:17" s="304" customFormat="1" x14ac:dyDescent="0.2">
      <c r="A449" s="264" t="s">
        <v>534</v>
      </c>
      <c r="B449" s="202" t="s">
        <v>507</v>
      </c>
      <c r="C449" s="202" t="s">
        <v>657</v>
      </c>
      <c r="D449" s="202" t="s">
        <v>735</v>
      </c>
      <c r="E449" s="202" t="s">
        <v>529</v>
      </c>
      <c r="F449" s="265">
        <v>2311</v>
      </c>
      <c r="G449" s="265">
        <v>0</v>
      </c>
      <c r="H449" s="265">
        <f>'Ведомственная 2021-2022'!H1000</f>
        <v>2311</v>
      </c>
      <c r="I449" s="265">
        <v>0</v>
      </c>
      <c r="J449" s="281">
        <f t="shared" si="87"/>
        <v>0</v>
      </c>
      <c r="K449" s="265">
        <f t="shared" si="88"/>
        <v>0</v>
      </c>
      <c r="L449" s="265">
        <v>0</v>
      </c>
      <c r="M449" s="226">
        <v>0</v>
      </c>
      <c r="N449" s="265">
        <f>'Ведомственная 2021-2022'!K1000</f>
        <v>0</v>
      </c>
      <c r="O449" s="226">
        <v>0</v>
      </c>
      <c r="P449" s="265">
        <f t="shared" si="89"/>
        <v>0</v>
      </c>
      <c r="Q449" s="271">
        <f t="shared" si="90"/>
        <v>0</v>
      </c>
    </row>
    <row r="450" spans="1:17" ht="45" x14ac:dyDescent="0.2">
      <c r="A450" s="264" t="s">
        <v>734</v>
      </c>
      <c r="B450" s="202" t="s">
        <v>507</v>
      </c>
      <c r="C450" s="202" t="s">
        <v>657</v>
      </c>
      <c r="D450" s="202" t="s">
        <v>733</v>
      </c>
      <c r="E450" s="202"/>
      <c r="F450" s="265">
        <v>1874</v>
      </c>
      <c r="G450" s="265">
        <v>0</v>
      </c>
      <c r="H450" s="265">
        <f>H451</f>
        <v>1874</v>
      </c>
      <c r="I450" s="265">
        <v>0</v>
      </c>
      <c r="J450" s="281">
        <f t="shared" si="83"/>
        <v>0</v>
      </c>
      <c r="K450" s="265">
        <f t="shared" si="84"/>
        <v>0</v>
      </c>
      <c r="L450" s="265">
        <v>2268</v>
      </c>
      <c r="M450" s="226">
        <v>0</v>
      </c>
      <c r="N450" s="265">
        <f>N451</f>
        <v>2268</v>
      </c>
      <c r="O450" s="226">
        <v>0</v>
      </c>
      <c r="P450" s="281">
        <f t="shared" si="85"/>
        <v>0</v>
      </c>
      <c r="Q450" s="271">
        <f t="shared" si="86"/>
        <v>0</v>
      </c>
    </row>
    <row r="451" spans="1:17" s="379" customFormat="1" x14ac:dyDescent="0.2">
      <c r="A451" s="202" t="s">
        <v>1347</v>
      </c>
      <c r="B451" s="202" t="s">
        <v>507</v>
      </c>
      <c r="C451" s="202" t="s">
        <v>657</v>
      </c>
      <c r="D451" s="202" t="s">
        <v>733</v>
      </c>
      <c r="E451" s="202">
        <v>200</v>
      </c>
      <c r="F451" s="265">
        <v>1874</v>
      </c>
      <c r="G451" s="265">
        <v>0</v>
      </c>
      <c r="H451" s="265">
        <f>H452</f>
        <v>1874</v>
      </c>
      <c r="I451" s="265">
        <f>I452</f>
        <v>0</v>
      </c>
      <c r="J451" s="281">
        <f t="shared" ref="J451:J452" si="91">H451-F451</f>
        <v>0</v>
      </c>
      <c r="K451" s="265">
        <f t="shared" ref="K451:K452" si="92">I451-G451</f>
        <v>0</v>
      </c>
      <c r="L451" s="265">
        <v>2268</v>
      </c>
      <c r="M451" s="226">
        <v>0</v>
      </c>
      <c r="N451" s="265">
        <f>N452</f>
        <v>2268</v>
      </c>
      <c r="O451" s="226">
        <f>O452</f>
        <v>0</v>
      </c>
      <c r="P451" s="281">
        <f t="shared" ref="P451:P452" si="93">N451-L451</f>
        <v>0</v>
      </c>
      <c r="Q451" s="271">
        <f t="shared" ref="Q451:Q452" si="94">O451-M451</f>
        <v>0</v>
      </c>
    </row>
    <row r="452" spans="1:17" s="379" customFormat="1" x14ac:dyDescent="0.2">
      <c r="A452" s="202" t="s">
        <v>534</v>
      </c>
      <c r="B452" s="202" t="s">
        <v>507</v>
      </c>
      <c r="C452" s="202" t="s">
        <v>657</v>
      </c>
      <c r="D452" s="202" t="s">
        <v>733</v>
      </c>
      <c r="E452" s="202">
        <v>240</v>
      </c>
      <c r="F452" s="265">
        <v>1874</v>
      </c>
      <c r="G452" s="265">
        <v>0</v>
      </c>
      <c r="H452" s="265">
        <f>'Ведомственная 2021-2022'!H1003</f>
        <v>1874</v>
      </c>
      <c r="I452" s="265">
        <v>0</v>
      </c>
      <c r="J452" s="281">
        <f t="shared" si="91"/>
        <v>0</v>
      </c>
      <c r="K452" s="265">
        <f t="shared" si="92"/>
        <v>0</v>
      </c>
      <c r="L452" s="265">
        <v>2268</v>
      </c>
      <c r="M452" s="226">
        <v>0</v>
      </c>
      <c r="N452" s="265">
        <f>'Ведомственная 2021-2022'!K1003</f>
        <v>2268</v>
      </c>
      <c r="O452" s="226">
        <v>0</v>
      </c>
      <c r="P452" s="281">
        <f t="shared" si="93"/>
        <v>0</v>
      </c>
      <c r="Q452" s="271">
        <f t="shared" si="94"/>
        <v>0</v>
      </c>
    </row>
    <row r="453" spans="1:17" x14ac:dyDescent="0.2">
      <c r="A453" s="264" t="s">
        <v>732</v>
      </c>
      <c r="B453" s="202" t="s">
        <v>507</v>
      </c>
      <c r="C453" s="202" t="s">
        <v>657</v>
      </c>
      <c r="D453" s="202" t="s">
        <v>731</v>
      </c>
      <c r="E453" s="202"/>
      <c r="F453" s="265">
        <v>0</v>
      </c>
      <c r="G453" s="265">
        <v>0</v>
      </c>
      <c r="H453" s="265">
        <v>0</v>
      </c>
      <c r="I453" s="265">
        <v>0</v>
      </c>
      <c r="J453" s="265">
        <f t="shared" si="83"/>
        <v>0</v>
      </c>
      <c r="K453" s="265">
        <f t="shared" si="84"/>
        <v>0</v>
      </c>
      <c r="L453" s="265">
        <v>24500</v>
      </c>
      <c r="M453" s="226">
        <v>0</v>
      </c>
      <c r="N453" s="265">
        <f>N454</f>
        <v>24500</v>
      </c>
      <c r="O453" s="226">
        <v>0</v>
      </c>
      <c r="P453" s="281">
        <f t="shared" si="85"/>
        <v>0</v>
      </c>
      <c r="Q453" s="271">
        <f t="shared" si="86"/>
        <v>0</v>
      </c>
    </row>
    <row r="454" spans="1:17" s="308" customFormat="1" x14ac:dyDescent="0.2">
      <c r="A454" s="202" t="s">
        <v>1347</v>
      </c>
      <c r="B454" s="202" t="s">
        <v>507</v>
      </c>
      <c r="C454" s="202" t="s">
        <v>657</v>
      </c>
      <c r="D454" s="202" t="s">
        <v>731</v>
      </c>
      <c r="E454" s="202">
        <v>200</v>
      </c>
      <c r="F454" s="265">
        <v>0</v>
      </c>
      <c r="G454" s="265">
        <v>0</v>
      </c>
      <c r="H454" s="265">
        <f t="shared" ref="H454:O454" si="95">H455</f>
        <v>0</v>
      </c>
      <c r="I454" s="265">
        <f t="shared" si="95"/>
        <v>0</v>
      </c>
      <c r="J454" s="265">
        <f t="shared" si="95"/>
        <v>0</v>
      </c>
      <c r="K454" s="265">
        <f t="shared" si="95"/>
        <v>0</v>
      </c>
      <c r="L454" s="265">
        <v>24500</v>
      </c>
      <c r="M454" s="226">
        <v>0</v>
      </c>
      <c r="N454" s="265">
        <f t="shared" si="95"/>
        <v>24500</v>
      </c>
      <c r="O454" s="226">
        <f t="shared" si="95"/>
        <v>0</v>
      </c>
      <c r="P454" s="265">
        <f t="shared" ref="P454:P455" si="96">N454-L454</f>
        <v>0</v>
      </c>
      <c r="Q454" s="271">
        <f t="shared" ref="Q454:Q455" si="97">O454-M454</f>
        <v>0</v>
      </c>
    </row>
    <row r="455" spans="1:17" s="308" customFormat="1" x14ac:dyDescent="0.2">
      <c r="A455" s="202" t="s">
        <v>534</v>
      </c>
      <c r="B455" s="202" t="s">
        <v>507</v>
      </c>
      <c r="C455" s="202" t="s">
        <v>657</v>
      </c>
      <c r="D455" s="202" t="s">
        <v>731</v>
      </c>
      <c r="E455" s="202">
        <v>240</v>
      </c>
      <c r="F455" s="265">
        <v>0</v>
      </c>
      <c r="G455" s="265">
        <v>0</v>
      </c>
      <c r="H455" s="265">
        <v>0</v>
      </c>
      <c r="I455" s="265">
        <v>0</v>
      </c>
      <c r="J455" s="265">
        <v>0</v>
      </c>
      <c r="K455" s="265">
        <v>0</v>
      </c>
      <c r="L455" s="265">
        <v>24500</v>
      </c>
      <c r="M455" s="226">
        <v>0</v>
      </c>
      <c r="N455" s="265">
        <f>'Ведомственная 2021-2022'!K1006</f>
        <v>24500</v>
      </c>
      <c r="O455" s="226">
        <v>0</v>
      </c>
      <c r="P455" s="265">
        <f t="shared" si="96"/>
        <v>0</v>
      </c>
      <c r="Q455" s="271">
        <f t="shared" si="97"/>
        <v>0</v>
      </c>
    </row>
    <row r="456" spans="1:17" x14ac:dyDescent="0.2">
      <c r="A456" s="264" t="s">
        <v>1065</v>
      </c>
      <c r="B456" s="202" t="s">
        <v>507</v>
      </c>
      <c r="C456" s="202" t="s">
        <v>783</v>
      </c>
      <c r="D456" s="202"/>
      <c r="E456" s="202"/>
      <c r="F456" s="265">
        <v>14382.5</v>
      </c>
      <c r="G456" s="265">
        <v>2399</v>
      </c>
      <c r="H456" s="265">
        <f>H457+H481+H492</f>
        <v>14382.5</v>
      </c>
      <c r="I456" s="265">
        <f>I457+I481+I492</f>
        <v>2399</v>
      </c>
      <c r="J456" s="281">
        <f t="shared" si="83"/>
        <v>0</v>
      </c>
      <c r="K456" s="281">
        <f t="shared" si="84"/>
        <v>0</v>
      </c>
      <c r="L456" s="265">
        <v>13782.5</v>
      </c>
      <c r="M456" s="226">
        <v>2399</v>
      </c>
      <c r="N456" s="265">
        <f>N457+N481+N492</f>
        <v>13782.5</v>
      </c>
      <c r="O456" s="226">
        <f>O457+O481+O492</f>
        <v>2399</v>
      </c>
      <c r="P456" s="281">
        <f t="shared" si="85"/>
        <v>0</v>
      </c>
      <c r="Q456" s="281">
        <f t="shared" si="86"/>
        <v>0</v>
      </c>
    </row>
    <row r="457" spans="1:17" x14ac:dyDescent="0.2">
      <c r="A457" s="264" t="s">
        <v>1005</v>
      </c>
      <c r="B457" s="202" t="s">
        <v>507</v>
      </c>
      <c r="C457" s="202" t="s">
        <v>783</v>
      </c>
      <c r="D457" s="202" t="s">
        <v>1004</v>
      </c>
      <c r="E457" s="202"/>
      <c r="F457" s="265">
        <v>4453.6000000000004</v>
      </c>
      <c r="G457" s="265">
        <v>2399</v>
      </c>
      <c r="H457" s="265">
        <f t="shared" ref="H457:I457" si="98">H458</f>
        <v>4453.6000000000004</v>
      </c>
      <c r="I457" s="265">
        <f t="shared" si="98"/>
        <v>2399</v>
      </c>
      <c r="J457" s="281">
        <f t="shared" si="83"/>
        <v>0</v>
      </c>
      <c r="K457" s="281">
        <f t="shared" si="84"/>
        <v>0</v>
      </c>
      <c r="L457" s="265">
        <v>4453.6000000000004</v>
      </c>
      <c r="M457" s="226">
        <v>2399</v>
      </c>
      <c r="N457" s="265">
        <f t="shared" ref="N457:O457" si="99">N458</f>
        <v>4453.6000000000004</v>
      </c>
      <c r="O457" s="226">
        <f t="shared" si="99"/>
        <v>2399</v>
      </c>
      <c r="P457" s="281">
        <f t="shared" si="85"/>
        <v>0</v>
      </c>
      <c r="Q457" s="281">
        <f t="shared" si="86"/>
        <v>0</v>
      </c>
    </row>
    <row r="458" spans="1:17" x14ac:dyDescent="0.2">
      <c r="A458" s="264" t="s">
        <v>1003</v>
      </c>
      <c r="B458" s="202" t="s">
        <v>507</v>
      </c>
      <c r="C458" s="202" t="s">
        <v>783</v>
      </c>
      <c r="D458" s="202" t="s">
        <v>1002</v>
      </c>
      <c r="E458" s="202"/>
      <c r="F458" s="265">
        <v>4453.6000000000004</v>
      </c>
      <c r="G458" s="265">
        <v>2399</v>
      </c>
      <c r="H458" s="265">
        <f>H459+H470</f>
        <v>4453.6000000000004</v>
      </c>
      <c r="I458" s="265">
        <f>I459+I470</f>
        <v>2399</v>
      </c>
      <c r="J458" s="281">
        <f t="shared" si="83"/>
        <v>0</v>
      </c>
      <c r="K458" s="281">
        <f t="shared" si="84"/>
        <v>0</v>
      </c>
      <c r="L458" s="265">
        <v>4453.6000000000004</v>
      </c>
      <c r="M458" s="226">
        <v>2399</v>
      </c>
      <c r="N458" s="265">
        <f>N459+N470</f>
        <v>4453.6000000000004</v>
      </c>
      <c r="O458" s="226">
        <f>O459+O470</f>
        <v>2399</v>
      </c>
      <c r="P458" s="281">
        <f t="shared" si="85"/>
        <v>0</v>
      </c>
      <c r="Q458" s="281">
        <f t="shared" si="86"/>
        <v>0</v>
      </c>
    </row>
    <row r="459" spans="1:17" ht="45" x14ac:dyDescent="0.2">
      <c r="A459" s="264" t="s">
        <v>1001</v>
      </c>
      <c r="B459" s="202" t="s">
        <v>507</v>
      </c>
      <c r="C459" s="202" t="s">
        <v>783</v>
      </c>
      <c r="D459" s="202" t="s">
        <v>1000</v>
      </c>
      <c r="E459" s="202"/>
      <c r="F459" s="265">
        <v>4453.6000000000004</v>
      </c>
      <c r="G459" s="265">
        <v>2399</v>
      </c>
      <c r="H459" s="265">
        <f>H460+H465</f>
        <v>0</v>
      </c>
      <c r="I459" s="265">
        <f>I460+I465</f>
        <v>0</v>
      </c>
      <c r="J459" s="281">
        <f t="shared" si="83"/>
        <v>-4453.6000000000004</v>
      </c>
      <c r="K459" s="281">
        <f t="shared" si="84"/>
        <v>-2399</v>
      </c>
      <c r="L459" s="265">
        <v>4453.6000000000004</v>
      </c>
      <c r="M459" s="226">
        <v>2399</v>
      </c>
      <c r="N459" s="265">
        <f t="shared" ref="N459:O459" si="100">N460+N465</f>
        <v>0</v>
      </c>
      <c r="O459" s="226">
        <f t="shared" si="100"/>
        <v>0</v>
      </c>
      <c r="P459" s="281">
        <f t="shared" si="85"/>
        <v>-4453.6000000000004</v>
      </c>
      <c r="Q459" s="281">
        <f t="shared" si="86"/>
        <v>-2399</v>
      </c>
    </row>
    <row r="460" spans="1:17" ht="45" x14ac:dyDescent="0.2">
      <c r="A460" s="264" t="s">
        <v>1064</v>
      </c>
      <c r="B460" s="202" t="s">
        <v>507</v>
      </c>
      <c r="C460" s="202" t="s">
        <v>783</v>
      </c>
      <c r="D460" s="202" t="s">
        <v>1063</v>
      </c>
      <c r="E460" s="202"/>
      <c r="F460" s="265">
        <f>F461+F463</f>
        <v>2399</v>
      </c>
      <c r="G460" s="265">
        <f t="shared" ref="G460:I460" si="101">G461+G463</f>
        <v>2399</v>
      </c>
      <c r="H460" s="265">
        <f t="shared" si="101"/>
        <v>0</v>
      </c>
      <c r="I460" s="265">
        <f t="shared" si="101"/>
        <v>0</v>
      </c>
      <c r="J460" s="281">
        <f t="shared" si="83"/>
        <v>-2399</v>
      </c>
      <c r="K460" s="281">
        <f t="shared" si="84"/>
        <v>-2399</v>
      </c>
      <c r="L460" s="265">
        <f t="shared" ref="L460" si="102">L461+L463</f>
        <v>2399</v>
      </c>
      <c r="M460" s="226">
        <f t="shared" ref="M460:N460" si="103">M461+M463</f>
        <v>2399</v>
      </c>
      <c r="N460" s="265">
        <f t="shared" si="103"/>
        <v>0</v>
      </c>
      <c r="O460" s="226">
        <f t="shared" ref="O460" si="104">O461+O463</f>
        <v>0</v>
      </c>
      <c r="P460" s="281">
        <f t="shared" si="85"/>
        <v>-2399</v>
      </c>
      <c r="Q460" s="281">
        <f t="shared" si="86"/>
        <v>-2399</v>
      </c>
    </row>
    <row r="461" spans="1:17" ht="33.75" x14ac:dyDescent="0.2">
      <c r="A461" s="264" t="s">
        <v>1348</v>
      </c>
      <c r="B461" s="202" t="s">
        <v>507</v>
      </c>
      <c r="C461" s="202" t="s">
        <v>783</v>
      </c>
      <c r="D461" s="202" t="s">
        <v>1063</v>
      </c>
      <c r="E461" s="202" t="s">
        <v>556</v>
      </c>
      <c r="F461" s="265">
        <f>F462</f>
        <v>1385.1</v>
      </c>
      <c r="G461" s="265">
        <f t="shared" ref="G461:I461" si="105">G462</f>
        <v>1385.1</v>
      </c>
      <c r="H461" s="265">
        <f t="shared" si="105"/>
        <v>0</v>
      </c>
      <c r="I461" s="265">
        <f t="shared" si="105"/>
        <v>0</v>
      </c>
      <c r="J461" s="281">
        <f t="shared" si="83"/>
        <v>-1385.1</v>
      </c>
      <c r="K461" s="281">
        <f t="shared" si="84"/>
        <v>-1385.1</v>
      </c>
      <c r="L461" s="265">
        <v>1385.1</v>
      </c>
      <c r="M461" s="226">
        <v>1385.1</v>
      </c>
      <c r="N461" s="265">
        <f>N462</f>
        <v>0</v>
      </c>
      <c r="O461" s="226">
        <f>O462</f>
        <v>0</v>
      </c>
      <c r="P461" s="281">
        <f t="shared" si="85"/>
        <v>-1385.1</v>
      </c>
      <c r="Q461" s="281">
        <f t="shared" si="86"/>
        <v>-1385.1</v>
      </c>
    </row>
    <row r="462" spans="1:17" x14ac:dyDescent="0.2">
      <c r="A462" s="264" t="s">
        <v>555</v>
      </c>
      <c r="B462" s="202" t="s">
        <v>507</v>
      </c>
      <c r="C462" s="202" t="s">
        <v>783</v>
      </c>
      <c r="D462" s="202" t="s">
        <v>1063</v>
      </c>
      <c r="E462" s="202" t="s">
        <v>554</v>
      </c>
      <c r="F462" s="265">
        <v>1385.1</v>
      </c>
      <c r="G462" s="265">
        <v>1385.1</v>
      </c>
      <c r="H462" s="265">
        <f>'Ведомственная 2021-2022'!H403</f>
        <v>0</v>
      </c>
      <c r="I462" s="265">
        <f>H462</f>
        <v>0</v>
      </c>
      <c r="J462" s="281">
        <f t="shared" si="83"/>
        <v>-1385.1</v>
      </c>
      <c r="K462" s="281">
        <f t="shared" si="84"/>
        <v>-1385.1</v>
      </c>
      <c r="L462" s="265">
        <v>1385.1</v>
      </c>
      <c r="M462" s="226">
        <v>1385.1</v>
      </c>
      <c r="N462" s="265">
        <f>'Ведомственная 2021-2022'!K403</f>
        <v>0</v>
      </c>
      <c r="O462" s="226">
        <f>N462</f>
        <v>0</v>
      </c>
      <c r="P462" s="281">
        <f t="shared" si="85"/>
        <v>-1385.1</v>
      </c>
      <c r="Q462" s="281">
        <f t="shared" si="86"/>
        <v>-1385.1</v>
      </c>
    </row>
    <row r="463" spans="1:17" x14ac:dyDescent="0.2">
      <c r="A463" s="264" t="s">
        <v>1347</v>
      </c>
      <c r="B463" s="202" t="s">
        <v>507</v>
      </c>
      <c r="C463" s="202" t="s">
        <v>783</v>
      </c>
      <c r="D463" s="202" t="s">
        <v>1063</v>
      </c>
      <c r="E463" s="202" t="s">
        <v>535</v>
      </c>
      <c r="F463" s="265">
        <f>F464</f>
        <v>1013.9</v>
      </c>
      <c r="G463" s="265">
        <f t="shared" ref="G463:I463" si="106">G464</f>
        <v>1013.9</v>
      </c>
      <c r="H463" s="265">
        <f t="shared" si="106"/>
        <v>0</v>
      </c>
      <c r="I463" s="265">
        <f t="shared" si="106"/>
        <v>0</v>
      </c>
      <c r="J463" s="281">
        <f t="shared" si="83"/>
        <v>-1013.9</v>
      </c>
      <c r="K463" s="281">
        <f t="shared" si="84"/>
        <v>-1013.9</v>
      </c>
      <c r="L463" s="265">
        <v>1013.9</v>
      </c>
      <c r="M463" s="226">
        <v>1013.9</v>
      </c>
      <c r="N463" s="265">
        <f>N464</f>
        <v>0</v>
      </c>
      <c r="O463" s="226">
        <f>O464</f>
        <v>0</v>
      </c>
      <c r="P463" s="281">
        <f t="shared" si="85"/>
        <v>-1013.9</v>
      </c>
      <c r="Q463" s="281">
        <f t="shared" si="86"/>
        <v>-1013.9</v>
      </c>
    </row>
    <row r="464" spans="1:17" x14ac:dyDescent="0.2">
      <c r="A464" s="264" t="s">
        <v>534</v>
      </c>
      <c r="B464" s="202" t="s">
        <v>507</v>
      </c>
      <c r="C464" s="202" t="s">
        <v>783</v>
      </c>
      <c r="D464" s="202" t="s">
        <v>1063</v>
      </c>
      <c r="E464" s="202" t="s">
        <v>529</v>
      </c>
      <c r="F464" s="265">
        <v>1013.9</v>
      </c>
      <c r="G464" s="265">
        <v>1013.9</v>
      </c>
      <c r="H464" s="265">
        <f>'Ведомственная 2021-2022'!H405</f>
        <v>0</v>
      </c>
      <c r="I464" s="265">
        <f>H464</f>
        <v>0</v>
      </c>
      <c r="J464" s="281">
        <f t="shared" si="83"/>
        <v>-1013.9</v>
      </c>
      <c r="K464" s="281">
        <f t="shared" si="84"/>
        <v>-1013.9</v>
      </c>
      <c r="L464" s="265">
        <v>1013.9</v>
      </c>
      <c r="M464" s="226">
        <v>1013.9</v>
      </c>
      <c r="N464" s="265">
        <f>'Ведомственная 2021-2022'!K405</f>
        <v>0</v>
      </c>
      <c r="O464" s="226">
        <f>N464</f>
        <v>0</v>
      </c>
      <c r="P464" s="281">
        <f t="shared" si="85"/>
        <v>-1013.9</v>
      </c>
      <c r="Q464" s="281">
        <f t="shared" si="86"/>
        <v>-1013.9</v>
      </c>
    </row>
    <row r="465" spans="1:17" s="306" customFormat="1" ht="45" x14ac:dyDescent="0.2">
      <c r="A465" s="298" t="s">
        <v>1341</v>
      </c>
      <c r="B465" s="298" t="s">
        <v>507</v>
      </c>
      <c r="C465" s="298" t="s">
        <v>783</v>
      </c>
      <c r="D465" s="298" t="s">
        <v>999</v>
      </c>
      <c r="E465" s="298"/>
      <c r="F465" s="265">
        <v>2054.6000000000004</v>
      </c>
      <c r="G465" s="265">
        <v>0</v>
      </c>
      <c r="H465" s="265">
        <f t="shared" ref="H465:I465" si="107">H466+H468</f>
        <v>0</v>
      </c>
      <c r="I465" s="265">
        <f t="shared" si="107"/>
        <v>0</v>
      </c>
      <c r="J465" s="281">
        <f t="shared" ref="J465:J469" si="108">H465-F465</f>
        <v>-2054.6000000000004</v>
      </c>
      <c r="K465" s="265">
        <f t="shared" ref="K465:K469" si="109">I465-G465</f>
        <v>0</v>
      </c>
      <c r="L465" s="265">
        <v>2054.6000000000004</v>
      </c>
      <c r="M465" s="226">
        <v>0</v>
      </c>
      <c r="N465" s="265">
        <f t="shared" ref="N465" si="110">N466+N468</f>
        <v>0</v>
      </c>
      <c r="O465" s="226">
        <f t="shared" ref="O465" si="111">O466+O468</f>
        <v>0</v>
      </c>
      <c r="P465" s="281">
        <f t="shared" ref="P465:P469" si="112">N465-L465</f>
        <v>-2054.6000000000004</v>
      </c>
      <c r="Q465" s="271">
        <f t="shared" ref="Q465:Q469" si="113">O465-M465</f>
        <v>0</v>
      </c>
    </row>
    <row r="466" spans="1:17" s="306" customFormat="1" ht="33.75" x14ac:dyDescent="0.2">
      <c r="A466" s="298" t="s">
        <v>1348</v>
      </c>
      <c r="B466" s="298" t="s">
        <v>507</v>
      </c>
      <c r="C466" s="298" t="s">
        <v>783</v>
      </c>
      <c r="D466" s="298" t="s">
        <v>999</v>
      </c>
      <c r="E466" s="298" t="s">
        <v>556</v>
      </c>
      <c r="F466" s="265">
        <v>1499.1000000000001</v>
      </c>
      <c r="G466" s="265">
        <v>0</v>
      </c>
      <c r="H466" s="265">
        <f t="shared" ref="H466:I466" si="114">H467</f>
        <v>0</v>
      </c>
      <c r="I466" s="265">
        <f t="shared" si="114"/>
        <v>0</v>
      </c>
      <c r="J466" s="281">
        <f t="shared" si="108"/>
        <v>-1499.1000000000001</v>
      </c>
      <c r="K466" s="265">
        <f t="shared" si="109"/>
        <v>0</v>
      </c>
      <c r="L466" s="265">
        <v>1499.1000000000001</v>
      </c>
      <c r="M466" s="226">
        <v>0</v>
      </c>
      <c r="N466" s="265">
        <f t="shared" ref="N466" si="115">N467</f>
        <v>0</v>
      </c>
      <c r="O466" s="226">
        <f t="shared" ref="O466" si="116">O467</f>
        <v>0</v>
      </c>
      <c r="P466" s="281">
        <f t="shared" si="112"/>
        <v>-1499.1000000000001</v>
      </c>
      <c r="Q466" s="271">
        <f t="shared" si="113"/>
        <v>0</v>
      </c>
    </row>
    <row r="467" spans="1:17" s="306" customFormat="1" x14ac:dyDescent="0.2">
      <c r="A467" s="298" t="s">
        <v>555</v>
      </c>
      <c r="B467" s="298" t="s">
        <v>507</v>
      </c>
      <c r="C467" s="298" t="s">
        <v>783</v>
      </c>
      <c r="D467" s="298" t="s">
        <v>999</v>
      </c>
      <c r="E467" s="298" t="s">
        <v>554</v>
      </c>
      <c r="F467" s="265">
        <v>1499.1000000000001</v>
      </c>
      <c r="G467" s="265">
        <v>0</v>
      </c>
      <c r="H467" s="265">
        <f>'Ведомственная 2021-2022'!H408</f>
        <v>0</v>
      </c>
      <c r="I467" s="265">
        <v>0</v>
      </c>
      <c r="J467" s="281">
        <f t="shared" si="108"/>
        <v>-1499.1000000000001</v>
      </c>
      <c r="K467" s="265">
        <f t="shared" si="109"/>
        <v>0</v>
      </c>
      <c r="L467" s="265">
        <v>1499.1000000000001</v>
      </c>
      <c r="M467" s="226">
        <v>0</v>
      </c>
      <c r="N467" s="265">
        <f>'Ведомственная 2021-2022'!K408</f>
        <v>0</v>
      </c>
      <c r="O467" s="226">
        <v>0</v>
      </c>
      <c r="P467" s="281">
        <f t="shared" si="112"/>
        <v>-1499.1000000000001</v>
      </c>
      <c r="Q467" s="271">
        <f t="shared" si="113"/>
        <v>0</v>
      </c>
    </row>
    <row r="468" spans="1:17" s="306" customFormat="1" x14ac:dyDescent="0.2">
      <c r="A468" s="298" t="s">
        <v>1347</v>
      </c>
      <c r="B468" s="298" t="s">
        <v>507</v>
      </c>
      <c r="C468" s="298" t="s">
        <v>783</v>
      </c>
      <c r="D468" s="298" t="s">
        <v>999</v>
      </c>
      <c r="E468" s="298" t="s">
        <v>535</v>
      </c>
      <c r="F468" s="265">
        <v>555.5</v>
      </c>
      <c r="G468" s="265">
        <v>0</v>
      </c>
      <c r="H468" s="265">
        <f>H469</f>
        <v>0</v>
      </c>
      <c r="I468" s="265">
        <f>I469</f>
        <v>0</v>
      </c>
      <c r="J468" s="281">
        <f t="shared" si="108"/>
        <v>-555.5</v>
      </c>
      <c r="K468" s="265">
        <f t="shared" si="109"/>
        <v>0</v>
      </c>
      <c r="L468" s="265">
        <v>555.5</v>
      </c>
      <c r="M468" s="226">
        <v>0</v>
      </c>
      <c r="N468" s="265">
        <f>N469</f>
        <v>0</v>
      </c>
      <c r="O468" s="226">
        <f>O469</f>
        <v>0</v>
      </c>
      <c r="P468" s="281">
        <f t="shared" si="112"/>
        <v>-555.5</v>
      </c>
      <c r="Q468" s="271">
        <f t="shared" si="113"/>
        <v>0</v>
      </c>
    </row>
    <row r="469" spans="1:17" s="306" customFormat="1" x14ac:dyDescent="0.2">
      <c r="A469" s="298" t="s">
        <v>534</v>
      </c>
      <c r="B469" s="298" t="s">
        <v>507</v>
      </c>
      <c r="C469" s="298" t="s">
        <v>783</v>
      </c>
      <c r="D469" s="298" t="s">
        <v>999</v>
      </c>
      <c r="E469" s="298" t="s">
        <v>529</v>
      </c>
      <c r="F469" s="265">
        <v>555.5</v>
      </c>
      <c r="G469" s="265">
        <v>0</v>
      </c>
      <c r="H469" s="265">
        <f>'Ведомственная 2021-2022'!H410</f>
        <v>0</v>
      </c>
      <c r="I469" s="265">
        <v>0</v>
      </c>
      <c r="J469" s="281">
        <f t="shared" si="108"/>
        <v>-555.5</v>
      </c>
      <c r="K469" s="265">
        <f t="shared" si="109"/>
        <v>0</v>
      </c>
      <c r="L469" s="265">
        <v>555.5</v>
      </c>
      <c r="M469" s="226">
        <v>0</v>
      </c>
      <c r="N469" s="265">
        <f>'Ведомственная 2021-2022'!K410</f>
        <v>0</v>
      </c>
      <c r="O469" s="226">
        <v>0</v>
      </c>
      <c r="P469" s="281">
        <f t="shared" si="112"/>
        <v>-555.5</v>
      </c>
      <c r="Q469" s="271">
        <f t="shared" si="113"/>
        <v>0</v>
      </c>
    </row>
    <row r="470" spans="1:17" s="442" customFormat="1" x14ac:dyDescent="0.2">
      <c r="A470" s="202" t="s">
        <v>1640</v>
      </c>
      <c r="B470" s="202" t="s">
        <v>507</v>
      </c>
      <c r="C470" s="202" t="s">
        <v>783</v>
      </c>
      <c r="D470" s="202" t="s">
        <v>998</v>
      </c>
      <c r="E470" s="202"/>
      <c r="F470" s="265">
        <f>F471</f>
        <v>0</v>
      </c>
      <c r="G470" s="265">
        <f t="shared" ref="G470" si="117">G471</f>
        <v>0</v>
      </c>
      <c r="H470" s="265">
        <f>H471+H476</f>
        <v>4453.6000000000004</v>
      </c>
      <c r="I470" s="265">
        <f>I471+I476</f>
        <v>2399</v>
      </c>
      <c r="J470" s="265">
        <f t="shared" ref="J470:J475" si="118">H470-F470</f>
        <v>4453.6000000000004</v>
      </c>
      <c r="K470" s="265">
        <f t="shared" ref="K470:K475" si="119">I470-G470</f>
        <v>2399</v>
      </c>
      <c r="L470" s="265">
        <f t="shared" ref="L470:M470" si="120">L471</f>
        <v>0</v>
      </c>
      <c r="M470" s="226">
        <f t="shared" si="120"/>
        <v>0</v>
      </c>
      <c r="N470" s="265">
        <f>N471+N476</f>
        <v>4453.6000000000004</v>
      </c>
      <c r="O470" s="226">
        <f>O471+O476</f>
        <v>2399</v>
      </c>
      <c r="P470" s="265">
        <f t="shared" ref="P470:P475" si="121">N470-L470</f>
        <v>4453.6000000000004</v>
      </c>
      <c r="Q470" s="271">
        <f t="shared" ref="Q470:Q475" si="122">O470-M470</f>
        <v>2399</v>
      </c>
    </row>
    <row r="471" spans="1:17" s="442" customFormat="1" ht="45" x14ac:dyDescent="0.2">
      <c r="A471" s="202" t="s">
        <v>1064</v>
      </c>
      <c r="B471" s="202" t="s">
        <v>507</v>
      </c>
      <c r="C471" s="202" t="s">
        <v>783</v>
      </c>
      <c r="D471" s="202" t="s">
        <v>1649</v>
      </c>
      <c r="E471" s="202"/>
      <c r="F471" s="265">
        <f>F472+F474</f>
        <v>0</v>
      </c>
      <c r="G471" s="265">
        <f t="shared" ref="G471:I471" si="123">G472+G474</f>
        <v>0</v>
      </c>
      <c r="H471" s="265">
        <f t="shared" si="123"/>
        <v>2399</v>
      </c>
      <c r="I471" s="265">
        <f t="shared" si="123"/>
        <v>2399</v>
      </c>
      <c r="J471" s="265">
        <f t="shared" si="118"/>
        <v>2399</v>
      </c>
      <c r="K471" s="265">
        <f t="shared" si="119"/>
        <v>2399</v>
      </c>
      <c r="L471" s="265">
        <f t="shared" ref="L471:O471" si="124">L472+L474</f>
        <v>0</v>
      </c>
      <c r="M471" s="226">
        <f t="shared" si="124"/>
        <v>0</v>
      </c>
      <c r="N471" s="265">
        <f t="shared" si="124"/>
        <v>2399</v>
      </c>
      <c r="O471" s="226">
        <f t="shared" si="124"/>
        <v>2399</v>
      </c>
      <c r="P471" s="265">
        <f t="shared" si="121"/>
        <v>2399</v>
      </c>
      <c r="Q471" s="271">
        <f t="shared" si="122"/>
        <v>2399</v>
      </c>
    </row>
    <row r="472" spans="1:17" s="442" customFormat="1" ht="33.75" x14ac:dyDescent="0.2">
      <c r="A472" s="202" t="s">
        <v>1348</v>
      </c>
      <c r="B472" s="202" t="s">
        <v>507</v>
      </c>
      <c r="C472" s="202" t="s">
        <v>783</v>
      </c>
      <c r="D472" s="202" t="s">
        <v>1649</v>
      </c>
      <c r="E472" s="202" t="s">
        <v>556</v>
      </c>
      <c r="F472" s="265">
        <f>F473</f>
        <v>0</v>
      </c>
      <c r="G472" s="265">
        <f t="shared" ref="G472:I472" si="125">G473</f>
        <v>0</v>
      </c>
      <c r="H472" s="265">
        <f t="shared" si="125"/>
        <v>1385.1</v>
      </c>
      <c r="I472" s="265">
        <f t="shared" si="125"/>
        <v>1385.1</v>
      </c>
      <c r="J472" s="265">
        <f t="shared" si="118"/>
        <v>1385.1</v>
      </c>
      <c r="K472" s="265">
        <f t="shared" si="119"/>
        <v>1385.1</v>
      </c>
      <c r="L472" s="265">
        <f t="shared" ref="L472:O472" si="126">L473</f>
        <v>0</v>
      </c>
      <c r="M472" s="226">
        <f t="shared" si="126"/>
        <v>0</v>
      </c>
      <c r="N472" s="265">
        <f t="shared" si="126"/>
        <v>1385.1</v>
      </c>
      <c r="O472" s="226">
        <f t="shared" si="126"/>
        <v>1385.1</v>
      </c>
      <c r="P472" s="265">
        <f t="shared" si="121"/>
        <v>1385.1</v>
      </c>
      <c r="Q472" s="271">
        <f t="shared" si="122"/>
        <v>1385.1</v>
      </c>
    </row>
    <row r="473" spans="1:17" s="442" customFormat="1" x14ac:dyDescent="0.2">
      <c r="A473" s="202" t="s">
        <v>555</v>
      </c>
      <c r="B473" s="202" t="s">
        <v>507</v>
      </c>
      <c r="C473" s="202" t="s">
        <v>783</v>
      </c>
      <c r="D473" s="202" t="s">
        <v>1649</v>
      </c>
      <c r="E473" s="202" t="s">
        <v>554</v>
      </c>
      <c r="F473" s="265">
        <v>0</v>
      </c>
      <c r="G473" s="265">
        <v>0</v>
      </c>
      <c r="H473" s="265">
        <f>'Ведомственная 2021-2022'!H414</f>
        <v>1385.1</v>
      </c>
      <c r="I473" s="265">
        <f>H473</f>
        <v>1385.1</v>
      </c>
      <c r="J473" s="265">
        <f t="shared" si="118"/>
        <v>1385.1</v>
      </c>
      <c r="K473" s="265">
        <f t="shared" si="119"/>
        <v>1385.1</v>
      </c>
      <c r="L473" s="265">
        <v>0</v>
      </c>
      <c r="M473" s="226">
        <v>0</v>
      </c>
      <c r="N473" s="265">
        <f>'Ведомственная 2021-2022'!K414</f>
        <v>1385.1</v>
      </c>
      <c r="O473" s="226">
        <f>N473</f>
        <v>1385.1</v>
      </c>
      <c r="P473" s="265">
        <f t="shared" si="121"/>
        <v>1385.1</v>
      </c>
      <c r="Q473" s="271">
        <f t="shared" si="122"/>
        <v>1385.1</v>
      </c>
    </row>
    <row r="474" spans="1:17" s="442" customFormat="1" x14ac:dyDescent="0.2">
      <c r="A474" s="202" t="s">
        <v>1347</v>
      </c>
      <c r="B474" s="202" t="s">
        <v>507</v>
      </c>
      <c r="C474" s="202" t="s">
        <v>783</v>
      </c>
      <c r="D474" s="202" t="s">
        <v>1649</v>
      </c>
      <c r="E474" s="202" t="s">
        <v>535</v>
      </c>
      <c r="F474" s="265">
        <f>F475</f>
        <v>0</v>
      </c>
      <c r="G474" s="265">
        <f>G475</f>
        <v>0</v>
      </c>
      <c r="H474" s="265">
        <f>H475</f>
        <v>1013.9</v>
      </c>
      <c r="I474" s="265">
        <f>I475</f>
        <v>1013.9</v>
      </c>
      <c r="J474" s="265">
        <f t="shared" si="118"/>
        <v>1013.9</v>
      </c>
      <c r="K474" s="265">
        <f t="shared" si="119"/>
        <v>1013.9</v>
      </c>
      <c r="L474" s="265">
        <v>0</v>
      </c>
      <c r="M474" s="226">
        <v>0</v>
      </c>
      <c r="N474" s="265">
        <f>N475</f>
        <v>1013.9</v>
      </c>
      <c r="O474" s="226">
        <f>O475</f>
        <v>1013.9</v>
      </c>
      <c r="P474" s="265">
        <f t="shared" si="121"/>
        <v>1013.9</v>
      </c>
      <c r="Q474" s="271">
        <f t="shared" si="122"/>
        <v>1013.9</v>
      </c>
    </row>
    <row r="475" spans="1:17" s="442" customFormat="1" x14ac:dyDescent="0.2">
      <c r="A475" s="202" t="s">
        <v>534</v>
      </c>
      <c r="B475" s="202" t="s">
        <v>507</v>
      </c>
      <c r="C475" s="202" t="s">
        <v>783</v>
      </c>
      <c r="D475" s="202" t="s">
        <v>1649</v>
      </c>
      <c r="E475" s="202" t="s">
        <v>529</v>
      </c>
      <c r="F475" s="265">
        <v>0</v>
      </c>
      <c r="G475" s="265">
        <v>0</v>
      </c>
      <c r="H475" s="265">
        <f>'Ведомственная 2021-2022'!H416</f>
        <v>1013.9</v>
      </c>
      <c r="I475" s="265">
        <f>H475</f>
        <v>1013.9</v>
      </c>
      <c r="J475" s="265">
        <f t="shared" si="118"/>
        <v>1013.9</v>
      </c>
      <c r="K475" s="265">
        <f t="shared" si="119"/>
        <v>1013.9</v>
      </c>
      <c r="L475" s="265">
        <v>0</v>
      </c>
      <c r="M475" s="226">
        <v>0</v>
      </c>
      <c r="N475" s="265">
        <f>'Ведомственная 2021-2022'!K416</f>
        <v>1013.9</v>
      </c>
      <c r="O475" s="226">
        <f>N475</f>
        <v>1013.9</v>
      </c>
      <c r="P475" s="265">
        <f t="shared" si="121"/>
        <v>1013.9</v>
      </c>
      <c r="Q475" s="271">
        <f t="shared" si="122"/>
        <v>1013.9</v>
      </c>
    </row>
    <row r="476" spans="1:17" s="442" customFormat="1" ht="45" x14ac:dyDescent="0.2">
      <c r="A476" s="202" t="s">
        <v>1650</v>
      </c>
      <c r="B476" s="202" t="s">
        <v>507</v>
      </c>
      <c r="C476" s="202" t="s">
        <v>783</v>
      </c>
      <c r="D476" s="202" t="s">
        <v>1651</v>
      </c>
      <c r="E476" s="202"/>
      <c r="F476" s="265">
        <f>F477+F479</f>
        <v>0</v>
      </c>
      <c r="G476" s="265">
        <f t="shared" ref="G476:I476" si="127">G477+G479</f>
        <v>0</v>
      </c>
      <c r="H476" s="265">
        <f t="shared" si="127"/>
        <v>2054.6000000000004</v>
      </c>
      <c r="I476" s="265">
        <f t="shared" si="127"/>
        <v>0</v>
      </c>
      <c r="J476" s="265">
        <f t="shared" ref="J476:J480" si="128">H476-F476</f>
        <v>2054.6000000000004</v>
      </c>
      <c r="K476" s="265">
        <f t="shared" ref="K476:K480" si="129">I476-G476</f>
        <v>0</v>
      </c>
      <c r="L476" s="265">
        <f>L4908+L479</f>
        <v>0</v>
      </c>
      <c r="M476" s="226">
        <f>M4908+M479</f>
        <v>0</v>
      </c>
      <c r="N476" s="265">
        <f>N477+N479</f>
        <v>2054.6000000000004</v>
      </c>
      <c r="O476" s="226">
        <f>O4908+O479</f>
        <v>0</v>
      </c>
      <c r="P476" s="265">
        <f t="shared" ref="P476:P480" si="130">N476-L476</f>
        <v>2054.6000000000004</v>
      </c>
      <c r="Q476" s="271">
        <f t="shared" ref="Q476:Q480" si="131">O476-M476</f>
        <v>0</v>
      </c>
    </row>
    <row r="477" spans="1:17" s="442" customFormat="1" ht="33.75" x14ac:dyDescent="0.2">
      <c r="A477" s="202" t="s">
        <v>1348</v>
      </c>
      <c r="B477" s="202" t="s">
        <v>507</v>
      </c>
      <c r="C477" s="202" t="s">
        <v>783</v>
      </c>
      <c r="D477" s="202" t="s">
        <v>1651</v>
      </c>
      <c r="E477" s="202" t="s">
        <v>556</v>
      </c>
      <c r="F477" s="265">
        <f>F478</f>
        <v>0</v>
      </c>
      <c r="G477" s="265">
        <f t="shared" ref="G477:I477" si="132">G478</f>
        <v>0</v>
      </c>
      <c r="H477" s="265">
        <f t="shared" si="132"/>
        <v>1499.1000000000001</v>
      </c>
      <c r="I477" s="265">
        <f t="shared" si="132"/>
        <v>0</v>
      </c>
      <c r="J477" s="265">
        <f t="shared" si="128"/>
        <v>1499.1000000000001</v>
      </c>
      <c r="K477" s="265">
        <f t="shared" si="129"/>
        <v>0</v>
      </c>
      <c r="L477" s="265">
        <f>L478</f>
        <v>0</v>
      </c>
      <c r="M477" s="226">
        <f>M478</f>
        <v>0</v>
      </c>
      <c r="N477" s="265">
        <f>N478</f>
        <v>1499.1000000000001</v>
      </c>
      <c r="O477" s="226">
        <f>O478</f>
        <v>0</v>
      </c>
      <c r="P477" s="265">
        <f t="shared" si="130"/>
        <v>1499.1000000000001</v>
      </c>
      <c r="Q477" s="271">
        <f t="shared" si="131"/>
        <v>0</v>
      </c>
    </row>
    <row r="478" spans="1:17" s="442" customFormat="1" x14ac:dyDescent="0.2">
      <c r="A478" s="202" t="s">
        <v>555</v>
      </c>
      <c r="B478" s="202" t="s">
        <v>507</v>
      </c>
      <c r="C478" s="202" t="s">
        <v>783</v>
      </c>
      <c r="D478" s="202" t="s">
        <v>1651</v>
      </c>
      <c r="E478" s="202" t="s">
        <v>554</v>
      </c>
      <c r="F478" s="265">
        <v>0</v>
      </c>
      <c r="G478" s="265">
        <v>0</v>
      </c>
      <c r="H478" s="265">
        <f>'Ведомственная 2021-2022'!H419</f>
        <v>1499.1000000000001</v>
      </c>
      <c r="I478" s="265">
        <v>0</v>
      </c>
      <c r="J478" s="265">
        <f t="shared" si="128"/>
        <v>1499.1000000000001</v>
      </c>
      <c r="K478" s="265">
        <f t="shared" si="129"/>
        <v>0</v>
      </c>
      <c r="L478" s="265">
        <v>0</v>
      </c>
      <c r="M478" s="226">
        <v>0</v>
      </c>
      <c r="N478" s="265">
        <f>'Ведомственная 2021-2022'!K419</f>
        <v>1499.1000000000001</v>
      </c>
      <c r="O478" s="226">
        <v>0</v>
      </c>
      <c r="P478" s="265">
        <f t="shared" si="130"/>
        <v>1499.1000000000001</v>
      </c>
      <c r="Q478" s="271">
        <f t="shared" si="131"/>
        <v>0</v>
      </c>
    </row>
    <row r="479" spans="1:17" s="442" customFormat="1" x14ac:dyDescent="0.2">
      <c r="A479" s="202" t="s">
        <v>1347</v>
      </c>
      <c r="B479" s="202" t="s">
        <v>507</v>
      </c>
      <c r="C479" s="202" t="s">
        <v>783</v>
      </c>
      <c r="D479" s="202" t="s">
        <v>1651</v>
      </c>
      <c r="E479" s="202" t="s">
        <v>535</v>
      </c>
      <c r="F479" s="265">
        <f>F480</f>
        <v>0</v>
      </c>
      <c r="G479" s="265">
        <f>G480</f>
        <v>0</v>
      </c>
      <c r="H479" s="265">
        <f>H480</f>
        <v>555.5</v>
      </c>
      <c r="I479" s="265">
        <f>I480</f>
        <v>0</v>
      </c>
      <c r="J479" s="265">
        <f t="shared" si="128"/>
        <v>555.5</v>
      </c>
      <c r="K479" s="265">
        <f t="shared" si="129"/>
        <v>0</v>
      </c>
      <c r="L479" s="265">
        <f>L480</f>
        <v>0</v>
      </c>
      <c r="M479" s="226">
        <f>M480</f>
        <v>0</v>
      </c>
      <c r="N479" s="265">
        <f>N480</f>
        <v>555.5</v>
      </c>
      <c r="O479" s="226">
        <f>O480</f>
        <v>0</v>
      </c>
      <c r="P479" s="265">
        <f t="shared" si="130"/>
        <v>555.5</v>
      </c>
      <c r="Q479" s="271">
        <f t="shared" si="131"/>
        <v>0</v>
      </c>
    </row>
    <row r="480" spans="1:17" s="442" customFormat="1" x14ac:dyDescent="0.2">
      <c r="A480" s="202" t="s">
        <v>534</v>
      </c>
      <c r="B480" s="202" t="s">
        <v>507</v>
      </c>
      <c r="C480" s="202" t="s">
        <v>783</v>
      </c>
      <c r="D480" s="202" t="s">
        <v>1651</v>
      </c>
      <c r="E480" s="202" t="s">
        <v>529</v>
      </c>
      <c r="F480" s="265">
        <v>0</v>
      </c>
      <c r="G480" s="265">
        <v>0</v>
      </c>
      <c r="H480" s="265">
        <f>'Ведомственная 2021-2022'!H421</f>
        <v>555.5</v>
      </c>
      <c r="I480" s="265">
        <v>0</v>
      </c>
      <c r="J480" s="265">
        <f t="shared" si="128"/>
        <v>555.5</v>
      </c>
      <c r="K480" s="265">
        <f t="shared" si="129"/>
        <v>0</v>
      </c>
      <c r="L480" s="265">
        <v>0</v>
      </c>
      <c r="M480" s="226">
        <v>0</v>
      </c>
      <c r="N480" s="265">
        <f>'Ведомственная 2021-2022'!K421</f>
        <v>555.5</v>
      </c>
      <c r="O480" s="226">
        <v>0</v>
      </c>
      <c r="P480" s="265">
        <f t="shared" si="130"/>
        <v>555.5</v>
      </c>
      <c r="Q480" s="271">
        <f t="shared" si="131"/>
        <v>0</v>
      </c>
    </row>
    <row r="481" spans="1:17" x14ac:dyDescent="0.2">
      <c r="A481" s="264" t="s">
        <v>879</v>
      </c>
      <c r="B481" s="202" t="s">
        <v>507</v>
      </c>
      <c r="C481" s="202" t="s">
        <v>783</v>
      </c>
      <c r="D481" s="202" t="s">
        <v>878</v>
      </c>
      <c r="E481" s="202"/>
      <c r="F481" s="265">
        <v>9490</v>
      </c>
      <c r="G481" s="265">
        <v>0</v>
      </c>
      <c r="H481" s="265">
        <v>9490</v>
      </c>
      <c r="I481" s="265">
        <v>0</v>
      </c>
      <c r="J481" s="265">
        <f t="shared" si="83"/>
        <v>0</v>
      </c>
      <c r="K481" s="265">
        <f t="shared" si="84"/>
        <v>0</v>
      </c>
      <c r="L481" s="265">
        <v>8890</v>
      </c>
      <c r="M481" s="226">
        <v>0</v>
      </c>
      <c r="N481" s="265">
        <v>8890</v>
      </c>
      <c r="O481" s="226">
        <v>0</v>
      </c>
      <c r="P481" s="265">
        <f t="shared" si="85"/>
        <v>0</v>
      </c>
      <c r="Q481" s="271">
        <f t="shared" si="86"/>
        <v>0</v>
      </c>
    </row>
    <row r="482" spans="1:17" x14ac:dyDescent="0.2">
      <c r="A482" s="264" t="s">
        <v>1062</v>
      </c>
      <c r="B482" s="202" t="s">
        <v>507</v>
      </c>
      <c r="C482" s="202" t="s">
        <v>783</v>
      </c>
      <c r="D482" s="202" t="s">
        <v>1061</v>
      </c>
      <c r="E482" s="202"/>
      <c r="F482" s="265">
        <v>5890</v>
      </c>
      <c r="G482" s="265">
        <v>0</v>
      </c>
      <c r="H482" s="265">
        <v>5890</v>
      </c>
      <c r="I482" s="265">
        <v>0</v>
      </c>
      <c r="J482" s="265">
        <f t="shared" si="83"/>
        <v>0</v>
      </c>
      <c r="K482" s="265">
        <f t="shared" si="84"/>
        <v>0</v>
      </c>
      <c r="L482" s="265">
        <v>5890</v>
      </c>
      <c r="M482" s="226">
        <v>0</v>
      </c>
      <c r="N482" s="265">
        <v>5890</v>
      </c>
      <c r="O482" s="226">
        <v>0</v>
      </c>
      <c r="P482" s="265">
        <f t="shared" si="85"/>
        <v>0</v>
      </c>
      <c r="Q482" s="271">
        <f t="shared" si="86"/>
        <v>0</v>
      </c>
    </row>
    <row r="483" spans="1:17" ht="22.5" x14ac:dyDescent="0.2">
      <c r="A483" s="264" t="s">
        <v>1060</v>
      </c>
      <c r="B483" s="202" t="s">
        <v>507</v>
      </c>
      <c r="C483" s="202" t="s">
        <v>783</v>
      </c>
      <c r="D483" s="202" t="s">
        <v>1059</v>
      </c>
      <c r="E483" s="202"/>
      <c r="F483" s="265">
        <v>5890</v>
      </c>
      <c r="G483" s="265">
        <v>0</v>
      </c>
      <c r="H483" s="265">
        <v>5890</v>
      </c>
      <c r="I483" s="265">
        <v>0</v>
      </c>
      <c r="J483" s="265">
        <f t="shared" si="83"/>
        <v>0</v>
      </c>
      <c r="K483" s="265">
        <f t="shared" si="84"/>
        <v>0</v>
      </c>
      <c r="L483" s="265">
        <v>5890</v>
      </c>
      <c r="M483" s="226">
        <v>0</v>
      </c>
      <c r="N483" s="265">
        <v>5890</v>
      </c>
      <c r="O483" s="226">
        <v>0</v>
      </c>
      <c r="P483" s="265">
        <f t="shared" si="85"/>
        <v>0</v>
      </c>
      <c r="Q483" s="271">
        <f t="shared" si="86"/>
        <v>0</v>
      </c>
    </row>
    <row r="484" spans="1:17" x14ac:dyDescent="0.2">
      <c r="A484" s="264" t="s">
        <v>1058</v>
      </c>
      <c r="B484" s="202" t="s">
        <v>507</v>
      </c>
      <c r="C484" s="202" t="s">
        <v>783</v>
      </c>
      <c r="D484" s="202" t="s">
        <v>1057</v>
      </c>
      <c r="E484" s="202"/>
      <c r="F484" s="265">
        <v>5890</v>
      </c>
      <c r="G484" s="265">
        <v>0</v>
      </c>
      <c r="H484" s="265">
        <v>5890</v>
      </c>
      <c r="I484" s="265">
        <v>0</v>
      </c>
      <c r="J484" s="265">
        <f t="shared" si="83"/>
        <v>0</v>
      </c>
      <c r="K484" s="265">
        <f t="shared" si="84"/>
        <v>0</v>
      </c>
      <c r="L484" s="265">
        <v>5890</v>
      </c>
      <c r="M484" s="226">
        <v>0</v>
      </c>
      <c r="N484" s="265">
        <v>5890</v>
      </c>
      <c r="O484" s="226">
        <v>0</v>
      </c>
      <c r="P484" s="265">
        <f t="shared" si="85"/>
        <v>0</v>
      </c>
      <c r="Q484" s="271">
        <f t="shared" si="86"/>
        <v>0</v>
      </c>
    </row>
    <row r="485" spans="1:17" x14ac:dyDescent="0.2">
      <c r="A485" s="264" t="s">
        <v>615</v>
      </c>
      <c r="B485" s="202" t="s">
        <v>507</v>
      </c>
      <c r="C485" s="202" t="s">
        <v>783</v>
      </c>
      <c r="D485" s="202" t="s">
        <v>1057</v>
      </c>
      <c r="E485" s="202" t="s">
        <v>509</v>
      </c>
      <c r="F485" s="265">
        <v>5890</v>
      </c>
      <c r="G485" s="265">
        <v>0</v>
      </c>
      <c r="H485" s="265">
        <v>5890</v>
      </c>
      <c r="I485" s="265">
        <v>0</v>
      </c>
      <c r="J485" s="265">
        <f t="shared" si="83"/>
        <v>0</v>
      </c>
      <c r="K485" s="265">
        <f t="shared" si="84"/>
        <v>0</v>
      </c>
      <c r="L485" s="265">
        <v>5890</v>
      </c>
      <c r="M485" s="226">
        <v>0</v>
      </c>
      <c r="N485" s="265">
        <v>5890</v>
      </c>
      <c r="O485" s="226">
        <v>0</v>
      </c>
      <c r="P485" s="265">
        <f t="shared" si="85"/>
        <v>0</v>
      </c>
      <c r="Q485" s="271">
        <f t="shared" si="86"/>
        <v>0</v>
      </c>
    </row>
    <row r="486" spans="1:17" ht="22.5" x14ac:dyDescent="0.2">
      <c r="A486" s="264" t="s">
        <v>1346</v>
      </c>
      <c r="B486" s="202" t="s">
        <v>507</v>
      </c>
      <c r="C486" s="202" t="s">
        <v>783</v>
      </c>
      <c r="D486" s="202" t="s">
        <v>1057</v>
      </c>
      <c r="E486" s="202" t="s">
        <v>511</v>
      </c>
      <c r="F486" s="265">
        <v>5890</v>
      </c>
      <c r="G486" s="265">
        <v>0</v>
      </c>
      <c r="H486" s="265">
        <v>5890</v>
      </c>
      <c r="I486" s="265">
        <v>0</v>
      </c>
      <c r="J486" s="265">
        <f t="shared" si="83"/>
        <v>0</v>
      </c>
      <c r="K486" s="265">
        <f t="shared" si="84"/>
        <v>0</v>
      </c>
      <c r="L486" s="265">
        <v>5890</v>
      </c>
      <c r="M486" s="226">
        <v>0</v>
      </c>
      <c r="N486" s="265">
        <v>5890</v>
      </c>
      <c r="O486" s="226">
        <v>0</v>
      </c>
      <c r="P486" s="265">
        <f t="shared" si="85"/>
        <v>0</v>
      </c>
      <c r="Q486" s="271">
        <f t="shared" si="86"/>
        <v>0</v>
      </c>
    </row>
    <row r="487" spans="1:17" x14ac:dyDescent="0.2">
      <c r="A487" s="264" t="s">
        <v>877</v>
      </c>
      <c r="B487" s="202" t="s">
        <v>507</v>
      </c>
      <c r="C487" s="202" t="s">
        <v>783</v>
      </c>
      <c r="D487" s="202" t="s">
        <v>876</v>
      </c>
      <c r="E487" s="202"/>
      <c r="F487" s="265">
        <v>3600</v>
      </c>
      <c r="G487" s="265">
        <v>0</v>
      </c>
      <c r="H487" s="265">
        <v>3600</v>
      </c>
      <c r="I487" s="265">
        <v>0</v>
      </c>
      <c r="J487" s="265">
        <f t="shared" si="83"/>
        <v>0</v>
      </c>
      <c r="K487" s="265">
        <f t="shared" si="84"/>
        <v>0</v>
      </c>
      <c r="L487" s="265">
        <v>3000</v>
      </c>
      <c r="M487" s="226">
        <v>0</v>
      </c>
      <c r="N487" s="265">
        <v>3000</v>
      </c>
      <c r="O487" s="226">
        <v>0</v>
      </c>
      <c r="P487" s="265">
        <f t="shared" si="85"/>
        <v>0</v>
      </c>
      <c r="Q487" s="271">
        <f t="shared" si="86"/>
        <v>0</v>
      </c>
    </row>
    <row r="488" spans="1:17" x14ac:dyDescent="0.2">
      <c r="A488" s="264" t="s">
        <v>875</v>
      </c>
      <c r="B488" s="202" t="s">
        <v>507</v>
      </c>
      <c r="C488" s="202" t="s">
        <v>783</v>
      </c>
      <c r="D488" s="202" t="s">
        <v>874</v>
      </c>
      <c r="E488" s="202"/>
      <c r="F488" s="265">
        <v>3600</v>
      </c>
      <c r="G488" s="265">
        <v>0</v>
      </c>
      <c r="H488" s="265">
        <v>3600</v>
      </c>
      <c r="I488" s="265">
        <v>0</v>
      </c>
      <c r="J488" s="265">
        <f t="shared" si="83"/>
        <v>0</v>
      </c>
      <c r="K488" s="265">
        <f t="shared" si="84"/>
        <v>0</v>
      </c>
      <c r="L488" s="265">
        <v>3000</v>
      </c>
      <c r="M488" s="226">
        <v>0</v>
      </c>
      <c r="N488" s="265">
        <v>3000</v>
      </c>
      <c r="O488" s="226">
        <v>0</v>
      </c>
      <c r="P488" s="265">
        <f t="shared" si="85"/>
        <v>0</v>
      </c>
      <c r="Q488" s="271">
        <f t="shared" si="86"/>
        <v>0</v>
      </c>
    </row>
    <row r="489" spans="1:17" ht="22.5" x14ac:dyDescent="0.2">
      <c r="A489" s="264" t="s">
        <v>873</v>
      </c>
      <c r="B489" s="202" t="s">
        <v>507</v>
      </c>
      <c r="C489" s="202" t="s">
        <v>783</v>
      </c>
      <c r="D489" s="202" t="s">
        <v>872</v>
      </c>
      <c r="E489" s="202"/>
      <c r="F489" s="265">
        <v>3600</v>
      </c>
      <c r="G489" s="265">
        <v>0</v>
      </c>
      <c r="H489" s="265">
        <v>3600</v>
      </c>
      <c r="I489" s="265">
        <v>0</v>
      </c>
      <c r="J489" s="265">
        <f t="shared" si="83"/>
        <v>0</v>
      </c>
      <c r="K489" s="265">
        <f t="shared" si="84"/>
        <v>0</v>
      </c>
      <c r="L489" s="265">
        <v>3000</v>
      </c>
      <c r="M489" s="226">
        <v>0</v>
      </c>
      <c r="N489" s="265">
        <v>3000</v>
      </c>
      <c r="O489" s="226">
        <v>0</v>
      </c>
      <c r="P489" s="265">
        <f t="shared" si="85"/>
        <v>0</v>
      </c>
      <c r="Q489" s="271">
        <f t="shared" si="86"/>
        <v>0</v>
      </c>
    </row>
    <row r="490" spans="1:17" x14ac:dyDescent="0.2">
      <c r="A490" s="264" t="s">
        <v>1347</v>
      </c>
      <c r="B490" s="202" t="s">
        <v>507</v>
      </c>
      <c r="C490" s="202" t="s">
        <v>783</v>
      </c>
      <c r="D490" s="202" t="s">
        <v>872</v>
      </c>
      <c r="E490" s="202" t="s">
        <v>535</v>
      </c>
      <c r="F490" s="265">
        <v>3600</v>
      </c>
      <c r="G490" s="265">
        <v>0</v>
      </c>
      <c r="H490" s="265">
        <v>3600</v>
      </c>
      <c r="I490" s="265">
        <v>0</v>
      </c>
      <c r="J490" s="265">
        <f t="shared" si="83"/>
        <v>0</v>
      </c>
      <c r="K490" s="265">
        <f t="shared" si="84"/>
        <v>0</v>
      </c>
      <c r="L490" s="265">
        <v>3000</v>
      </c>
      <c r="M490" s="226">
        <v>0</v>
      </c>
      <c r="N490" s="265">
        <v>3000</v>
      </c>
      <c r="O490" s="226">
        <v>0</v>
      </c>
      <c r="P490" s="265">
        <f t="shared" si="85"/>
        <v>0</v>
      </c>
      <c r="Q490" s="271">
        <f t="shared" si="86"/>
        <v>0</v>
      </c>
    </row>
    <row r="491" spans="1:17" x14ac:dyDescent="0.2">
      <c r="A491" s="264" t="s">
        <v>534</v>
      </c>
      <c r="B491" s="202" t="s">
        <v>507</v>
      </c>
      <c r="C491" s="202" t="s">
        <v>783</v>
      </c>
      <c r="D491" s="202" t="s">
        <v>872</v>
      </c>
      <c r="E491" s="202" t="s">
        <v>529</v>
      </c>
      <c r="F491" s="265">
        <v>3600</v>
      </c>
      <c r="G491" s="265">
        <v>0</v>
      </c>
      <c r="H491" s="265">
        <v>3600</v>
      </c>
      <c r="I491" s="265">
        <v>0</v>
      </c>
      <c r="J491" s="265">
        <f t="shared" ref="J491:J529" si="133">H491-F491</f>
        <v>0</v>
      </c>
      <c r="K491" s="265">
        <f t="shared" ref="K491:K529" si="134">I491-G491</f>
        <v>0</v>
      </c>
      <c r="L491" s="265">
        <v>3000</v>
      </c>
      <c r="M491" s="226">
        <v>0</v>
      </c>
      <c r="N491" s="265">
        <v>3000</v>
      </c>
      <c r="O491" s="226">
        <v>0</v>
      </c>
      <c r="P491" s="265">
        <f t="shared" ref="P491:P529" si="135">N491-L491</f>
        <v>0</v>
      </c>
      <c r="Q491" s="271">
        <f t="shared" ref="Q491:Q529" si="136">O491-M491</f>
        <v>0</v>
      </c>
    </row>
    <row r="492" spans="1:17" ht="22.5" x14ac:dyDescent="0.2">
      <c r="A492" s="264" t="s">
        <v>588</v>
      </c>
      <c r="B492" s="202" t="s">
        <v>507</v>
      </c>
      <c r="C492" s="202" t="s">
        <v>783</v>
      </c>
      <c r="D492" s="202" t="s">
        <v>587</v>
      </c>
      <c r="E492" s="202"/>
      <c r="F492" s="265">
        <v>438.9</v>
      </c>
      <c r="G492" s="265">
        <v>0</v>
      </c>
      <c r="H492" s="265">
        <v>438.9</v>
      </c>
      <c r="I492" s="265">
        <v>0</v>
      </c>
      <c r="J492" s="265">
        <f t="shared" si="133"/>
        <v>0</v>
      </c>
      <c r="K492" s="265">
        <f t="shared" si="134"/>
        <v>0</v>
      </c>
      <c r="L492" s="265">
        <v>438.9</v>
      </c>
      <c r="M492" s="226">
        <v>0</v>
      </c>
      <c r="N492" s="265">
        <v>438.9</v>
      </c>
      <c r="O492" s="226">
        <v>0</v>
      </c>
      <c r="P492" s="265">
        <f t="shared" si="135"/>
        <v>0</v>
      </c>
      <c r="Q492" s="271">
        <f t="shared" si="136"/>
        <v>0</v>
      </c>
    </row>
    <row r="493" spans="1:17" x14ac:dyDescent="0.2">
      <c r="A493" s="264" t="s">
        <v>1056</v>
      </c>
      <c r="B493" s="202" t="s">
        <v>507</v>
      </c>
      <c r="C493" s="202" t="s">
        <v>783</v>
      </c>
      <c r="D493" s="202" t="s">
        <v>1055</v>
      </c>
      <c r="E493" s="202"/>
      <c r="F493" s="265">
        <v>438.9</v>
      </c>
      <c r="G493" s="265">
        <v>0</v>
      </c>
      <c r="H493" s="265">
        <v>438.9</v>
      </c>
      <c r="I493" s="265">
        <v>0</v>
      </c>
      <c r="J493" s="265">
        <f t="shared" si="133"/>
        <v>0</v>
      </c>
      <c r="K493" s="265">
        <f t="shared" si="134"/>
        <v>0</v>
      </c>
      <c r="L493" s="265">
        <v>438.9</v>
      </c>
      <c r="M493" s="226">
        <v>0</v>
      </c>
      <c r="N493" s="265">
        <v>438.9</v>
      </c>
      <c r="O493" s="226">
        <v>0</v>
      </c>
      <c r="P493" s="265">
        <f t="shared" si="135"/>
        <v>0</v>
      </c>
      <c r="Q493" s="271">
        <f t="shared" si="136"/>
        <v>0</v>
      </c>
    </row>
    <row r="494" spans="1:17" x14ac:dyDescent="0.2">
      <c r="A494" s="264" t="s">
        <v>1054</v>
      </c>
      <c r="B494" s="202" t="s">
        <v>507</v>
      </c>
      <c r="C494" s="202" t="s">
        <v>783</v>
      </c>
      <c r="D494" s="202" t="s">
        <v>1053</v>
      </c>
      <c r="E494" s="202"/>
      <c r="F494" s="265">
        <v>438.9</v>
      </c>
      <c r="G494" s="265">
        <v>0</v>
      </c>
      <c r="H494" s="265">
        <v>438.9</v>
      </c>
      <c r="I494" s="265">
        <v>0</v>
      </c>
      <c r="J494" s="265">
        <f t="shared" si="133"/>
        <v>0</v>
      </c>
      <c r="K494" s="265">
        <f t="shared" si="134"/>
        <v>0</v>
      </c>
      <c r="L494" s="265">
        <v>438.9</v>
      </c>
      <c r="M494" s="226">
        <v>0</v>
      </c>
      <c r="N494" s="265">
        <v>438.9</v>
      </c>
      <c r="O494" s="226">
        <v>0</v>
      </c>
      <c r="P494" s="265">
        <f t="shared" si="135"/>
        <v>0</v>
      </c>
      <c r="Q494" s="271">
        <f t="shared" si="136"/>
        <v>0</v>
      </c>
    </row>
    <row r="495" spans="1:17" x14ac:dyDescent="0.2">
      <c r="A495" s="264" t="s">
        <v>1052</v>
      </c>
      <c r="B495" s="202" t="s">
        <v>507</v>
      </c>
      <c r="C495" s="202" t="s">
        <v>783</v>
      </c>
      <c r="D495" s="202" t="s">
        <v>1051</v>
      </c>
      <c r="E495" s="202"/>
      <c r="F495" s="265">
        <v>438.9</v>
      </c>
      <c r="G495" s="265">
        <v>0</v>
      </c>
      <c r="H495" s="265">
        <v>438.9</v>
      </c>
      <c r="I495" s="265">
        <v>0</v>
      </c>
      <c r="J495" s="265">
        <f t="shared" si="133"/>
        <v>0</v>
      </c>
      <c r="K495" s="265">
        <f t="shared" si="134"/>
        <v>0</v>
      </c>
      <c r="L495" s="265">
        <v>438.9</v>
      </c>
      <c r="M495" s="226">
        <v>0</v>
      </c>
      <c r="N495" s="265">
        <v>438.9</v>
      </c>
      <c r="O495" s="226">
        <v>0</v>
      </c>
      <c r="P495" s="265">
        <f t="shared" si="135"/>
        <v>0</v>
      </c>
      <c r="Q495" s="271">
        <f t="shared" si="136"/>
        <v>0</v>
      </c>
    </row>
    <row r="496" spans="1:17" x14ac:dyDescent="0.2">
      <c r="A496" s="264" t="s">
        <v>1347</v>
      </c>
      <c r="B496" s="202" t="s">
        <v>507</v>
      </c>
      <c r="C496" s="202" t="s">
        <v>783</v>
      </c>
      <c r="D496" s="202" t="s">
        <v>1051</v>
      </c>
      <c r="E496" s="202" t="s">
        <v>535</v>
      </c>
      <c r="F496" s="265">
        <v>438.9</v>
      </c>
      <c r="G496" s="265">
        <v>0</v>
      </c>
      <c r="H496" s="265">
        <v>438.9</v>
      </c>
      <c r="I496" s="265">
        <v>0</v>
      </c>
      <c r="J496" s="265">
        <f t="shared" si="133"/>
        <v>0</v>
      </c>
      <c r="K496" s="265">
        <f t="shared" si="134"/>
        <v>0</v>
      </c>
      <c r="L496" s="265">
        <v>438.9</v>
      </c>
      <c r="M496" s="226">
        <v>0</v>
      </c>
      <c r="N496" s="265">
        <v>438.9</v>
      </c>
      <c r="O496" s="226">
        <v>0</v>
      </c>
      <c r="P496" s="265">
        <f t="shared" si="135"/>
        <v>0</v>
      </c>
      <c r="Q496" s="271">
        <f t="shared" si="136"/>
        <v>0</v>
      </c>
    </row>
    <row r="497" spans="1:17" x14ac:dyDescent="0.2">
      <c r="A497" s="264" t="s">
        <v>534</v>
      </c>
      <c r="B497" s="202" t="s">
        <v>507</v>
      </c>
      <c r="C497" s="202" t="s">
        <v>783</v>
      </c>
      <c r="D497" s="202" t="s">
        <v>1051</v>
      </c>
      <c r="E497" s="202" t="s">
        <v>529</v>
      </c>
      <c r="F497" s="265">
        <v>438.9</v>
      </c>
      <c r="G497" s="265">
        <v>0</v>
      </c>
      <c r="H497" s="265">
        <v>438.9</v>
      </c>
      <c r="I497" s="265">
        <v>0</v>
      </c>
      <c r="J497" s="265">
        <f t="shared" si="133"/>
        <v>0</v>
      </c>
      <c r="K497" s="265">
        <f t="shared" si="134"/>
        <v>0</v>
      </c>
      <c r="L497" s="265">
        <v>438.9</v>
      </c>
      <c r="M497" s="226">
        <v>0</v>
      </c>
      <c r="N497" s="265">
        <v>438.9</v>
      </c>
      <c r="O497" s="226">
        <v>0</v>
      </c>
      <c r="P497" s="265">
        <f t="shared" si="135"/>
        <v>0</v>
      </c>
      <c r="Q497" s="271">
        <f t="shared" si="136"/>
        <v>0</v>
      </c>
    </row>
    <row r="498" spans="1:17" s="97" customFormat="1" x14ac:dyDescent="0.2">
      <c r="A498" s="262" t="s">
        <v>1046</v>
      </c>
      <c r="B498" s="199" t="s">
        <v>512</v>
      </c>
      <c r="C498" s="199"/>
      <c r="D498" s="199"/>
      <c r="E498" s="199"/>
      <c r="F498" s="263">
        <v>1260409.5</v>
      </c>
      <c r="G498" s="263">
        <v>0</v>
      </c>
      <c r="H498" s="263">
        <f>H499+H528+H560+H685</f>
        <v>1260609.5</v>
      </c>
      <c r="I498" s="263">
        <f>I499+I528+I560+I685</f>
        <v>0</v>
      </c>
      <c r="J498" s="282">
        <f t="shared" si="133"/>
        <v>200</v>
      </c>
      <c r="K498" s="282">
        <f t="shared" si="134"/>
        <v>0</v>
      </c>
      <c r="L498" s="263">
        <v>1287214.8999999999</v>
      </c>
      <c r="M498" s="205">
        <v>0</v>
      </c>
      <c r="N498" s="263">
        <f>N499+N528+N560+N685</f>
        <v>1284689.3999999999</v>
      </c>
      <c r="O498" s="205">
        <f>O499+O528+O560+O685</f>
        <v>0</v>
      </c>
      <c r="P498" s="282">
        <f t="shared" si="135"/>
        <v>-2525.5</v>
      </c>
      <c r="Q498" s="282">
        <f t="shared" si="136"/>
        <v>0</v>
      </c>
    </row>
    <row r="499" spans="1:17" x14ac:dyDescent="0.2">
      <c r="A499" s="264" t="s">
        <v>1045</v>
      </c>
      <c r="B499" s="202" t="s">
        <v>512</v>
      </c>
      <c r="C499" s="202" t="s">
        <v>498</v>
      </c>
      <c r="D499" s="202"/>
      <c r="E499" s="202"/>
      <c r="F499" s="265">
        <v>65872.600000000006</v>
      </c>
      <c r="G499" s="265">
        <v>0</v>
      </c>
      <c r="H499" s="265">
        <f>H500+H506+H515</f>
        <v>65872.600000000006</v>
      </c>
      <c r="I499" s="265">
        <v>0</v>
      </c>
      <c r="J499" s="281">
        <f t="shared" si="133"/>
        <v>0</v>
      </c>
      <c r="K499" s="265">
        <f t="shared" si="134"/>
        <v>0</v>
      </c>
      <c r="L499" s="265">
        <v>58804.6</v>
      </c>
      <c r="M499" s="226">
        <v>0</v>
      </c>
      <c r="N499" s="265">
        <v>58804.6</v>
      </c>
      <c r="O499" s="226">
        <v>0</v>
      </c>
      <c r="P499" s="265">
        <f t="shared" si="135"/>
        <v>0</v>
      </c>
      <c r="Q499" s="271">
        <f t="shared" si="136"/>
        <v>0</v>
      </c>
    </row>
    <row r="500" spans="1:17" x14ac:dyDescent="0.2">
      <c r="A500" s="264" t="s">
        <v>943</v>
      </c>
      <c r="B500" s="202" t="s">
        <v>512</v>
      </c>
      <c r="C500" s="202" t="s">
        <v>498</v>
      </c>
      <c r="D500" s="202" t="s">
        <v>942</v>
      </c>
      <c r="E500" s="202"/>
      <c r="F500" s="265">
        <v>4016.2</v>
      </c>
      <c r="G500" s="265">
        <v>0</v>
      </c>
      <c r="H500" s="265">
        <v>4016.2</v>
      </c>
      <c r="I500" s="265">
        <v>0</v>
      </c>
      <c r="J500" s="265">
        <f t="shared" si="133"/>
        <v>0</v>
      </c>
      <c r="K500" s="265">
        <f t="shared" si="134"/>
        <v>0</v>
      </c>
      <c r="L500" s="265">
        <v>4016.2</v>
      </c>
      <c r="M500" s="226">
        <v>0</v>
      </c>
      <c r="N500" s="265">
        <v>4016.2</v>
      </c>
      <c r="O500" s="226">
        <v>0</v>
      </c>
      <c r="P500" s="265">
        <f t="shared" si="135"/>
        <v>0</v>
      </c>
      <c r="Q500" s="271">
        <f t="shared" si="136"/>
        <v>0</v>
      </c>
    </row>
    <row r="501" spans="1:17" x14ac:dyDescent="0.2">
      <c r="A501" s="264" t="s">
        <v>602</v>
      </c>
      <c r="B501" s="202" t="s">
        <v>512</v>
      </c>
      <c r="C501" s="202" t="s">
        <v>498</v>
      </c>
      <c r="D501" s="202" t="s">
        <v>941</v>
      </c>
      <c r="E501" s="202"/>
      <c r="F501" s="265">
        <v>4016.2</v>
      </c>
      <c r="G501" s="265">
        <v>0</v>
      </c>
      <c r="H501" s="265">
        <v>4016.2</v>
      </c>
      <c r="I501" s="265">
        <v>0</v>
      </c>
      <c r="J501" s="265">
        <f t="shared" si="133"/>
        <v>0</v>
      </c>
      <c r="K501" s="265">
        <f t="shared" si="134"/>
        <v>0</v>
      </c>
      <c r="L501" s="265">
        <v>4016.2</v>
      </c>
      <c r="M501" s="226">
        <v>0</v>
      </c>
      <c r="N501" s="265">
        <v>4016.2</v>
      </c>
      <c r="O501" s="226">
        <v>0</v>
      </c>
      <c r="P501" s="265">
        <f t="shared" si="135"/>
        <v>0</v>
      </c>
      <c r="Q501" s="271">
        <f t="shared" si="136"/>
        <v>0</v>
      </c>
    </row>
    <row r="502" spans="1:17" ht="22.5" x14ac:dyDescent="0.2">
      <c r="A502" s="264" t="s">
        <v>600</v>
      </c>
      <c r="B502" s="202" t="s">
        <v>512</v>
      </c>
      <c r="C502" s="202" t="s">
        <v>498</v>
      </c>
      <c r="D502" s="202" t="s">
        <v>940</v>
      </c>
      <c r="E502" s="202"/>
      <c r="F502" s="265">
        <v>4016.2</v>
      </c>
      <c r="G502" s="265">
        <v>0</v>
      </c>
      <c r="H502" s="265">
        <v>4016.2</v>
      </c>
      <c r="I502" s="265">
        <v>0</v>
      </c>
      <c r="J502" s="265">
        <f t="shared" si="133"/>
        <v>0</v>
      </c>
      <c r="K502" s="265">
        <f t="shared" si="134"/>
        <v>0</v>
      </c>
      <c r="L502" s="265">
        <v>4016.2</v>
      </c>
      <c r="M502" s="226">
        <v>0</v>
      </c>
      <c r="N502" s="265">
        <v>4016.2</v>
      </c>
      <c r="O502" s="226">
        <v>0</v>
      </c>
      <c r="P502" s="265">
        <f t="shared" si="135"/>
        <v>0</v>
      </c>
      <c r="Q502" s="271">
        <f t="shared" si="136"/>
        <v>0</v>
      </c>
    </row>
    <row r="503" spans="1:17" ht="22.5" x14ac:dyDescent="0.2">
      <c r="A503" s="264" t="s">
        <v>1044</v>
      </c>
      <c r="B503" s="202" t="s">
        <v>512</v>
      </c>
      <c r="C503" s="202" t="s">
        <v>498</v>
      </c>
      <c r="D503" s="202" t="s">
        <v>1043</v>
      </c>
      <c r="E503" s="202"/>
      <c r="F503" s="265">
        <v>4016.2</v>
      </c>
      <c r="G503" s="265">
        <v>0</v>
      </c>
      <c r="H503" s="265">
        <v>4016.2</v>
      </c>
      <c r="I503" s="265">
        <v>0</v>
      </c>
      <c r="J503" s="265">
        <f t="shared" si="133"/>
        <v>0</v>
      </c>
      <c r="K503" s="265">
        <f t="shared" si="134"/>
        <v>0</v>
      </c>
      <c r="L503" s="265">
        <v>4016.2</v>
      </c>
      <c r="M503" s="226">
        <v>0</v>
      </c>
      <c r="N503" s="265">
        <v>4016.2</v>
      </c>
      <c r="O503" s="226">
        <v>0</v>
      </c>
      <c r="P503" s="265">
        <f t="shared" si="135"/>
        <v>0</v>
      </c>
      <c r="Q503" s="271">
        <f t="shared" si="136"/>
        <v>0</v>
      </c>
    </row>
    <row r="504" spans="1:17" x14ac:dyDescent="0.2">
      <c r="A504" s="264" t="s">
        <v>547</v>
      </c>
      <c r="B504" s="202" t="s">
        <v>512</v>
      </c>
      <c r="C504" s="202" t="s">
        <v>498</v>
      </c>
      <c r="D504" s="202" t="s">
        <v>1043</v>
      </c>
      <c r="E504" s="202" t="s">
        <v>519</v>
      </c>
      <c r="F504" s="265">
        <v>4016.2</v>
      </c>
      <c r="G504" s="265">
        <v>0</v>
      </c>
      <c r="H504" s="265">
        <v>4016.2</v>
      </c>
      <c r="I504" s="265">
        <v>0</v>
      </c>
      <c r="J504" s="265">
        <f t="shared" si="133"/>
        <v>0</v>
      </c>
      <c r="K504" s="265">
        <f t="shared" si="134"/>
        <v>0</v>
      </c>
      <c r="L504" s="265">
        <v>4016.2</v>
      </c>
      <c r="M504" s="226">
        <v>0</v>
      </c>
      <c r="N504" s="265">
        <v>4016.2</v>
      </c>
      <c r="O504" s="226">
        <v>0</v>
      </c>
      <c r="P504" s="265">
        <f t="shared" si="135"/>
        <v>0</v>
      </c>
      <c r="Q504" s="271">
        <f t="shared" si="136"/>
        <v>0</v>
      </c>
    </row>
    <row r="505" spans="1:17" x14ac:dyDescent="0.2">
      <c r="A505" s="264" t="s">
        <v>571</v>
      </c>
      <c r="B505" s="202" t="s">
        <v>512</v>
      </c>
      <c r="C505" s="202" t="s">
        <v>498</v>
      </c>
      <c r="D505" s="202" t="s">
        <v>1043</v>
      </c>
      <c r="E505" s="202" t="s">
        <v>522</v>
      </c>
      <c r="F505" s="265">
        <v>4016.2</v>
      </c>
      <c r="G505" s="265">
        <v>0</v>
      </c>
      <c r="H505" s="265">
        <v>4016.2</v>
      </c>
      <c r="I505" s="265">
        <v>0</v>
      </c>
      <c r="J505" s="265">
        <f t="shared" si="133"/>
        <v>0</v>
      </c>
      <c r="K505" s="265">
        <f t="shared" si="134"/>
        <v>0</v>
      </c>
      <c r="L505" s="265">
        <v>4016.2</v>
      </c>
      <c r="M505" s="226">
        <v>0</v>
      </c>
      <c r="N505" s="265">
        <v>4016.2</v>
      </c>
      <c r="O505" s="226">
        <v>0</v>
      </c>
      <c r="P505" s="265">
        <f t="shared" si="135"/>
        <v>0</v>
      </c>
      <c r="Q505" s="271">
        <f t="shared" si="136"/>
        <v>0</v>
      </c>
    </row>
    <row r="506" spans="1:17" x14ac:dyDescent="0.2">
      <c r="A506" s="264" t="s">
        <v>604</v>
      </c>
      <c r="B506" s="202" t="s">
        <v>512</v>
      </c>
      <c r="C506" s="202" t="s">
        <v>498</v>
      </c>
      <c r="D506" s="202" t="s">
        <v>603</v>
      </c>
      <c r="E506" s="202"/>
      <c r="F506" s="265">
        <v>46788.4</v>
      </c>
      <c r="G506" s="265">
        <v>0</v>
      </c>
      <c r="H506" s="265">
        <v>46788.4</v>
      </c>
      <c r="I506" s="265">
        <v>0</v>
      </c>
      <c r="J506" s="265">
        <f t="shared" si="133"/>
        <v>0</v>
      </c>
      <c r="K506" s="265">
        <f t="shared" si="134"/>
        <v>0</v>
      </c>
      <c r="L506" s="265">
        <v>46788.4</v>
      </c>
      <c r="M506" s="226">
        <v>0</v>
      </c>
      <c r="N506" s="265">
        <v>46788.4</v>
      </c>
      <c r="O506" s="226">
        <v>0</v>
      </c>
      <c r="P506" s="265">
        <f t="shared" si="135"/>
        <v>0</v>
      </c>
      <c r="Q506" s="271">
        <f t="shared" si="136"/>
        <v>0</v>
      </c>
    </row>
    <row r="507" spans="1:17" x14ac:dyDescent="0.2">
      <c r="A507" s="264" t="s">
        <v>1042</v>
      </c>
      <c r="B507" s="202" t="s">
        <v>512</v>
      </c>
      <c r="C507" s="202" t="s">
        <v>498</v>
      </c>
      <c r="D507" s="202" t="s">
        <v>1041</v>
      </c>
      <c r="E507" s="202"/>
      <c r="F507" s="265">
        <v>46788.4</v>
      </c>
      <c r="G507" s="265">
        <v>0</v>
      </c>
      <c r="H507" s="265">
        <v>46788.4</v>
      </c>
      <c r="I507" s="265">
        <v>0</v>
      </c>
      <c r="J507" s="265">
        <f t="shared" si="133"/>
        <v>0</v>
      </c>
      <c r="K507" s="265">
        <f t="shared" si="134"/>
        <v>0</v>
      </c>
      <c r="L507" s="265">
        <v>46788.4</v>
      </c>
      <c r="M507" s="226">
        <v>0</v>
      </c>
      <c r="N507" s="265">
        <v>46788.4</v>
      </c>
      <c r="O507" s="226">
        <v>0</v>
      </c>
      <c r="P507" s="265">
        <f t="shared" si="135"/>
        <v>0</v>
      </c>
      <c r="Q507" s="271">
        <f t="shared" si="136"/>
        <v>0</v>
      </c>
    </row>
    <row r="508" spans="1:17" ht="22.5" x14ac:dyDescent="0.2">
      <c r="A508" s="264" t="s">
        <v>1040</v>
      </c>
      <c r="B508" s="202" t="s">
        <v>512</v>
      </c>
      <c r="C508" s="202" t="s">
        <v>498</v>
      </c>
      <c r="D508" s="202" t="s">
        <v>1039</v>
      </c>
      <c r="E508" s="202"/>
      <c r="F508" s="265">
        <v>46788.4</v>
      </c>
      <c r="G508" s="265">
        <v>0</v>
      </c>
      <c r="H508" s="265">
        <v>46788.4</v>
      </c>
      <c r="I508" s="265">
        <v>0</v>
      </c>
      <c r="J508" s="265">
        <f t="shared" si="133"/>
        <v>0</v>
      </c>
      <c r="K508" s="265">
        <f t="shared" si="134"/>
        <v>0</v>
      </c>
      <c r="L508" s="265">
        <v>46788.4</v>
      </c>
      <c r="M508" s="226">
        <v>0</v>
      </c>
      <c r="N508" s="265">
        <v>46788.4</v>
      </c>
      <c r="O508" s="226">
        <v>0</v>
      </c>
      <c r="P508" s="265">
        <f t="shared" si="135"/>
        <v>0</v>
      </c>
      <c r="Q508" s="271">
        <f t="shared" si="136"/>
        <v>0</v>
      </c>
    </row>
    <row r="509" spans="1:17" ht="22.5" x14ac:dyDescent="0.2">
      <c r="A509" s="264" t="s">
        <v>1038</v>
      </c>
      <c r="B509" s="202" t="s">
        <v>512</v>
      </c>
      <c r="C509" s="202" t="s">
        <v>498</v>
      </c>
      <c r="D509" s="202" t="s">
        <v>1037</v>
      </c>
      <c r="E509" s="202"/>
      <c r="F509" s="265">
        <v>788.4</v>
      </c>
      <c r="G509" s="265">
        <v>0</v>
      </c>
      <c r="H509" s="265">
        <v>788.4</v>
      </c>
      <c r="I509" s="265">
        <v>0</v>
      </c>
      <c r="J509" s="265">
        <f t="shared" si="133"/>
        <v>0</v>
      </c>
      <c r="K509" s="265">
        <f t="shared" si="134"/>
        <v>0</v>
      </c>
      <c r="L509" s="265">
        <v>788.4</v>
      </c>
      <c r="M509" s="226">
        <v>0</v>
      </c>
      <c r="N509" s="265">
        <v>788.4</v>
      </c>
      <c r="O509" s="226">
        <v>0</v>
      </c>
      <c r="P509" s="265">
        <f t="shared" si="135"/>
        <v>0</v>
      </c>
      <c r="Q509" s="271">
        <f t="shared" si="136"/>
        <v>0</v>
      </c>
    </row>
    <row r="510" spans="1:17" x14ac:dyDescent="0.2">
      <c r="A510" s="264" t="s">
        <v>547</v>
      </c>
      <c r="B510" s="202" t="s">
        <v>512</v>
      </c>
      <c r="C510" s="202" t="s">
        <v>498</v>
      </c>
      <c r="D510" s="202" t="s">
        <v>1037</v>
      </c>
      <c r="E510" s="202" t="s">
        <v>519</v>
      </c>
      <c r="F510" s="265">
        <v>788.4</v>
      </c>
      <c r="G510" s="265">
        <v>0</v>
      </c>
      <c r="H510" s="265">
        <v>788.4</v>
      </c>
      <c r="I510" s="265">
        <v>0</v>
      </c>
      <c r="J510" s="265">
        <f t="shared" si="133"/>
        <v>0</v>
      </c>
      <c r="K510" s="265">
        <f t="shared" si="134"/>
        <v>0</v>
      </c>
      <c r="L510" s="265">
        <v>788.4</v>
      </c>
      <c r="M510" s="226">
        <v>0</v>
      </c>
      <c r="N510" s="265">
        <v>788.4</v>
      </c>
      <c r="O510" s="226">
        <v>0</v>
      </c>
      <c r="P510" s="265">
        <f t="shared" si="135"/>
        <v>0</v>
      </c>
      <c r="Q510" s="271">
        <f t="shared" si="136"/>
        <v>0</v>
      </c>
    </row>
    <row r="511" spans="1:17" x14ac:dyDescent="0.2">
      <c r="A511" s="264" t="s">
        <v>571</v>
      </c>
      <c r="B511" s="202" t="s">
        <v>512</v>
      </c>
      <c r="C511" s="202" t="s">
        <v>498</v>
      </c>
      <c r="D511" s="202" t="s">
        <v>1037</v>
      </c>
      <c r="E511" s="202" t="s">
        <v>522</v>
      </c>
      <c r="F511" s="265">
        <v>788.4</v>
      </c>
      <c r="G511" s="265">
        <v>0</v>
      </c>
      <c r="H511" s="265">
        <v>788.4</v>
      </c>
      <c r="I511" s="265">
        <v>0</v>
      </c>
      <c r="J511" s="265">
        <f t="shared" si="133"/>
        <v>0</v>
      </c>
      <c r="K511" s="265">
        <f t="shared" si="134"/>
        <v>0</v>
      </c>
      <c r="L511" s="265">
        <v>788.4</v>
      </c>
      <c r="M511" s="226">
        <v>0</v>
      </c>
      <c r="N511" s="265">
        <v>788.4</v>
      </c>
      <c r="O511" s="226">
        <v>0</v>
      </c>
      <c r="P511" s="265">
        <f t="shared" si="135"/>
        <v>0</v>
      </c>
      <c r="Q511" s="271">
        <f t="shared" si="136"/>
        <v>0</v>
      </c>
    </row>
    <row r="512" spans="1:17" x14ac:dyDescent="0.2">
      <c r="A512" s="264" t="s">
        <v>1036</v>
      </c>
      <c r="B512" s="202" t="s">
        <v>512</v>
      </c>
      <c r="C512" s="202" t="s">
        <v>498</v>
      </c>
      <c r="D512" s="202" t="s">
        <v>1035</v>
      </c>
      <c r="E512" s="202"/>
      <c r="F512" s="265">
        <v>46000</v>
      </c>
      <c r="G512" s="265">
        <v>0</v>
      </c>
      <c r="H512" s="265">
        <v>46000</v>
      </c>
      <c r="I512" s="265">
        <v>0</v>
      </c>
      <c r="J512" s="265">
        <f t="shared" si="133"/>
        <v>0</v>
      </c>
      <c r="K512" s="265">
        <f t="shared" si="134"/>
        <v>0</v>
      </c>
      <c r="L512" s="265">
        <v>46000</v>
      </c>
      <c r="M512" s="226">
        <v>0</v>
      </c>
      <c r="N512" s="265">
        <v>46000</v>
      </c>
      <c r="O512" s="226">
        <v>0</v>
      </c>
      <c r="P512" s="265">
        <f t="shared" si="135"/>
        <v>0</v>
      </c>
      <c r="Q512" s="271">
        <f t="shared" si="136"/>
        <v>0</v>
      </c>
    </row>
    <row r="513" spans="1:17" x14ac:dyDescent="0.2">
      <c r="A513" s="264" t="s">
        <v>1347</v>
      </c>
      <c r="B513" s="202" t="s">
        <v>512</v>
      </c>
      <c r="C513" s="202" t="s">
        <v>498</v>
      </c>
      <c r="D513" s="202" t="s">
        <v>1035</v>
      </c>
      <c r="E513" s="202" t="s">
        <v>535</v>
      </c>
      <c r="F513" s="265">
        <v>46000</v>
      </c>
      <c r="G513" s="265">
        <v>0</v>
      </c>
      <c r="H513" s="265">
        <v>46000</v>
      </c>
      <c r="I513" s="265">
        <v>0</v>
      </c>
      <c r="J513" s="265">
        <f t="shared" si="133"/>
        <v>0</v>
      </c>
      <c r="K513" s="265">
        <f t="shared" si="134"/>
        <v>0</v>
      </c>
      <c r="L513" s="265">
        <v>46000</v>
      </c>
      <c r="M513" s="226">
        <v>0</v>
      </c>
      <c r="N513" s="265">
        <v>46000</v>
      </c>
      <c r="O513" s="226">
        <v>0</v>
      </c>
      <c r="P513" s="265">
        <f t="shared" si="135"/>
        <v>0</v>
      </c>
      <c r="Q513" s="271">
        <f t="shared" si="136"/>
        <v>0</v>
      </c>
    </row>
    <row r="514" spans="1:17" x14ac:dyDescent="0.2">
      <c r="A514" s="264" t="s">
        <v>534</v>
      </c>
      <c r="B514" s="202" t="s">
        <v>512</v>
      </c>
      <c r="C514" s="202" t="s">
        <v>498</v>
      </c>
      <c r="D514" s="202" t="s">
        <v>1035</v>
      </c>
      <c r="E514" s="202" t="s">
        <v>529</v>
      </c>
      <c r="F514" s="265">
        <v>46000</v>
      </c>
      <c r="G514" s="265">
        <v>0</v>
      </c>
      <c r="H514" s="265">
        <v>46000</v>
      </c>
      <c r="I514" s="265">
        <v>0</v>
      </c>
      <c r="J514" s="265">
        <f t="shared" si="133"/>
        <v>0</v>
      </c>
      <c r="K514" s="265">
        <f t="shared" si="134"/>
        <v>0</v>
      </c>
      <c r="L514" s="265">
        <v>46000</v>
      </c>
      <c r="M514" s="226">
        <v>0</v>
      </c>
      <c r="N514" s="265">
        <v>46000</v>
      </c>
      <c r="O514" s="226">
        <v>0</v>
      </c>
      <c r="P514" s="265">
        <f t="shared" si="135"/>
        <v>0</v>
      </c>
      <c r="Q514" s="271">
        <f t="shared" si="136"/>
        <v>0</v>
      </c>
    </row>
    <row r="515" spans="1:17" x14ac:dyDescent="0.2">
      <c r="A515" s="264" t="s">
        <v>986</v>
      </c>
      <c r="B515" s="202" t="s">
        <v>512</v>
      </c>
      <c r="C515" s="202" t="s">
        <v>498</v>
      </c>
      <c r="D515" s="202" t="s">
        <v>985</v>
      </c>
      <c r="E515" s="202"/>
      <c r="F515" s="265">
        <v>15068</v>
      </c>
      <c r="G515" s="265">
        <v>0</v>
      </c>
      <c r="H515" s="265">
        <f>H516</f>
        <v>15068</v>
      </c>
      <c r="I515" s="265">
        <v>0</v>
      </c>
      <c r="J515" s="281">
        <f t="shared" si="133"/>
        <v>0</v>
      </c>
      <c r="K515" s="265">
        <f t="shared" si="134"/>
        <v>0</v>
      </c>
      <c r="L515" s="265">
        <v>8000</v>
      </c>
      <c r="M515" s="226">
        <v>0</v>
      </c>
      <c r="N515" s="265">
        <v>8000</v>
      </c>
      <c r="O515" s="226">
        <v>0</v>
      </c>
      <c r="P515" s="265">
        <f t="shared" si="135"/>
        <v>0</v>
      </c>
      <c r="Q515" s="271">
        <f t="shared" si="136"/>
        <v>0</v>
      </c>
    </row>
    <row r="516" spans="1:17" ht="22.5" x14ac:dyDescent="0.2">
      <c r="A516" s="264" t="s">
        <v>1022</v>
      </c>
      <c r="B516" s="202" t="s">
        <v>512</v>
      </c>
      <c r="C516" s="202" t="s">
        <v>498</v>
      </c>
      <c r="D516" s="202" t="s">
        <v>1021</v>
      </c>
      <c r="E516" s="202"/>
      <c r="F516" s="265">
        <v>15068</v>
      </c>
      <c r="G516" s="265">
        <v>0</v>
      </c>
      <c r="H516" s="265">
        <f>H517+H521</f>
        <v>15068</v>
      </c>
      <c r="I516" s="265">
        <v>0</v>
      </c>
      <c r="J516" s="281">
        <f t="shared" si="133"/>
        <v>0</v>
      </c>
      <c r="K516" s="265">
        <f t="shared" si="134"/>
        <v>0</v>
      </c>
      <c r="L516" s="265">
        <v>8000</v>
      </c>
      <c r="M516" s="226">
        <v>0</v>
      </c>
      <c r="N516" s="265">
        <v>8000</v>
      </c>
      <c r="O516" s="226">
        <v>0</v>
      </c>
      <c r="P516" s="265">
        <f t="shared" si="135"/>
        <v>0</v>
      </c>
      <c r="Q516" s="271">
        <f t="shared" si="136"/>
        <v>0</v>
      </c>
    </row>
    <row r="517" spans="1:17" x14ac:dyDescent="0.2">
      <c r="A517" s="264" t="s">
        <v>1034</v>
      </c>
      <c r="B517" s="202" t="s">
        <v>512</v>
      </c>
      <c r="C517" s="202" t="s">
        <v>498</v>
      </c>
      <c r="D517" s="202" t="s">
        <v>1033</v>
      </c>
      <c r="E517" s="202"/>
      <c r="F517" s="265">
        <v>7068</v>
      </c>
      <c r="G517" s="265">
        <v>0</v>
      </c>
      <c r="H517" s="265">
        <f>H518</f>
        <v>7068</v>
      </c>
      <c r="I517" s="265">
        <v>0</v>
      </c>
      <c r="J517" s="281">
        <f t="shared" si="133"/>
        <v>0</v>
      </c>
      <c r="K517" s="265">
        <f t="shared" si="134"/>
        <v>0</v>
      </c>
      <c r="L517" s="265">
        <v>0</v>
      </c>
      <c r="M517" s="226">
        <v>0</v>
      </c>
      <c r="N517" s="265">
        <v>0</v>
      </c>
      <c r="O517" s="226">
        <v>0</v>
      </c>
      <c r="P517" s="265">
        <f t="shared" si="135"/>
        <v>0</v>
      </c>
      <c r="Q517" s="271">
        <f t="shared" si="136"/>
        <v>0</v>
      </c>
    </row>
    <row r="518" spans="1:17" x14ac:dyDescent="0.2">
      <c r="A518" s="264" t="s">
        <v>1032</v>
      </c>
      <c r="B518" s="202" t="s">
        <v>512</v>
      </c>
      <c r="C518" s="202" t="s">
        <v>498</v>
      </c>
      <c r="D518" s="202" t="s">
        <v>1031</v>
      </c>
      <c r="E518" s="202"/>
      <c r="F518" s="265">
        <v>7068</v>
      </c>
      <c r="G518" s="265">
        <v>0</v>
      </c>
      <c r="H518" s="265">
        <f>H519</f>
        <v>7068</v>
      </c>
      <c r="I518" s="265">
        <v>0</v>
      </c>
      <c r="J518" s="281">
        <f t="shared" si="133"/>
        <v>0</v>
      </c>
      <c r="K518" s="265">
        <f t="shared" si="134"/>
        <v>0</v>
      </c>
      <c r="L518" s="265">
        <v>0</v>
      </c>
      <c r="M518" s="226">
        <v>0</v>
      </c>
      <c r="N518" s="265">
        <v>0</v>
      </c>
      <c r="O518" s="226">
        <v>0</v>
      </c>
      <c r="P518" s="265">
        <f t="shared" si="135"/>
        <v>0</v>
      </c>
      <c r="Q518" s="271">
        <f t="shared" si="136"/>
        <v>0</v>
      </c>
    </row>
    <row r="519" spans="1:17" x14ac:dyDescent="0.2">
      <c r="A519" s="264" t="s">
        <v>615</v>
      </c>
      <c r="B519" s="202" t="s">
        <v>512</v>
      </c>
      <c r="C519" s="202" t="s">
        <v>498</v>
      </c>
      <c r="D519" s="202" t="s">
        <v>1031</v>
      </c>
      <c r="E519" s="202" t="s">
        <v>509</v>
      </c>
      <c r="F519" s="265">
        <v>7068</v>
      </c>
      <c r="G519" s="265">
        <v>0</v>
      </c>
      <c r="H519" s="265">
        <f>H520</f>
        <v>7068</v>
      </c>
      <c r="I519" s="265">
        <v>0</v>
      </c>
      <c r="J519" s="281">
        <f t="shared" si="133"/>
        <v>0</v>
      </c>
      <c r="K519" s="265">
        <f t="shared" si="134"/>
        <v>0</v>
      </c>
      <c r="L519" s="265">
        <v>0</v>
      </c>
      <c r="M519" s="226">
        <v>0</v>
      </c>
      <c r="N519" s="265">
        <v>0</v>
      </c>
      <c r="O519" s="226">
        <v>0</v>
      </c>
      <c r="P519" s="265">
        <f t="shared" si="135"/>
        <v>0</v>
      </c>
      <c r="Q519" s="271">
        <f t="shared" si="136"/>
        <v>0</v>
      </c>
    </row>
    <row r="520" spans="1:17" ht="22.5" x14ac:dyDescent="0.2">
      <c r="A520" s="264" t="s">
        <v>1346</v>
      </c>
      <c r="B520" s="202" t="s">
        <v>512</v>
      </c>
      <c r="C520" s="202" t="s">
        <v>498</v>
      </c>
      <c r="D520" s="202" t="s">
        <v>1031</v>
      </c>
      <c r="E520" s="202" t="s">
        <v>511</v>
      </c>
      <c r="F520" s="265">
        <v>7068</v>
      </c>
      <c r="G520" s="265">
        <v>0</v>
      </c>
      <c r="H520" s="265">
        <f>'Ведомственная 2021-2022'!H461</f>
        <v>7068</v>
      </c>
      <c r="I520" s="265">
        <v>0</v>
      </c>
      <c r="J520" s="281">
        <f t="shared" si="133"/>
        <v>0</v>
      </c>
      <c r="K520" s="265">
        <f t="shared" si="134"/>
        <v>0</v>
      </c>
      <c r="L520" s="265">
        <v>0</v>
      </c>
      <c r="M520" s="226">
        <v>0</v>
      </c>
      <c r="N520" s="265">
        <v>0</v>
      </c>
      <c r="O520" s="226">
        <v>0</v>
      </c>
      <c r="P520" s="265">
        <f t="shared" si="135"/>
        <v>0</v>
      </c>
      <c r="Q520" s="271">
        <f t="shared" si="136"/>
        <v>0</v>
      </c>
    </row>
    <row r="521" spans="1:17" ht="22.5" x14ac:dyDescent="0.2">
      <c r="A521" s="264" t="s">
        <v>1020</v>
      </c>
      <c r="B521" s="202" t="s">
        <v>512</v>
      </c>
      <c r="C521" s="202" t="s">
        <v>498</v>
      </c>
      <c r="D521" s="202" t="s">
        <v>1019</v>
      </c>
      <c r="E521" s="202"/>
      <c r="F521" s="265">
        <v>8000</v>
      </c>
      <c r="G521" s="265">
        <v>0</v>
      </c>
      <c r="H521" s="265">
        <v>8000</v>
      </c>
      <c r="I521" s="265">
        <v>0</v>
      </c>
      <c r="J521" s="265">
        <f t="shared" si="133"/>
        <v>0</v>
      </c>
      <c r="K521" s="265">
        <f t="shared" si="134"/>
        <v>0</v>
      </c>
      <c r="L521" s="265">
        <v>8000</v>
      </c>
      <c r="M521" s="226">
        <v>0</v>
      </c>
      <c r="N521" s="265">
        <v>8000</v>
      </c>
      <c r="O521" s="226">
        <v>0</v>
      </c>
      <c r="P521" s="265">
        <f t="shared" si="135"/>
        <v>0</v>
      </c>
      <c r="Q521" s="271">
        <f t="shared" si="136"/>
        <v>0</v>
      </c>
    </row>
    <row r="522" spans="1:17" x14ac:dyDescent="0.2">
      <c r="A522" s="264" t="s">
        <v>1018</v>
      </c>
      <c r="B522" s="202" t="s">
        <v>512</v>
      </c>
      <c r="C522" s="202" t="s">
        <v>498</v>
      </c>
      <c r="D522" s="202" t="s">
        <v>1017</v>
      </c>
      <c r="E522" s="202"/>
      <c r="F522" s="265">
        <v>5000</v>
      </c>
      <c r="G522" s="265">
        <v>0</v>
      </c>
      <c r="H522" s="265">
        <v>5000</v>
      </c>
      <c r="I522" s="265">
        <v>0</v>
      </c>
      <c r="J522" s="265">
        <f t="shared" si="133"/>
        <v>0</v>
      </c>
      <c r="K522" s="265">
        <f t="shared" si="134"/>
        <v>0</v>
      </c>
      <c r="L522" s="265">
        <v>5000</v>
      </c>
      <c r="M522" s="226">
        <v>0</v>
      </c>
      <c r="N522" s="265">
        <v>5000</v>
      </c>
      <c r="O522" s="226">
        <v>0</v>
      </c>
      <c r="P522" s="265">
        <f t="shared" si="135"/>
        <v>0</v>
      </c>
      <c r="Q522" s="271">
        <f t="shared" si="136"/>
        <v>0</v>
      </c>
    </row>
    <row r="523" spans="1:17" x14ac:dyDescent="0.2">
      <c r="A523" s="264" t="s">
        <v>615</v>
      </c>
      <c r="B523" s="202" t="s">
        <v>512</v>
      </c>
      <c r="C523" s="202" t="s">
        <v>498</v>
      </c>
      <c r="D523" s="202" t="s">
        <v>1017</v>
      </c>
      <c r="E523" s="202" t="s">
        <v>509</v>
      </c>
      <c r="F523" s="265">
        <v>5000</v>
      </c>
      <c r="G523" s="265">
        <v>0</v>
      </c>
      <c r="H523" s="265">
        <v>5000</v>
      </c>
      <c r="I523" s="265">
        <v>0</v>
      </c>
      <c r="J523" s="265">
        <f t="shared" si="133"/>
        <v>0</v>
      </c>
      <c r="K523" s="265">
        <f t="shared" si="134"/>
        <v>0</v>
      </c>
      <c r="L523" s="265">
        <v>5000</v>
      </c>
      <c r="M523" s="226">
        <v>0</v>
      </c>
      <c r="N523" s="265">
        <v>5000</v>
      </c>
      <c r="O523" s="226">
        <v>0</v>
      </c>
      <c r="P523" s="265">
        <f t="shared" si="135"/>
        <v>0</v>
      </c>
      <c r="Q523" s="271">
        <f t="shared" si="136"/>
        <v>0</v>
      </c>
    </row>
    <row r="524" spans="1:17" ht="22.5" x14ac:dyDescent="0.2">
      <c r="A524" s="264" t="s">
        <v>1346</v>
      </c>
      <c r="B524" s="202" t="s">
        <v>512</v>
      </c>
      <c r="C524" s="202" t="s">
        <v>498</v>
      </c>
      <c r="D524" s="202" t="s">
        <v>1017</v>
      </c>
      <c r="E524" s="202" t="s">
        <v>511</v>
      </c>
      <c r="F524" s="265">
        <v>5000</v>
      </c>
      <c r="G524" s="265">
        <v>0</v>
      </c>
      <c r="H524" s="265">
        <v>5000</v>
      </c>
      <c r="I524" s="265">
        <v>0</v>
      </c>
      <c r="J524" s="265">
        <f t="shared" si="133"/>
        <v>0</v>
      </c>
      <c r="K524" s="265">
        <f t="shared" si="134"/>
        <v>0</v>
      </c>
      <c r="L524" s="265">
        <v>5000</v>
      </c>
      <c r="M524" s="226">
        <v>0</v>
      </c>
      <c r="N524" s="265">
        <v>5000</v>
      </c>
      <c r="O524" s="226">
        <v>0</v>
      </c>
      <c r="P524" s="265">
        <f t="shared" si="135"/>
        <v>0</v>
      </c>
      <c r="Q524" s="271">
        <f t="shared" si="136"/>
        <v>0</v>
      </c>
    </row>
    <row r="525" spans="1:17" x14ac:dyDescent="0.2">
      <c r="A525" s="264" t="s">
        <v>1030</v>
      </c>
      <c r="B525" s="202" t="s">
        <v>512</v>
      </c>
      <c r="C525" s="202" t="s">
        <v>498</v>
      </c>
      <c r="D525" s="202" t="s">
        <v>1029</v>
      </c>
      <c r="E525" s="202"/>
      <c r="F525" s="265">
        <v>3000</v>
      </c>
      <c r="G525" s="265">
        <v>0</v>
      </c>
      <c r="H525" s="265">
        <v>3000</v>
      </c>
      <c r="I525" s="265">
        <v>0</v>
      </c>
      <c r="J525" s="265">
        <f t="shared" si="133"/>
        <v>0</v>
      </c>
      <c r="K525" s="265">
        <f t="shared" si="134"/>
        <v>0</v>
      </c>
      <c r="L525" s="265">
        <v>3000</v>
      </c>
      <c r="M525" s="226">
        <v>0</v>
      </c>
      <c r="N525" s="265">
        <v>3000</v>
      </c>
      <c r="O525" s="226">
        <v>0</v>
      </c>
      <c r="P525" s="265">
        <f t="shared" si="135"/>
        <v>0</v>
      </c>
      <c r="Q525" s="271">
        <f t="shared" si="136"/>
        <v>0</v>
      </c>
    </row>
    <row r="526" spans="1:17" x14ac:dyDescent="0.2">
      <c r="A526" s="264" t="s">
        <v>547</v>
      </c>
      <c r="B526" s="202" t="s">
        <v>512</v>
      </c>
      <c r="C526" s="202" t="s">
        <v>498</v>
      </c>
      <c r="D526" s="202" t="s">
        <v>1029</v>
      </c>
      <c r="E526" s="202" t="s">
        <v>519</v>
      </c>
      <c r="F526" s="265">
        <v>3000</v>
      </c>
      <c r="G526" s="265">
        <v>0</v>
      </c>
      <c r="H526" s="265">
        <v>3000</v>
      </c>
      <c r="I526" s="265">
        <v>0</v>
      </c>
      <c r="J526" s="265">
        <f t="shared" si="133"/>
        <v>0</v>
      </c>
      <c r="K526" s="265">
        <f t="shared" si="134"/>
        <v>0</v>
      </c>
      <c r="L526" s="265">
        <v>3000</v>
      </c>
      <c r="M526" s="226">
        <v>0</v>
      </c>
      <c r="N526" s="265">
        <v>3000</v>
      </c>
      <c r="O526" s="226">
        <v>0</v>
      </c>
      <c r="P526" s="265">
        <f t="shared" si="135"/>
        <v>0</v>
      </c>
      <c r="Q526" s="271">
        <f t="shared" si="136"/>
        <v>0</v>
      </c>
    </row>
    <row r="527" spans="1:17" x14ac:dyDescent="0.2">
      <c r="A527" s="264" t="s">
        <v>571</v>
      </c>
      <c r="B527" s="202" t="s">
        <v>512</v>
      </c>
      <c r="C527" s="202" t="s">
        <v>498</v>
      </c>
      <c r="D527" s="202" t="s">
        <v>1029</v>
      </c>
      <c r="E527" s="202" t="s">
        <v>522</v>
      </c>
      <c r="F527" s="265">
        <v>3000</v>
      </c>
      <c r="G527" s="265">
        <v>0</v>
      </c>
      <c r="H527" s="265">
        <v>3000</v>
      </c>
      <c r="I527" s="265">
        <v>0</v>
      </c>
      <c r="J527" s="265">
        <f t="shared" si="133"/>
        <v>0</v>
      </c>
      <c r="K527" s="265">
        <f t="shared" si="134"/>
        <v>0</v>
      </c>
      <c r="L527" s="265">
        <v>3000</v>
      </c>
      <c r="M527" s="226">
        <v>0</v>
      </c>
      <c r="N527" s="265">
        <v>3000</v>
      </c>
      <c r="O527" s="226">
        <v>0</v>
      </c>
      <c r="P527" s="265">
        <f t="shared" si="135"/>
        <v>0</v>
      </c>
      <c r="Q527" s="271">
        <f t="shared" si="136"/>
        <v>0</v>
      </c>
    </row>
    <row r="528" spans="1:17" x14ac:dyDescent="0.2">
      <c r="A528" s="264" t="s">
        <v>1028</v>
      </c>
      <c r="B528" s="202" t="s">
        <v>512</v>
      </c>
      <c r="C528" s="202" t="s">
        <v>502</v>
      </c>
      <c r="D528" s="202"/>
      <c r="E528" s="202"/>
      <c r="F528" s="265">
        <v>6680.7</v>
      </c>
      <c r="G528" s="265">
        <v>0</v>
      </c>
      <c r="H528" s="265">
        <f>H529+H552</f>
        <v>6880.7</v>
      </c>
      <c r="I528" s="265">
        <v>0</v>
      </c>
      <c r="J528" s="281">
        <f t="shared" si="133"/>
        <v>200</v>
      </c>
      <c r="K528" s="265">
        <f t="shared" si="134"/>
        <v>0</v>
      </c>
      <c r="L528" s="265">
        <v>6680.7</v>
      </c>
      <c r="M528" s="226">
        <v>0</v>
      </c>
      <c r="N528" s="265">
        <f>N529+N552</f>
        <v>6880.7</v>
      </c>
      <c r="O528" s="226">
        <v>0</v>
      </c>
      <c r="P528" s="281">
        <f t="shared" si="135"/>
        <v>200</v>
      </c>
      <c r="Q528" s="271">
        <f t="shared" si="136"/>
        <v>0</v>
      </c>
    </row>
    <row r="529" spans="1:17" x14ac:dyDescent="0.2">
      <c r="A529" s="264" t="s">
        <v>943</v>
      </c>
      <c r="B529" s="202" t="s">
        <v>512</v>
      </c>
      <c r="C529" s="202" t="s">
        <v>502</v>
      </c>
      <c r="D529" s="202" t="s">
        <v>942</v>
      </c>
      <c r="E529" s="202"/>
      <c r="F529" s="265">
        <v>5000</v>
      </c>
      <c r="G529" s="265">
        <v>0</v>
      </c>
      <c r="H529" s="265">
        <f>H538+H530</f>
        <v>5200</v>
      </c>
      <c r="I529" s="265">
        <v>0</v>
      </c>
      <c r="J529" s="281">
        <f t="shared" si="133"/>
        <v>200</v>
      </c>
      <c r="K529" s="265">
        <f t="shared" si="134"/>
        <v>0</v>
      </c>
      <c r="L529" s="265">
        <v>5000</v>
      </c>
      <c r="M529" s="226">
        <v>0</v>
      </c>
      <c r="N529" s="265">
        <f>N538+N530</f>
        <v>5200</v>
      </c>
      <c r="O529" s="226">
        <v>0</v>
      </c>
      <c r="P529" s="281">
        <f t="shared" si="135"/>
        <v>200</v>
      </c>
      <c r="Q529" s="271">
        <f t="shared" si="136"/>
        <v>0</v>
      </c>
    </row>
    <row r="530" spans="1:17" s="428" customFormat="1" x14ac:dyDescent="0.2">
      <c r="A530" s="264" t="s">
        <v>1494</v>
      </c>
      <c r="B530" s="202" t="s">
        <v>512</v>
      </c>
      <c r="C530" s="202" t="s">
        <v>502</v>
      </c>
      <c r="D530" s="202" t="s">
        <v>1495</v>
      </c>
      <c r="E530" s="264"/>
      <c r="F530" s="265">
        <f>F531</f>
        <v>0</v>
      </c>
      <c r="G530" s="265">
        <f t="shared" ref="G530:I530" si="137">G531</f>
        <v>0</v>
      </c>
      <c r="H530" s="265">
        <f t="shared" si="137"/>
        <v>200</v>
      </c>
      <c r="I530" s="265">
        <f t="shared" si="137"/>
        <v>0</v>
      </c>
      <c r="J530" s="281">
        <f t="shared" ref="J530:J537" si="138">H530-F530</f>
        <v>200</v>
      </c>
      <c r="K530" s="265">
        <f t="shared" ref="K530:K537" si="139">I530-G530</f>
        <v>0</v>
      </c>
      <c r="L530" s="265">
        <f>L531</f>
        <v>0</v>
      </c>
      <c r="M530" s="226">
        <f t="shared" ref="M530:O530" si="140">M531</f>
        <v>0</v>
      </c>
      <c r="N530" s="265">
        <f t="shared" si="140"/>
        <v>200</v>
      </c>
      <c r="O530" s="226">
        <f t="shared" si="140"/>
        <v>0</v>
      </c>
      <c r="P530" s="281">
        <f t="shared" ref="P530:P537" si="141">N530-L530</f>
        <v>200</v>
      </c>
      <c r="Q530" s="271">
        <f t="shared" ref="Q530:Q537" si="142">O530-M530</f>
        <v>0</v>
      </c>
    </row>
    <row r="531" spans="1:17" s="428" customFormat="1" ht="33.75" x14ac:dyDescent="0.2">
      <c r="A531" s="264" t="s">
        <v>1496</v>
      </c>
      <c r="B531" s="202" t="s">
        <v>512</v>
      </c>
      <c r="C531" s="202" t="s">
        <v>502</v>
      </c>
      <c r="D531" s="202" t="s">
        <v>1497</v>
      </c>
      <c r="E531" s="264"/>
      <c r="F531" s="265">
        <f>F532+F535</f>
        <v>0</v>
      </c>
      <c r="G531" s="265">
        <f t="shared" ref="G531:I531" si="143">G532+G535</f>
        <v>0</v>
      </c>
      <c r="H531" s="265">
        <f t="shared" si="143"/>
        <v>200</v>
      </c>
      <c r="I531" s="265">
        <f t="shared" si="143"/>
        <v>0</v>
      </c>
      <c r="J531" s="281">
        <f t="shared" si="138"/>
        <v>200</v>
      </c>
      <c r="K531" s="265">
        <f t="shared" si="139"/>
        <v>0</v>
      </c>
      <c r="L531" s="265">
        <f>L532+L535</f>
        <v>0</v>
      </c>
      <c r="M531" s="226">
        <f t="shared" ref="M531:O531" si="144">M532+M535</f>
        <v>0</v>
      </c>
      <c r="N531" s="265">
        <f t="shared" si="144"/>
        <v>200</v>
      </c>
      <c r="O531" s="226">
        <f t="shared" si="144"/>
        <v>0</v>
      </c>
      <c r="P531" s="281">
        <f t="shared" si="141"/>
        <v>200</v>
      </c>
      <c r="Q531" s="271">
        <f t="shared" si="142"/>
        <v>0</v>
      </c>
    </row>
    <row r="532" spans="1:17" s="428" customFormat="1" ht="22.5" x14ac:dyDescent="0.2">
      <c r="A532" s="264" t="s">
        <v>1498</v>
      </c>
      <c r="B532" s="202" t="s">
        <v>512</v>
      </c>
      <c r="C532" s="202" t="s">
        <v>502</v>
      </c>
      <c r="D532" s="202" t="s">
        <v>1499</v>
      </c>
      <c r="E532" s="264"/>
      <c r="F532" s="265">
        <f>F533</f>
        <v>0</v>
      </c>
      <c r="G532" s="265">
        <f t="shared" ref="G532:I533" si="145">G533</f>
        <v>0</v>
      </c>
      <c r="H532" s="265">
        <f t="shared" si="145"/>
        <v>100</v>
      </c>
      <c r="I532" s="265">
        <f t="shared" si="145"/>
        <v>0</v>
      </c>
      <c r="J532" s="281">
        <f t="shared" si="138"/>
        <v>100</v>
      </c>
      <c r="K532" s="265">
        <f t="shared" si="139"/>
        <v>0</v>
      </c>
      <c r="L532" s="265">
        <f>L533</f>
        <v>0</v>
      </c>
      <c r="M532" s="226">
        <f t="shared" ref="M532:O532" si="146">M533</f>
        <v>0</v>
      </c>
      <c r="N532" s="265">
        <f t="shared" si="146"/>
        <v>100</v>
      </c>
      <c r="O532" s="226">
        <f t="shared" si="146"/>
        <v>0</v>
      </c>
      <c r="P532" s="281">
        <f t="shared" si="141"/>
        <v>100</v>
      </c>
      <c r="Q532" s="271">
        <f t="shared" si="142"/>
        <v>0</v>
      </c>
    </row>
    <row r="533" spans="1:17" s="428" customFormat="1" x14ac:dyDescent="0.2">
      <c r="A533" s="264" t="s">
        <v>1347</v>
      </c>
      <c r="B533" s="202" t="s">
        <v>512</v>
      </c>
      <c r="C533" s="202" t="s">
        <v>502</v>
      </c>
      <c r="D533" s="202" t="s">
        <v>1499</v>
      </c>
      <c r="E533" s="264" t="s">
        <v>535</v>
      </c>
      <c r="F533" s="265">
        <f>F534</f>
        <v>0</v>
      </c>
      <c r="G533" s="265">
        <f t="shared" si="145"/>
        <v>0</v>
      </c>
      <c r="H533" s="265">
        <f t="shared" si="145"/>
        <v>100</v>
      </c>
      <c r="I533" s="265">
        <f t="shared" si="145"/>
        <v>0</v>
      </c>
      <c r="J533" s="281">
        <f t="shared" si="138"/>
        <v>100</v>
      </c>
      <c r="K533" s="265">
        <f t="shared" si="139"/>
        <v>0</v>
      </c>
      <c r="L533" s="265">
        <f>L534</f>
        <v>0</v>
      </c>
      <c r="M533" s="226">
        <f>M534</f>
        <v>0</v>
      </c>
      <c r="N533" s="265">
        <f>N534</f>
        <v>100</v>
      </c>
      <c r="O533" s="226">
        <f>O534</f>
        <v>0</v>
      </c>
      <c r="P533" s="281">
        <f t="shared" si="141"/>
        <v>100</v>
      </c>
      <c r="Q533" s="271">
        <f t="shared" si="142"/>
        <v>0</v>
      </c>
    </row>
    <row r="534" spans="1:17" s="428" customFormat="1" x14ac:dyDescent="0.2">
      <c r="A534" s="264" t="s">
        <v>534</v>
      </c>
      <c r="B534" s="202" t="s">
        <v>512</v>
      </c>
      <c r="C534" s="202" t="s">
        <v>502</v>
      </c>
      <c r="D534" s="202" t="s">
        <v>1499</v>
      </c>
      <c r="E534" s="264" t="s">
        <v>529</v>
      </c>
      <c r="F534" s="265">
        <v>0</v>
      </c>
      <c r="G534" s="265">
        <v>0</v>
      </c>
      <c r="H534" s="265">
        <f>'Ведомственная 2021-2022'!H475</f>
        <v>100</v>
      </c>
      <c r="I534" s="265">
        <v>0</v>
      </c>
      <c r="J534" s="281">
        <f t="shared" si="138"/>
        <v>100</v>
      </c>
      <c r="K534" s="265">
        <f t="shared" si="139"/>
        <v>0</v>
      </c>
      <c r="L534" s="265">
        <v>0</v>
      </c>
      <c r="M534" s="226">
        <v>0</v>
      </c>
      <c r="N534" s="265">
        <f>'Ведомственная 2021-2022'!K475</f>
        <v>100</v>
      </c>
      <c r="O534" s="226">
        <v>0</v>
      </c>
      <c r="P534" s="281">
        <f t="shared" si="141"/>
        <v>100</v>
      </c>
      <c r="Q534" s="271">
        <f t="shared" si="142"/>
        <v>0</v>
      </c>
    </row>
    <row r="535" spans="1:17" s="428" customFormat="1" ht="22.5" x14ac:dyDescent="0.2">
      <c r="A535" s="264" t="s">
        <v>1500</v>
      </c>
      <c r="B535" s="202" t="s">
        <v>512</v>
      </c>
      <c r="C535" s="202" t="s">
        <v>502</v>
      </c>
      <c r="D535" s="202" t="s">
        <v>1501</v>
      </c>
      <c r="E535" s="264"/>
      <c r="F535" s="265">
        <f>F536</f>
        <v>0</v>
      </c>
      <c r="G535" s="265">
        <f t="shared" ref="G535:I536" si="147">G536</f>
        <v>0</v>
      </c>
      <c r="H535" s="265">
        <f t="shared" si="147"/>
        <v>100</v>
      </c>
      <c r="I535" s="265">
        <f t="shared" si="147"/>
        <v>0</v>
      </c>
      <c r="J535" s="281">
        <f t="shared" si="138"/>
        <v>100</v>
      </c>
      <c r="K535" s="265">
        <f t="shared" si="139"/>
        <v>0</v>
      </c>
      <c r="L535" s="265">
        <f>L536</f>
        <v>0</v>
      </c>
      <c r="M535" s="226">
        <f t="shared" ref="M535:O536" si="148">M536</f>
        <v>0</v>
      </c>
      <c r="N535" s="265">
        <f t="shared" si="148"/>
        <v>100</v>
      </c>
      <c r="O535" s="226">
        <f t="shared" si="148"/>
        <v>0</v>
      </c>
      <c r="P535" s="281">
        <f t="shared" si="141"/>
        <v>100</v>
      </c>
      <c r="Q535" s="271">
        <f t="shared" si="142"/>
        <v>0</v>
      </c>
    </row>
    <row r="536" spans="1:17" s="428" customFormat="1" x14ac:dyDescent="0.2">
      <c r="A536" s="264" t="s">
        <v>547</v>
      </c>
      <c r="B536" s="202" t="s">
        <v>512</v>
      </c>
      <c r="C536" s="202" t="s">
        <v>502</v>
      </c>
      <c r="D536" s="202" t="s">
        <v>1501</v>
      </c>
      <c r="E536" s="264" t="s">
        <v>519</v>
      </c>
      <c r="F536" s="265">
        <f>F537</f>
        <v>0</v>
      </c>
      <c r="G536" s="265">
        <f t="shared" si="147"/>
        <v>0</v>
      </c>
      <c r="H536" s="265">
        <f t="shared" si="147"/>
        <v>100</v>
      </c>
      <c r="I536" s="265">
        <f t="shared" si="147"/>
        <v>0</v>
      </c>
      <c r="J536" s="281">
        <f t="shared" si="138"/>
        <v>100</v>
      </c>
      <c r="K536" s="265">
        <f t="shared" si="139"/>
        <v>0</v>
      </c>
      <c r="L536" s="265">
        <f>L537</f>
        <v>0</v>
      </c>
      <c r="M536" s="226">
        <f t="shared" si="148"/>
        <v>0</v>
      </c>
      <c r="N536" s="265">
        <f t="shared" si="148"/>
        <v>100</v>
      </c>
      <c r="O536" s="226">
        <f t="shared" si="148"/>
        <v>0</v>
      </c>
      <c r="P536" s="281">
        <f t="shared" si="141"/>
        <v>100</v>
      </c>
      <c r="Q536" s="271">
        <f t="shared" si="142"/>
        <v>0</v>
      </c>
    </row>
    <row r="537" spans="1:17" s="428" customFormat="1" x14ac:dyDescent="0.2">
      <c r="A537" s="264" t="s">
        <v>571</v>
      </c>
      <c r="B537" s="202" t="s">
        <v>512</v>
      </c>
      <c r="C537" s="202" t="s">
        <v>502</v>
      </c>
      <c r="D537" s="202" t="s">
        <v>1501</v>
      </c>
      <c r="E537" s="264" t="s">
        <v>522</v>
      </c>
      <c r="F537" s="265">
        <v>0</v>
      </c>
      <c r="G537" s="265">
        <v>0</v>
      </c>
      <c r="H537" s="265">
        <f>'Ведомственная 2021-2022'!H478</f>
        <v>100</v>
      </c>
      <c r="I537" s="265">
        <v>0</v>
      </c>
      <c r="J537" s="281">
        <f t="shared" si="138"/>
        <v>100</v>
      </c>
      <c r="K537" s="265">
        <f t="shared" si="139"/>
        <v>0</v>
      </c>
      <c r="L537" s="265">
        <v>0</v>
      </c>
      <c r="M537" s="226">
        <v>0</v>
      </c>
      <c r="N537" s="265">
        <f>'Ведомственная 2021-2022'!K478</f>
        <v>100</v>
      </c>
      <c r="O537" s="226">
        <v>0</v>
      </c>
      <c r="P537" s="281">
        <f t="shared" si="141"/>
        <v>100</v>
      </c>
      <c r="Q537" s="271">
        <f t="shared" si="142"/>
        <v>0</v>
      </c>
    </row>
    <row r="538" spans="1:17" s="304" customFormat="1" x14ac:dyDescent="0.2">
      <c r="A538" s="298" t="s">
        <v>602</v>
      </c>
      <c r="B538" s="298" t="s">
        <v>512</v>
      </c>
      <c r="C538" s="298" t="s">
        <v>502</v>
      </c>
      <c r="D538" s="298" t="s">
        <v>941</v>
      </c>
      <c r="E538" s="298"/>
      <c r="F538" s="265">
        <v>5000</v>
      </c>
      <c r="G538" s="265">
        <v>0</v>
      </c>
      <c r="H538" s="265">
        <f t="shared" ref="H538:I538" si="149">H539</f>
        <v>5000</v>
      </c>
      <c r="I538" s="265">
        <f t="shared" si="149"/>
        <v>0</v>
      </c>
      <c r="J538" s="281">
        <f t="shared" ref="J538:J551" si="150">H538-F538</f>
        <v>0</v>
      </c>
      <c r="K538" s="265">
        <f t="shared" ref="K538:K551" si="151">I538-G538</f>
        <v>0</v>
      </c>
      <c r="L538" s="265">
        <v>5000</v>
      </c>
      <c r="M538" s="226">
        <v>0</v>
      </c>
      <c r="N538" s="265">
        <f t="shared" ref="N538:O538" si="152">N539</f>
        <v>5000</v>
      </c>
      <c r="O538" s="226">
        <f t="shared" si="152"/>
        <v>0</v>
      </c>
      <c r="P538" s="281">
        <f t="shared" ref="P538:P551" si="153">N538-L538</f>
        <v>0</v>
      </c>
      <c r="Q538" s="271">
        <f t="shared" ref="Q538:Q551" si="154">O538-M538</f>
        <v>0</v>
      </c>
    </row>
    <row r="539" spans="1:17" s="304" customFormat="1" ht="22.5" x14ac:dyDescent="0.2">
      <c r="A539" s="298" t="s">
        <v>600</v>
      </c>
      <c r="B539" s="298" t="s">
        <v>512</v>
      </c>
      <c r="C539" s="298" t="s">
        <v>502</v>
      </c>
      <c r="D539" s="298" t="s">
        <v>940</v>
      </c>
      <c r="E539" s="298"/>
      <c r="F539" s="265">
        <v>5000</v>
      </c>
      <c r="G539" s="265">
        <v>0</v>
      </c>
      <c r="H539" s="265">
        <f t="shared" ref="H539:I539" si="155">H540+H543+H546+H549</f>
        <v>5000</v>
      </c>
      <c r="I539" s="265">
        <f t="shared" si="155"/>
        <v>0</v>
      </c>
      <c r="J539" s="281">
        <f t="shared" si="150"/>
        <v>0</v>
      </c>
      <c r="K539" s="265">
        <f t="shared" si="151"/>
        <v>0</v>
      </c>
      <c r="L539" s="265">
        <v>5000</v>
      </c>
      <c r="M539" s="226">
        <v>0</v>
      </c>
      <c r="N539" s="265">
        <f t="shared" ref="N539:O539" si="156">N540+N543+N546+N549</f>
        <v>5000</v>
      </c>
      <c r="O539" s="226">
        <f t="shared" si="156"/>
        <v>0</v>
      </c>
      <c r="P539" s="281">
        <f t="shared" si="153"/>
        <v>0</v>
      </c>
      <c r="Q539" s="271">
        <f t="shared" si="154"/>
        <v>0</v>
      </c>
    </row>
    <row r="540" spans="1:17" s="304" customFormat="1" ht="22.5" x14ac:dyDescent="0.2">
      <c r="A540" s="298" t="s">
        <v>1025</v>
      </c>
      <c r="B540" s="298" t="s">
        <v>512</v>
      </c>
      <c r="C540" s="298" t="s">
        <v>502</v>
      </c>
      <c r="D540" s="298" t="s">
        <v>1425</v>
      </c>
      <c r="E540" s="298"/>
      <c r="F540" s="265">
        <v>806</v>
      </c>
      <c r="G540" s="265">
        <v>0</v>
      </c>
      <c r="H540" s="265">
        <f t="shared" ref="H540:I541" si="157">H541</f>
        <v>806</v>
      </c>
      <c r="I540" s="265">
        <f t="shared" si="157"/>
        <v>0</v>
      </c>
      <c r="J540" s="281">
        <f t="shared" si="150"/>
        <v>0</v>
      </c>
      <c r="K540" s="265">
        <f t="shared" si="151"/>
        <v>0</v>
      </c>
      <c r="L540" s="265">
        <v>806</v>
      </c>
      <c r="M540" s="226">
        <v>0</v>
      </c>
      <c r="N540" s="265">
        <f t="shared" ref="N540:O541" si="158">N541</f>
        <v>806</v>
      </c>
      <c r="O540" s="226">
        <f t="shared" si="158"/>
        <v>0</v>
      </c>
      <c r="P540" s="281">
        <f t="shared" si="153"/>
        <v>0</v>
      </c>
      <c r="Q540" s="271">
        <f t="shared" si="154"/>
        <v>0</v>
      </c>
    </row>
    <row r="541" spans="1:17" s="304" customFormat="1" x14ac:dyDescent="0.2">
      <c r="A541" s="298" t="s">
        <v>1347</v>
      </c>
      <c r="B541" s="298" t="s">
        <v>512</v>
      </c>
      <c r="C541" s="298" t="s">
        <v>502</v>
      </c>
      <c r="D541" s="298" t="s">
        <v>1425</v>
      </c>
      <c r="E541" s="298" t="s">
        <v>535</v>
      </c>
      <c r="F541" s="265">
        <v>806</v>
      </c>
      <c r="G541" s="265">
        <v>0</v>
      </c>
      <c r="H541" s="265">
        <f t="shared" si="157"/>
        <v>806</v>
      </c>
      <c r="I541" s="265">
        <f t="shared" si="157"/>
        <v>0</v>
      </c>
      <c r="J541" s="281">
        <f t="shared" si="150"/>
        <v>0</v>
      </c>
      <c r="K541" s="265">
        <f t="shared" si="151"/>
        <v>0</v>
      </c>
      <c r="L541" s="265">
        <v>806</v>
      </c>
      <c r="M541" s="226">
        <v>0</v>
      </c>
      <c r="N541" s="265">
        <f t="shared" si="158"/>
        <v>806</v>
      </c>
      <c r="O541" s="226">
        <f t="shared" si="158"/>
        <v>0</v>
      </c>
      <c r="P541" s="281">
        <f t="shared" si="153"/>
        <v>0</v>
      </c>
      <c r="Q541" s="271">
        <f t="shared" si="154"/>
        <v>0</v>
      </c>
    </row>
    <row r="542" spans="1:17" s="304" customFormat="1" x14ac:dyDescent="0.2">
      <c r="A542" s="298" t="s">
        <v>534</v>
      </c>
      <c r="B542" s="298" t="s">
        <v>512</v>
      </c>
      <c r="C542" s="298" t="s">
        <v>502</v>
      </c>
      <c r="D542" s="298" t="s">
        <v>1425</v>
      </c>
      <c r="E542" s="298" t="s">
        <v>529</v>
      </c>
      <c r="F542" s="265">
        <v>806</v>
      </c>
      <c r="G542" s="265">
        <v>0</v>
      </c>
      <c r="H542" s="265">
        <f>'Ведомственная 2021-2022'!H483</f>
        <v>806</v>
      </c>
      <c r="I542" s="265">
        <v>0</v>
      </c>
      <c r="J542" s="281">
        <f t="shared" si="150"/>
        <v>0</v>
      </c>
      <c r="K542" s="265">
        <f t="shared" si="151"/>
        <v>0</v>
      </c>
      <c r="L542" s="265">
        <v>806</v>
      </c>
      <c r="M542" s="226">
        <v>0</v>
      </c>
      <c r="N542" s="265">
        <f>'Ведомственная 2021-2022'!K483</f>
        <v>806</v>
      </c>
      <c r="O542" s="226">
        <v>0</v>
      </c>
      <c r="P542" s="281">
        <f t="shared" si="153"/>
        <v>0</v>
      </c>
      <c r="Q542" s="271">
        <f t="shared" si="154"/>
        <v>0</v>
      </c>
    </row>
    <row r="543" spans="1:17" s="304" customFormat="1" ht="22.5" x14ac:dyDescent="0.2">
      <c r="A543" s="298" t="s">
        <v>1023</v>
      </c>
      <c r="B543" s="298" t="s">
        <v>512</v>
      </c>
      <c r="C543" s="298" t="s">
        <v>502</v>
      </c>
      <c r="D543" s="298" t="s">
        <v>1426</v>
      </c>
      <c r="E543" s="298"/>
      <c r="F543" s="265">
        <v>1644</v>
      </c>
      <c r="G543" s="265">
        <v>0</v>
      </c>
      <c r="H543" s="265">
        <f t="shared" ref="H543:I544" si="159">H544</f>
        <v>1644</v>
      </c>
      <c r="I543" s="265">
        <f t="shared" si="159"/>
        <v>0</v>
      </c>
      <c r="J543" s="281">
        <f t="shared" si="150"/>
        <v>0</v>
      </c>
      <c r="K543" s="265">
        <f t="shared" si="151"/>
        <v>0</v>
      </c>
      <c r="L543" s="265">
        <v>1644</v>
      </c>
      <c r="M543" s="226">
        <v>0</v>
      </c>
      <c r="N543" s="265">
        <f t="shared" ref="N543:O544" si="160">N544</f>
        <v>1644</v>
      </c>
      <c r="O543" s="226">
        <f t="shared" si="160"/>
        <v>0</v>
      </c>
      <c r="P543" s="281">
        <f t="shared" si="153"/>
        <v>0</v>
      </c>
      <c r="Q543" s="271">
        <f t="shared" si="154"/>
        <v>0</v>
      </c>
    </row>
    <row r="544" spans="1:17" s="304" customFormat="1" x14ac:dyDescent="0.2">
      <c r="A544" s="298" t="s">
        <v>1347</v>
      </c>
      <c r="B544" s="298" t="s">
        <v>512</v>
      </c>
      <c r="C544" s="298" t="s">
        <v>502</v>
      </c>
      <c r="D544" s="298" t="s">
        <v>1426</v>
      </c>
      <c r="E544" s="298" t="s">
        <v>535</v>
      </c>
      <c r="F544" s="265">
        <v>1644</v>
      </c>
      <c r="G544" s="265">
        <v>0</v>
      </c>
      <c r="H544" s="265">
        <f t="shared" si="159"/>
        <v>1644</v>
      </c>
      <c r="I544" s="265">
        <f t="shared" si="159"/>
        <v>0</v>
      </c>
      <c r="J544" s="281">
        <f t="shared" si="150"/>
        <v>0</v>
      </c>
      <c r="K544" s="265">
        <f t="shared" si="151"/>
        <v>0</v>
      </c>
      <c r="L544" s="265">
        <v>1644</v>
      </c>
      <c r="M544" s="226">
        <v>0</v>
      </c>
      <c r="N544" s="265">
        <f t="shared" si="160"/>
        <v>1644</v>
      </c>
      <c r="O544" s="226">
        <f t="shared" si="160"/>
        <v>0</v>
      </c>
      <c r="P544" s="281">
        <f t="shared" si="153"/>
        <v>0</v>
      </c>
      <c r="Q544" s="271">
        <f t="shared" si="154"/>
        <v>0</v>
      </c>
    </row>
    <row r="545" spans="1:17" s="304" customFormat="1" x14ac:dyDescent="0.2">
      <c r="A545" s="298" t="s">
        <v>534</v>
      </c>
      <c r="B545" s="298" t="s">
        <v>512</v>
      </c>
      <c r="C545" s="298" t="s">
        <v>502</v>
      </c>
      <c r="D545" s="298" t="s">
        <v>1426</v>
      </c>
      <c r="E545" s="298" t="s">
        <v>529</v>
      </c>
      <c r="F545" s="265">
        <v>1644</v>
      </c>
      <c r="G545" s="265">
        <v>0</v>
      </c>
      <c r="H545" s="265">
        <f>'Ведомственная 2021-2022'!H486</f>
        <v>1644</v>
      </c>
      <c r="I545" s="265">
        <v>0</v>
      </c>
      <c r="J545" s="281">
        <f t="shared" si="150"/>
        <v>0</v>
      </c>
      <c r="K545" s="265">
        <f t="shared" si="151"/>
        <v>0</v>
      </c>
      <c r="L545" s="265">
        <v>1644</v>
      </c>
      <c r="M545" s="226">
        <v>0</v>
      </c>
      <c r="N545" s="265">
        <f>'Ведомственная 2021-2022'!K486</f>
        <v>1644</v>
      </c>
      <c r="O545" s="226">
        <v>0</v>
      </c>
      <c r="P545" s="281">
        <f t="shared" si="153"/>
        <v>0</v>
      </c>
      <c r="Q545" s="271">
        <f t="shared" si="154"/>
        <v>0</v>
      </c>
    </row>
    <row r="546" spans="1:17" s="304" customFormat="1" ht="22.5" x14ac:dyDescent="0.2">
      <c r="A546" s="298" t="s">
        <v>1024</v>
      </c>
      <c r="B546" s="298" t="s">
        <v>512</v>
      </c>
      <c r="C546" s="298" t="s">
        <v>502</v>
      </c>
      <c r="D546" s="298" t="s">
        <v>1427</v>
      </c>
      <c r="E546" s="298"/>
      <c r="F546" s="265">
        <v>1454</v>
      </c>
      <c r="G546" s="265">
        <v>0</v>
      </c>
      <c r="H546" s="265">
        <f t="shared" ref="H546:I547" si="161">H547</f>
        <v>1454</v>
      </c>
      <c r="I546" s="265">
        <f t="shared" si="161"/>
        <v>0</v>
      </c>
      <c r="J546" s="281">
        <f t="shared" si="150"/>
        <v>0</v>
      </c>
      <c r="K546" s="265">
        <f t="shared" si="151"/>
        <v>0</v>
      </c>
      <c r="L546" s="265">
        <v>1454</v>
      </c>
      <c r="M546" s="226">
        <v>0</v>
      </c>
      <c r="N546" s="265">
        <f t="shared" ref="N546:O547" si="162">N547</f>
        <v>1454</v>
      </c>
      <c r="O546" s="226">
        <f t="shared" si="162"/>
        <v>0</v>
      </c>
      <c r="P546" s="281">
        <f t="shared" si="153"/>
        <v>0</v>
      </c>
      <c r="Q546" s="271">
        <f t="shared" si="154"/>
        <v>0</v>
      </c>
    </row>
    <row r="547" spans="1:17" s="304" customFormat="1" x14ac:dyDescent="0.2">
      <c r="A547" s="298" t="s">
        <v>1347</v>
      </c>
      <c r="B547" s="298" t="s">
        <v>512</v>
      </c>
      <c r="C547" s="298" t="s">
        <v>502</v>
      </c>
      <c r="D547" s="298" t="s">
        <v>1427</v>
      </c>
      <c r="E547" s="298" t="s">
        <v>535</v>
      </c>
      <c r="F547" s="265">
        <v>1454</v>
      </c>
      <c r="G547" s="265">
        <v>0</v>
      </c>
      <c r="H547" s="265">
        <f t="shared" si="161"/>
        <v>1454</v>
      </c>
      <c r="I547" s="265">
        <f t="shared" si="161"/>
        <v>0</v>
      </c>
      <c r="J547" s="281">
        <f t="shared" si="150"/>
        <v>0</v>
      </c>
      <c r="K547" s="265">
        <f t="shared" si="151"/>
        <v>0</v>
      </c>
      <c r="L547" s="265">
        <v>1454</v>
      </c>
      <c r="M547" s="226">
        <v>0</v>
      </c>
      <c r="N547" s="265">
        <f t="shared" si="162"/>
        <v>1454</v>
      </c>
      <c r="O547" s="226">
        <f t="shared" si="162"/>
        <v>0</v>
      </c>
      <c r="P547" s="281">
        <f t="shared" si="153"/>
        <v>0</v>
      </c>
      <c r="Q547" s="271">
        <f t="shared" si="154"/>
        <v>0</v>
      </c>
    </row>
    <row r="548" spans="1:17" s="304" customFormat="1" x14ac:dyDescent="0.2">
      <c r="A548" s="298" t="s">
        <v>534</v>
      </c>
      <c r="B548" s="298" t="s">
        <v>512</v>
      </c>
      <c r="C548" s="298" t="s">
        <v>502</v>
      </c>
      <c r="D548" s="298" t="s">
        <v>1427</v>
      </c>
      <c r="E548" s="298" t="s">
        <v>529</v>
      </c>
      <c r="F548" s="265">
        <v>1454</v>
      </c>
      <c r="G548" s="265">
        <v>0</v>
      </c>
      <c r="H548" s="265">
        <f>'Ведомственная 2021-2022'!H489</f>
        <v>1454</v>
      </c>
      <c r="I548" s="265">
        <v>0</v>
      </c>
      <c r="J548" s="281">
        <f t="shared" si="150"/>
        <v>0</v>
      </c>
      <c r="K548" s="265">
        <f t="shared" si="151"/>
        <v>0</v>
      </c>
      <c r="L548" s="265">
        <v>1454</v>
      </c>
      <c r="M548" s="226">
        <v>0</v>
      </c>
      <c r="N548" s="265">
        <f>'Ведомственная 2021-2022'!K489</f>
        <v>1454</v>
      </c>
      <c r="O548" s="226">
        <v>0</v>
      </c>
      <c r="P548" s="281">
        <f t="shared" si="153"/>
        <v>0</v>
      </c>
      <c r="Q548" s="271">
        <f t="shared" si="154"/>
        <v>0</v>
      </c>
    </row>
    <row r="549" spans="1:17" s="304" customFormat="1" ht="22.5" x14ac:dyDescent="0.2">
      <c r="A549" s="298" t="s">
        <v>1023</v>
      </c>
      <c r="B549" s="298" t="s">
        <v>512</v>
      </c>
      <c r="C549" s="298" t="s">
        <v>502</v>
      </c>
      <c r="D549" s="298" t="s">
        <v>1428</v>
      </c>
      <c r="E549" s="298"/>
      <c r="F549" s="265">
        <v>1096</v>
      </c>
      <c r="G549" s="265">
        <v>0</v>
      </c>
      <c r="H549" s="265">
        <f t="shared" ref="H549:I550" si="163">H550</f>
        <v>1096</v>
      </c>
      <c r="I549" s="265">
        <f t="shared" si="163"/>
        <v>0</v>
      </c>
      <c r="J549" s="281">
        <f t="shared" si="150"/>
        <v>0</v>
      </c>
      <c r="K549" s="265">
        <f t="shared" si="151"/>
        <v>0</v>
      </c>
      <c r="L549" s="265">
        <v>1096</v>
      </c>
      <c r="M549" s="226">
        <v>0</v>
      </c>
      <c r="N549" s="265">
        <f t="shared" ref="N549:O550" si="164">N550</f>
        <v>1096</v>
      </c>
      <c r="O549" s="226">
        <f t="shared" si="164"/>
        <v>0</v>
      </c>
      <c r="P549" s="281">
        <f t="shared" si="153"/>
        <v>0</v>
      </c>
      <c r="Q549" s="271">
        <f t="shared" si="154"/>
        <v>0</v>
      </c>
    </row>
    <row r="550" spans="1:17" s="304" customFormat="1" ht="33.75" x14ac:dyDescent="0.2">
      <c r="A550" s="298" t="s">
        <v>1348</v>
      </c>
      <c r="B550" s="298" t="s">
        <v>512</v>
      </c>
      <c r="C550" s="298" t="s">
        <v>502</v>
      </c>
      <c r="D550" s="298" t="s">
        <v>1428</v>
      </c>
      <c r="E550" s="298" t="s">
        <v>556</v>
      </c>
      <c r="F550" s="265">
        <v>1096</v>
      </c>
      <c r="G550" s="265">
        <v>0</v>
      </c>
      <c r="H550" s="265">
        <f t="shared" si="163"/>
        <v>1096</v>
      </c>
      <c r="I550" s="265">
        <f t="shared" si="163"/>
        <v>0</v>
      </c>
      <c r="J550" s="281">
        <f t="shared" si="150"/>
        <v>0</v>
      </c>
      <c r="K550" s="265">
        <f t="shared" si="151"/>
        <v>0</v>
      </c>
      <c r="L550" s="265">
        <v>1096</v>
      </c>
      <c r="M550" s="226">
        <v>0</v>
      </c>
      <c r="N550" s="265">
        <f t="shared" si="164"/>
        <v>1096</v>
      </c>
      <c r="O550" s="226">
        <f t="shared" si="164"/>
        <v>0</v>
      </c>
      <c r="P550" s="281">
        <f t="shared" si="153"/>
        <v>0</v>
      </c>
      <c r="Q550" s="271">
        <f t="shared" si="154"/>
        <v>0</v>
      </c>
    </row>
    <row r="551" spans="1:17" s="304" customFormat="1" x14ac:dyDescent="0.2">
      <c r="A551" s="298" t="s">
        <v>555</v>
      </c>
      <c r="B551" s="298" t="s">
        <v>512</v>
      </c>
      <c r="C551" s="298" t="s">
        <v>502</v>
      </c>
      <c r="D551" s="298" t="s">
        <v>1428</v>
      </c>
      <c r="E551" s="298" t="s">
        <v>554</v>
      </c>
      <c r="F551" s="265">
        <v>1096</v>
      </c>
      <c r="G551" s="265">
        <v>0</v>
      </c>
      <c r="H551" s="265">
        <f>'Ведомственная 2021-2022'!H492</f>
        <v>1096</v>
      </c>
      <c r="I551" s="265">
        <v>0</v>
      </c>
      <c r="J551" s="281">
        <f t="shared" si="150"/>
        <v>0</v>
      </c>
      <c r="K551" s="265">
        <f t="shared" si="151"/>
        <v>0</v>
      </c>
      <c r="L551" s="265">
        <v>1096</v>
      </c>
      <c r="M551" s="226">
        <v>0</v>
      </c>
      <c r="N551" s="265">
        <f>'Ведомственная 2021-2022'!K492</f>
        <v>1096</v>
      </c>
      <c r="O551" s="226">
        <v>0</v>
      </c>
      <c r="P551" s="281">
        <f t="shared" si="153"/>
        <v>0</v>
      </c>
      <c r="Q551" s="271">
        <f t="shared" si="154"/>
        <v>0</v>
      </c>
    </row>
    <row r="552" spans="1:17" x14ac:dyDescent="0.2">
      <c r="A552" s="264" t="s">
        <v>986</v>
      </c>
      <c r="B552" s="202" t="s">
        <v>512</v>
      </c>
      <c r="C552" s="202" t="s">
        <v>502</v>
      </c>
      <c r="D552" s="202" t="s">
        <v>985</v>
      </c>
      <c r="E552" s="202"/>
      <c r="F552" s="265">
        <v>1680.7</v>
      </c>
      <c r="G552" s="265">
        <v>0</v>
      </c>
      <c r="H552" s="265">
        <v>1680.7</v>
      </c>
      <c r="I552" s="265">
        <v>0</v>
      </c>
      <c r="J552" s="265">
        <f t="shared" ref="J552:J621" si="165">H552-F552</f>
        <v>0</v>
      </c>
      <c r="K552" s="265">
        <f t="shared" ref="K552:K621" si="166">I552-G552</f>
        <v>0</v>
      </c>
      <c r="L552" s="265">
        <v>1680.7</v>
      </c>
      <c r="M552" s="226">
        <v>0</v>
      </c>
      <c r="N552" s="265">
        <v>1680.7</v>
      </c>
      <c r="O552" s="226">
        <v>0</v>
      </c>
      <c r="P552" s="265">
        <f t="shared" ref="P552:P621" si="167">N552-L552</f>
        <v>0</v>
      </c>
      <c r="Q552" s="271">
        <f t="shared" ref="Q552:Q621" si="168">O552-M552</f>
        <v>0</v>
      </c>
    </row>
    <row r="553" spans="1:17" ht="22.5" x14ac:dyDescent="0.2">
      <c r="A553" s="264" t="s">
        <v>1022</v>
      </c>
      <c r="B553" s="202" t="s">
        <v>512</v>
      </c>
      <c r="C553" s="202" t="s">
        <v>502</v>
      </c>
      <c r="D553" s="202" t="s">
        <v>1021</v>
      </c>
      <c r="E553" s="202"/>
      <c r="F553" s="265">
        <v>1680.7</v>
      </c>
      <c r="G553" s="265">
        <v>0</v>
      </c>
      <c r="H553" s="265">
        <v>1680.7</v>
      </c>
      <c r="I553" s="265">
        <v>0</v>
      </c>
      <c r="J553" s="265">
        <f t="shared" si="165"/>
        <v>0</v>
      </c>
      <c r="K553" s="265">
        <f t="shared" si="166"/>
        <v>0</v>
      </c>
      <c r="L553" s="265">
        <v>1680.7</v>
      </c>
      <c r="M553" s="226">
        <v>0</v>
      </c>
      <c r="N553" s="265">
        <v>1680.7</v>
      </c>
      <c r="O553" s="226">
        <v>0</v>
      </c>
      <c r="P553" s="265">
        <f t="shared" si="167"/>
        <v>0</v>
      </c>
      <c r="Q553" s="271">
        <f t="shared" si="168"/>
        <v>0</v>
      </c>
    </row>
    <row r="554" spans="1:17" ht="22.5" x14ac:dyDescent="0.2">
      <c r="A554" s="264" t="s">
        <v>1020</v>
      </c>
      <c r="B554" s="202" t="s">
        <v>512</v>
      </c>
      <c r="C554" s="202" t="s">
        <v>502</v>
      </c>
      <c r="D554" s="202" t="s">
        <v>1019</v>
      </c>
      <c r="E554" s="202"/>
      <c r="F554" s="265">
        <v>1680.7</v>
      </c>
      <c r="G554" s="265">
        <v>0</v>
      </c>
      <c r="H554" s="265">
        <v>1680.7</v>
      </c>
      <c r="I554" s="265">
        <v>0</v>
      </c>
      <c r="J554" s="265">
        <f t="shared" si="165"/>
        <v>0</v>
      </c>
      <c r="K554" s="265">
        <f t="shared" si="166"/>
        <v>0</v>
      </c>
      <c r="L554" s="265">
        <v>1680.7</v>
      </c>
      <c r="M554" s="226">
        <v>0</v>
      </c>
      <c r="N554" s="265">
        <v>1680.7</v>
      </c>
      <c r="O554" s="226">
        <v>0</v>
      </c>
      <c r="P554" s="265">
        <f t="shared" si="167"/>
        <v>0</v>
      </c>
      <c r="Q554" s="271">
        <f t="shared" si="168"/>
        <v>0</v>
      </c>
    </row>
    <row r="555" spans="1:17" x14ac:dyDescent="0.2">
      <c r="A555" s="264" t="s">
        <v>1018</v>
      </c>
      <c r="B555" s="202" t="s">
        <v>512</v>
      </c>
      <c r="C555" s="202" t="s">
        <v>502</v>
      </c>
      <c r="D555" s="202" t="s">
        <v>1017</v>
      </c>
      <c r="E555" s="202"/>
      <c r="F555" s="265">
        <v>1680.7</v>
      </c>
      <c r="G555" s="265">
        <v>0</v>
      </c>
      <c r="H555" s="265">
        <v>1680.7</v>
      </c>
      <c r="I555" s="265">
        <v>0</v>
      </c>
      <c r="J555" s="265">
        <f t="shared" si="165"/>
        <v>0</v>
      </c>
      <c r="K555" s="265">
        <f t="shared" si="166"/>
        <v>0</v>
      </c>
      <c r="L555" s="265">
        <v>1680.7</v>
      </c>
      <c r="M555" s="226">
        <v>0</v>
      </c>
      <c r="N555" s="265">
        <v>1680.7</v>
      </c>
      <c r="O555" s="226">
        <v>0</v>
      </c>
      <c r="P555" s="265">
        <f t="shared" si="167"/>
        <v>0</v>
      </c>
      <c r="Q555" s="271">
        <f t="shared" si="168"/>
        <v>0</v>
      </c>
    </row>
    <row r="556" spans="1:17" x14ac:dyDescent="0.2">
      <c r="A556" s="264" t="s">
        <v>1347</v>
      </c>
      <c r="B556" s="202" t="s">
        <v>512</v>
      </c>
      <c r="C556" s="202" t="s">
        <v>502</v>
      </c>
      <c r="D556" s="202" t="s">
        <v>1017</v>
      </c>
      <c r="E556" s="202" t="s">
        <v>535</v>
      </c>
      <c r="F556" s="265">
        <v>500</v>
      </c>
      <c r="G556" s="265">
        <v>0</v>
      </c>
      <c r="H556" s="265">
        <v>500</v>
      </c>
      <c r="I556" s="265">
        <v>0</v>
      </c>
      <c r="J556" s="265">
        <f t="shared" si="165"/>
        <v>0</v>
      </c>
      <c r="K556" s="265">
        <f t="shared" si="166"/>
        <v>0</v>
      </c>
      <c r="L556" s="265">
        <v>500</v>
      </c>
      <c r="M556" s="226">
        <v>0</v>
      </c>
      <c r="N556" s="265">
        <v>500</v>
      </c>
      <c r="O556" s="226">
        <v>0</v>
      </c>
      <c r="P556" s="265">
        <f t="shared" si="167"/>
        <v>0</v>
      </c>
      <c r="Q556" s="271">
        <f t="shared" si="168"/>
        <v>0</v>
      </c>
    </row>
    <row r="557" spans="1:17" x14ac:dyDescent="0.2">
      <c r="A557" s="264" t="s">
        <v>534</v>
      </c>
      <c r="B557" s="202" t="s">
        <v>512</v>
      </c>
      <c r="C557" s="202" t="s">
        <v>502</v>
      </c>
      <c r="D557" s="202" t="s">
        <v>1017</v>
      </c>
      <c r="E557" s="202" t="s">
        <v>529</v>
      </c>
      <c r="F557" s="265">
        <v>500</v>
      </c>
      <c r="G557" s="265">
        <v>0</v>
      </c>
      <c r="H557" s="265">
        <v>500</v>
      </c>
      <c r="I557" s="265">
        <v>0</v>
      </c>
      <c r="J557" s="265">
        <f t="shared" si="165"/>
        <v>0</v>
      </c>
      <c r="K557" s="265">
        <f t="shared" si="166"/>
        <v>0</v>
      </c>
      <c r="L557" s="265">
        <v>500</v>
      </c>
      <c r="M557" s="226">
        <v>0</v>
      </c>
      <c r="N557" s="265">
        <v>500</v>
      </c>
      <c r="O557" s="226">
        <v>0</v>
      </c>
      <c r="P557" s="265">
        <f t="shared" si="167"/>
        <v>0</v>
      </c>
      <c r="Q557" s="271">
        <f t="shared" si="168"/>
        <v>0</v>
      </c>
    </row>
    <row r="558" spans="1:17" x14ac:dyDescent="0.2">
      <c r="A558" s="264" t="s">
        <v>615</v>
      </c>
      <c r="B558" s="202" t="s">
        <v>512</v>
      </c>
      <c r="C558" s="202" t="s">
        <v>502</v>
      </c>
      <c r="D558" s="202" t="s">
        <v>1017</v>
      </c>
      <c r="E558" s="202" t="s">
        <v>509</v>
      </c>
      <c r="F558" s="265">
        <v>1180.7</v>
      </c>
      <c r="G558" s="265">
        <v>0</v>
      </c>
      <c r="H558" s="265">
        <v>1180.7</v>
      </c>
      <c r="I558" s="265">
        <v>0</v>
      </c>
      <c r="J558" s="265">
        <f t="shared" si="165"/>
        <v>0</v>
      </c>
      <c r="K558" s="265">
        <f t="shared" si="166"/>
        <v>0</v>
      </c>
      <c r="L558" s="265">
        <v>1180.7</v>
      </c>
      <c r="M558" s="226">
        <v>0</v>
      </c>
      <c r="N558" s="265">
        <v>1180.7</v>
      </c>
      <c r="O558" s="226">
        <v>0</v>
      </c>
      <c r="P558" s="265">
        <f t="shared" si="167"/>
        <v>0</v>
      </c>
      <c r="Q558" s="271">
        <f t="shared" si="168"/>
        <v>0</v>
      </c>
    </row>
    <row r="559" spans="1:17" ht="22.5" x14ac:dyDescent="0.2">
      <c r="A559" s="264" t="s">
        <v>1346</v>
      </c>
      <c r="B559" s="202" t="s">
        <v>512</v>
      </c>
      <c r="C559" s="202" t="s">
        <v>502</v>
      </c>
      <c r="D559" s="202" t="s">
        <v>1017</v>
      </c>
      <c r="E559" s="202" t="s">
        <v>511</v>
      </c>
      <c r="F559" s="265">
        <v>1180.7</v>
      </c>
      <c r="G559" s="265">
        <v>0</v>
      </c>
      <c r="H559" s="265">
        <v>1180.7</v>
      </c>
      <c r="I559" s="265">
        <v>0</v>
      </c>
      <c r="J559" s="265">
        <f t="shared" si="165"/>
        <v>0</v>
      </c>
      <c r="K559" s="265">
        <f t="shared" si="166"/>
        <v>0</v>
      </c>
      <c r="L559" s="265">
        <v>1180.7</v>
      </c>
      <c r="M559" s="226">
        <v>0</v>
      </c>
      <c r="N559" s="265">
        <v>1180.7</v>
      </c>
      <c r="O559" s="226">
        <v>0</v>
      </c>
      <c r="P559" s="265">
        <f t="shared" si="167"/>
        <v>0</v>
      </c>
      <c r="Q559" s="271">
        <f t="shared" si="168"/>
        <v>0</v>
      </c>
    </row>
    <row r="560" spans="1:17" x14ac:dyDescent="0.2">
      <c r="A560" s="264" t="s">
        <v>1016</v>
      </c>
      <c r="B560" s="202" t="s">
        <v>512</v>
      </c>
      <c r="C560" s="202" t="s">
        <v>531</v>
      </c>
      <c r="D560" s="202"/>
      <c r="E560" s="202"/>
      <c r="F560" s="265">
        <v>952861.39999999991</v>
      </c>
      <c r="G560" s="265">
        <v>0</v>
      </c>
      <c r="H560" s="265">
        <f>H561+H567+H588+H594</f>
        <v>952861.39999999991</v>
      </c>
      <c r="I560" s="265">
        <f>I561+I567+I588+I594</f>
        <v>0</v>
      </c>
      <c r="J560" s="281">
        <f t="shared" si="165"/>
        <v>0</v>
      </c>
      <c r="K560" s="265">
        <f t="shared" si="166"/>
        <v>0</v>
      </c>
      <c r="L560" s="265">
        <v>986734.79999999981</v>
      </c>
      <c r="M560" s="226">
        <v>0</v>
      </c>
      <c r="N560" s="265">
        <f>N561+N567+N588+N594</f>
        <v>984009.29999999981</v>
      </c>
      <c r="O560" s="226">
        <f>O561+O567+O588+O594</f>
        <v>0</v>
      </c>
      <c r="P560" s="281">
        <f t="shared" si="167"/>
        <v>-2725.5</v>
      </c>
      <c r="Q560" s="271">
        <f t="shared" si="168"/>
        <v>0</v>
      </c>
    </row>
    <row r="561" spans="1:17" s="239" customFormat="1" x14ac:dyDescent="0.2">
      <c r="A561" s="202" t="s">
        <v>923</v>
      </c>
      <c r="B561" s="202" t="s">
        <v>512</v>
      </c>
      <c r="C561" s="202" t="s">
        <v>531</v>
      </c>
      <c r="D561" s="202" t="s">
        <v>922</v>
      </c>
      <c r="E561" s="209"/>
      <c r="F561" s="265">
        <v>230</v>
      </c>
      <c r="G561" s="265">
        <v>0</v>
      </c>
      <c r="H561" s="265">
        <f t="shared" ref="H561:I565" si="169">H562</f>
        <v>230</v>
      </c>
      <c r="I561" s="265">
        <f t="shared" si="169"/>
        <v>0</v>
      </c>
      <c r="J561" s="265">
        <f t="shared" ref="J561:J566" si="170">H561-F561</f>
        <v>0</v>
      </c>
      <c r="K561" s="265">
        <f t="shared" ref="K561:K566" si="171">I561-G561</f>
        <v>0</v>
      </c>
      <c r="L561" s="265">
        <v>440</v>
      </c>
      <c r="M561" s="226">
        <v>0</v>
      </c>
      <c r="N561" s="265">
        <f t="shared" ref="N561:O565" si="172">N562</f>
        <v>440</v>
      </c>
      <c r="O561" s="226">
        <f t="shared" si="172"/>
        <v>0</v>
      </c>
      <c r="P561" s="265">
        <f t="shared" ref="P561:P566" si="173">N561-L561</f>
        <v>0</v>
      </c>
      <c r="Q561" s="271">
        <f t="shared" ref="Q561:Q566" si="174">O561-M561</f>
        <v>0</v>
      </c>
    </row>
    <row r="562" spans="1:17" s="239" customFormat="1" x14ac:dyDescent="0.2">
      <c r="A562" s="202" t="s">
        <v>921</v>
      </c>
      <c r="B562" s="202" t="s">
        <v>512</v>
      </c>
      <c r="C562" s="202" t="s">
        <v>531</v>
      </c>
      <c r="D562" s="202" t="s">
        <v>920</v>
      </c>
      <c r="E562" s="209"/>
      <c r="F562" s="265">
        <v>230</v>
      </c>
      <c r="G562" s="265">
        <v>0</v>
      </c>
      <c r="H562" s="265">
        <f t="shared" si="169"/>
        <v>230</v>
      </c>
      <c r="I562" s="265">
        <f t="shared" si="169"/>
        <v>0</v>
      </c>
      <c r="J562" s="265">
        <f t="shared" si="170"/>
        <v>0</v>
      </c>
      <c r="K562" s="265">
        <f t="shared" si="171"/>
        <v>0</v>
      </c>
      <c r="L562" s="265">
        <v>440</v>
      </c>
      <c r="M562" s="226">
        <v>0</v>
      </c>
      <c r="N562" s="265">
        <f t="shared" si="172"/>
        <v>440</v>
      </c>
      <c r="O562" s="226">
        <f t="shared" si="172"/>
        <v>0</v>
      </c>
      <c r="P562" s="265">
        <f t="shared" si="173"/>
        <v>0</v>
      </c>
      <c r="Q562" s="271">
        <f t="shared" si="174"/>
        <v>0</v>
      </c>
    </row>
    <row r="563" spans="1:17" s="239" customFormat="1" ht="22.5" x14ac:dyDescent="0.2">
      <c r="A563" s="202" t="s">
        <v>1015</v>
      </c>
      <c r="B563" s="202" t="s">
        <v>512</v>
      </c>
      <c r="C563" s="202" t="s">
        <v>531</v>
      </c>
      <c r="D563" s="202" t="s">
        <v>1014</v>
      </c>
      <c r="E563" s="209"/>
      <c r="F563" s="265">
        <v>230</v>
      </c>
      <c r="G563" s="265">
        <v>0</v>
      </c>
      <c r="H563" s="265">
        <f t="shared" si="169"/>
        <v>230</v>
      </c>
      <c r="I563" s="265">
        <f t="shared" si="169"/>
        <v>0</v>
      </c>
      <c r="J563" s="265">
        <f t="shared" si="170"/>
        <v>0</v>
      </c>
      <c r="K563" s="265">
        <f t="shared" si="171"/>
        <v>0</v>
      </c>
      <c r="L563" s="265">
        <v>440</v>
      </c>
      <c r="M563" s="226">
        <v>0</v>
      </c>
      <c r="N563" s="265">
        <f t="shared" si="172"/>
        <v>440</v>
      </c>
      <c r="O563" s="226">
        <f t="shared" si="172"/>
        <v>0</v>
      </c>
      <c r="P563" s="265">
        <f t="shared" si="173"/>
        <v>0</v>
      </c>
      <c r="Q563" s="271">
        <f t="shared" si="174"/>
        <v>0</v>
      </c>
    </row>
    <row r="564" spans="1:17" s="239" customFormat="1" x14ac:dyDescent="0.2">
      <c r="A564" s="202" t="s">
        <v>917</v>
      </c>
      <c r="B564" s="202" t="s">
        <v>512</v>
      </c>
      <c r="C564" s="202" t="s">
        <v>531</v>
      </c>
      <c r="D564" s="202" t="s">
        <v>1377</v>
      </c>
      <c r="E564" s="209"/>
      <c r="F564" s="265">
        <v>230</v>
      </c>
      <c r="G564" s="265">
        <v>0</v>
      </c>
      <c r="H564" s="265">
        <f t="shared" si="169"/>
        <v>230</v>
      </c>
      <c r="I564" s="265">
        <f t="shared" si="169"/>
        <v>0</v>
      </c>
      <c r="J564" s="265">
        <f t="shared" si="170"/>
        <v>0</v>
      </c>
      <c r="K564" s="265">
        <f t="shared" si="171"/>
        <v>0</v>
      </c>
      <c r="L564" s="265">
        <v>440</v>
      </c>
      <c r="M564" s="226">
        <v>0</v>
      </c>
      <c r="N564" s="265">
        <f t="shared" si="172"/>
        <v>440</v>
      </c>
      <c r="O564" s="226">
        <f t="shared" si="172"/>
        <v>0</v>
      </c>
      <c r="P564" s="265">
        <f t="shared" si="173"/>
        <v>0</v>
      </c>
      <c r="Q564" s="271">
        <f t="shared" si="174"/>
        <v>0</v>
      </c>
    </row>
    <row r="565" spans="1:17" s="239" customFormat="1" x14ac:dyDescent="0.2">
      <c r="A565" s="202" t="s">
        <v>1347</v>
      </c>
      <c r="B565" s="202" t="s">
        <v>512</v>
      </c>
      <c r="C565" s="202" t="s">
        <v>531</v>
      </c>
      <c r="D565" s="202" t="s">
        <v>1377</v>
      </c>
      <c r="E565" s="209">
        <v>200</v>
      </c>
      <c r="F565" s="265">
        <v>230</v>
      </c>
      <c r="G565" s="265">
        <v>0</v>
      </c>
      <c r="H565" s="265">
        <f t="shared" si="169"/>
        <v>230</v>
      </c>
      <c r="I565" s="265">
        <f t="shared" si="169"/>
        <v>0</v>
      </c>
      <c r="J565" s="265">
        <f t="shared" si="170"/>
        <v>0</v>
      </c>
      <c r="K565" s="265">
        <f t="shared" si="171"/>
        <v>0</v>
      </c>
      <c r="L565" s="265">
        <v>440</v>
      </c>
      <c r="M565" s="226">
        <v>0</v>
      </c>
      <c r="N565" s="265">
        <f t="shared" si="172"/>
        <v>440</v>
      </c>
      <c r="O565" s="226">
        <f t="shared" si="172"/>
        <v>0</v>
      </c>
      <c r="P565" s="265">
        <f t="shared" si="173"/>
        <v>0</v>
      </c>
      <c r="Q565" s="271">
        <f t="shared" si="174"/>
        <v>0</v>
      </c>
    </row>
    <row r="566" spans="1:17" s="239" customFormat="1" x14ac:dyDescent="0.2">
      <c r="A566" s="202" t="s">
        <v>534</v>
      </c>
      <c r="B566" s="202" t="s">
        <v>512</v>
      </c>
      <c r="C566" s="202" t="s">
        <v>531</v>
      </c>
      <c r="D566" s="202" t="s">
        <v>1377</v>
      </c>
      <c r="E566" s="209">
        <v>240</v>
      </c>
      <c r="F566" s="265">
        <v>230</v>
      </c>
      <c r="G566" s="265">
        <v>0</v>
      </c>
      <c r="H566" s="265">
        <f>'Ведомственная 2021-2022'!H507</f>
        <v>230</v>
      </c>
      <c r="I566" s="265">
        <v>0</v>
      </c>
      <c r="J566" s="265">
        <f t="shared" si="170"/>
        <v>0</v>
      </c>
      <c r="K566" s="265">
        <f t="shared" si="171"/>
        <v>0</v>
      </c>
      <c r="L566" s="265">
        <v>440</v>
      </c>
      <c r="M566" s="226">
        <v>0</v>
      </c>
      <c r="N566" s="265">
        <f>'Ведомственная 2021-2022'!K507</f>
        <v>440</v>
      </c>
      <c r="O566" s="226">
        <v>0</v>
      </c>
      <c r="P566" s="265">
        <f t="shared" si="173"/>
        <v>0</v>
      </c>
      <c r="Q566" s="271">
        <f t="shared" si="174"/>
        <v>0</v>
      </c>
    </row>
    <row r="567" spans="1:17" ht="25.5" customHeight="1" x14ac:dyDescent="0.2">
      <c r="A567" s="264" t="s">
        <v>1005</v>
      </c>
      <c r="B567" s="202" t="s">
        <v>512</v>
      </c>
      <c r="C567" s="202" t="s">
        <v>531</v>
      </c>
      <c r="D567" s="202" t="s">
        <v>1004</v>
      </c>
      <c r="E567" s="202"/>
      <c r="F567" s="265">
        <v>49388.7</v>
      </c>
      <c r="G567" s="265">
        <v>0</v>
      </c>
      <c r="H567" s="265">
        <f>H568</f>
        <v>49388.7</v>
      </c>
      <c r="I567" s="265">
        <v>0</v>
      </c>
      <c r="J567" s="281">
        <f t="shared" si="165"/>
        <v>0</v>
      </c>
      <c r="K567" s="265">
        <f t="shared" si="166"/>
        <v>0</v>
      </c>
      <c r="L567" s="265">
        <v>49388.7</v>
      </c>
      <c r="M567" s="226">
        <v>0</v>
      </c>
      <c r="N567" s="265">
        <f>N568</f>
        <v>55388.7</v>
      </c>
      <c r="O567" s="226">
        <v>0</v>
      </c>
      <c r="P567" s="281">
        <f t="shared" si="167"/>
        <v>6000</v>
      </c>
      <c r="Q567" s="271">
        <f t="shared" si="168"/>
        <v>0</v>
      </c>
    </row>
    <row r="568" spans="1:17" x14ac:dyDescent="0.2">
      <c r="A568" s="264" t="s">
        <v>1003</v>
      </c>
      <c r="B568" s="202" t="s">
        <v>512</v>
      </c>
      <c r="C568" s="202" t="s">
        <v>531</v>
      </c>
      <c r="D568" s="202" t="s">
        <v>1002</v>
      </c>
      <c r="E568" s="202"/>
      <c r="F568" s="265">
        <v>49388.7</v>
      </c>
      <c r="G568" s="265">
        <v>0</v>
      </c>
      <c r="H568" s="265">
        <f>H569</f>
        <v>49388.7</v>
      </c>
      <c r="I568" s="265">
        <v>0</v>
      </c>
      <c r="J568" s="281">
        <f t="shared" si="165"/>
        <v>0</v>
      </c>
      <c r="K568" s="265">
        <f t="shared" si="166"/>
        <v>0</v>
      </c>
      <c r="L568" s="265">
        <v>49388.7</v>
      </c>
      <c r="M568" s="226">
        <v>0</v>
      </c>
      <c r="N568" s="265">
        <f>N569</f>
        <v>55388.7</v>
      </c>
      <c r="O568" s="226">
        <v>0</v>
      </c>
      <c r="P568" s="281">
        <f t="shared" si="167"/>
        <v>6000</v>
      </c>
      <c r="Q568" s="271">
        <f t="shared" si="168"/>
        <v>0</v>
      </c>
    </row>
    <row r="569" spans="1:17" x14ac:dyDescent="0.2">
      <c r="A569" s="202" t="s">
        <v>1640</v>
      </c>
      <c r="B569" s="202" t="s">
        <v>512</v>
      </c>
      <c r="C569" s="202" t="s">
        <v>531</v>
      </c>
      <c r="D569" s="202" t="s">
        <v>998</v>
      </c>
      <c r="E569" s="202"/>
      <c r="F569" s="265">
        <v>49388.7</v>
      </c>
      <c r="G569" s="265">
        <v>0</v>
      </c>
      <c r="H569" s="265">
        <f>H570+H575+H578+H585</f>
        <v>49388.7</v>
      </c>
      <c r="I569" s="265">
        <v>0</v>
      </c>
      <c r="J569" s="265">
        <f t="shared" si="165"/>
        <v>0</v>
      </c>
      <c r="K569" s="265">
        <f t="shared" si="166"/>
        <v>0</v>
      </c>
      <c r="L569" s="265">
        <v>49388.7</v>
      </c>
      <c r="M569" s="226">
        <v>0</v>
      </c>
      <c r="N569" s="265">
        <f>N570+N575+N578+N585</f>
        <v>55388.7</v>
      </c>
      <c r="O569" s="226">
        <v>0</v>
      </c>
      <c r="P569" s="265">
        <f t="shared" si="167"/>
        <v>6000</v>
      </c>
      <c r="Q569" s="271">
        <f t="shared" si="168"/>
        <v>0</v>
      </c>
    </row>
    <row r="570" spans="1:17" x14ac:dyDescent="0.2">
      <c r="A570" s="264" t="s">
        <v>1353</v>
      </c>
      <c r="B570" s="202" t="s">
        <v>512</v>
      </c>
      <c r="C570" s="202" t="s">
        <v>531</v>
      </c>
      <c r="D570" s="202" t="s">
        <v>997</v>
      </c>
      <c r="E570" s="202"/>
      <c r="F570" s="265">
        <v>16404.900000000001</v>
      </c>
      <c r="G570" s="265">
        <v>0</v>
      </c>
      <c r="H570" s="265">
        <v>16404.900000000001</v>
      </c>
      <c r="I570" s="265">
        <v>0</v>
      </c>
      <c r="J570" s="265">
        <f t="shared" si="165"/>
        <v>0</v>
      </c>
      <c r="K570" s="265">
        <f t="shared" si="166"/>
        <v>0</v>
      </c>
      <c r="L570" s="265">
        <v>16404.900000000001</v>
      </c>
      <c r="M570" s="226">
        <v>0</v>
      </c>
      <c r="N570" s="265">
        <v>16404.900000000001</v>
      </c>
      <c r="O570" s="226">
        <v>0</v>
      </c>
      <c r="P570" s="265">
        <f t="shared" si="167"/>
        <v>0</v>
      </c>
      <c r="Q570" s="271">
        <f t="shared" si="168"/>
        <v>0</v>
      </c>
    </row>
    <row r="571" spans="1:17" ht="33.75" x14ac:dyDescent="0.2">
      <c r="A571" s="264" t="s">
        <v>1348</v>
      </c>
      <c r="B571" s="202" t="s">
        <v>512</v>
      </c>
      <c r="C571" s="202" t="s">
        <v>531</v>
      </c>
      <c r="D571" s="202" t="s">
        <v>997</v>
      </c>
      <c r="E571" s="202" t="s">
        <v>556</v>
      </c>
      <c r="F571" s="265">
        <v>15908.9</v>
      </c>
      <c r="G571" s="265">
        <v>0</v>
      </c>
      <c r="H571" s="265">
        <v>15908.9</v>
      </c>
      <c r="I571" s="265">
        <v>0</v>
      </c>
      <c r="J571" s="265">
        <f t="shared" si="165"/>
        <v>0</v>
      </c>
      <c r="K571" s="265">
        <f t="shared" si="166"/>
        <v>0</v>
      </c>
      <c r="L571" s="265">
        <v>15908.9</v>
      </c>
      <c r="M571" s="226">
        <v>0</v>
      </c>
      <c r="N571" s="265">
        <v>15908.9</v>
      </c>
      <c r="O571" s="226">
        <v>0</v>
      </c>
      <c r="P571" s="265">
        <f t="shared" si="167"/>
        <v>0</v>
      </c>
      <c r="Q571" s="271">
        <f t="shared" si="168"/>
        <v>0</v>
      </c>
    </row>
    <row r="572" spans="1:17" x14ac:dyDescent="0.2">
      <c r="A572" s="264" t="s">
        <v>555</v>
      </c>
      <c r="B572" s="202" t="s">
        <v>512</v>
      </c>
      <c r="C572" s="202" t="s">
        <v>531</v>
      </c>
      <c r="D572" s="202" t="s">
        <v>997</v>
      </c>
      <c r="E572" s="202" t="s">
        <v>554</v>
      </c>
      <c r="F572" s="265">
        <v>15908.9</v>
      </c>
      <c r="G572" s="265">
        <v>0</v>
      </c>
      <c r="H572" s="265">
        <v>15908.9</v>
      </c>
      <c r="I572" s="265">
        <v>0</v>
      </c>
      <c r="J572" s="265">
        <f t="shared" si="165"/>
        <v>0</v>
      </c>
      <c r="K572" s="265">
        <f t="shared" si="166"/>
        <v>0</v>
      </c>
      <c r="L572" s="265">
        <v>15908.9</v>
      </c>
      <c r="M572" s="226">
        <v>0</v>
      </c>
      <c r="N572" s="265">
        <v>15908.9</v>
      </c>
      <c r="O572" s="226">
        <v>0</v>
      </c>
      <c r="P572" s="265">
        <f t="shared" si="167"/>
        <v>0</v>
      </c>
      <c r="Q572" s="271">
        <f t="shared" si="168"/>
        <v>0</v>
      </c>
    </row>
    <row r="573" spans="1:17" x14ac:dyDescent="0.2">
      <c r="A573" s="264" t="s">
        <v>1347</v>
      </c>
      <c r="B573" s="202" t="s">
        <v>512</v>
      </c>
      <c r="C573" s="202" t="s">
        <v>531</v>
      </c>
      <c r="D573" s="202" t="s">
        <v>997</v>
      </c>
      <c r="E573" s="202" t="s">
        <v>535</v>
      </c>
      <c r="F573" s="265">
        <v>496</v>
      </c>
      <c r="G573" s="265">
        <v>0</v>
      </c>
      <c r="H573" s="265">
        <v>496</v>
      </c>
      <c r="I573" s="265">
        <v>0</v>
      </c>
      <c r="J573" s="265">
        <f t="shared" si="165"/>
        <v>0</v>
      </c>
      <c r="K573" s="265">
        <f t="shared" si="166"/>
        <v>0</v>
      </c>
      <c r="L573" s="265">
        <v>496</v>
      </c>
      <c r="M573" s="226">
        <v>0</v>
      </c>
      <c r="N573" s="265">
        <v>496</v>
      </c>
      <c r="O573" s="226">
        <v>0</v>
      </c>
      <c r="P573" s="265">
        <f t="shared" si="167"/>
        <v>0</v>
      </c>
      <c r="Q573" s="271">
        <f t="shared" si="168"/>
        <v>0</v>
      </c>
    </row>
    <row r="574" spans="1:17" x14ac:dyDescent="0.2">
      <c r="A574" s="264" t="s">
        <v>534</v>
      </c>
      <c r="B574" s="202" t="s">
        <v>512</v>
      </c>
      <c r="C574" s="202" t="s">
        <v>531</v>
      </c>
      <c r="D574" s="202" t="s">
        <v>997</v>
      </c>
      <c r="E574" s="202" t="s">
        <v>529</v>
      </c>
      <c r="F574" s="265">
        <v>496</v>
      </c>
      <c r="G574" s="265">
        <v>0</v>
      </c>
      <c r="H574" s="265">
        <v>496</v>
      </c>
      <c r="I574" s="265">
        <v>0</v>
      </c>
      <c r="J574" s="265">
        <f t="shared" si="165"/>
        <v>0</v>
      </c>
      <c r="K574" s="265">
        <f t="shared" si="166"/>
        <v>0</v>
      </c>
      <c r="L574" s="265">
        <v>496</v>
      </c>
      <c r="M574" s="226">
        <v>0</v>
      </c>
      <c r="N574" s="265">
        <v>496</v>
      </c>
      <c r="O574" s="226">
        <v>0</v>
      </c>
      <c r="P574" s="265">
        <f t="shared" si="167"/>
        <v>0</v>
      </c>
      <c r="Q574" s="271">
        <f t="shared" si="168"/>
        <v>0</v>
      </c>
    </row>
    <row r="575" spans="1:17" x14ac:dyDescent="0.2">
      <c r="A575" s="264" t="s">
        <v>1354</v>
      </c>
      <c r="B575" s="202" t="s">
        <v>512</v>
      </c>
      <c r="C575" s="202" t="s">
        <v>531</v>
      </c>
      <c r="D575" s="202" t="s">
        <v>996</v>
      </c>
      <c r="E575" s="202"/>
      <c r="F575" s="265">
        <v>4000</v>
      </c>
      <c r="G575" s="265">
        <v>0</v>
      </c>
      <c r="H575" s="265">
        <v>4000</v>
      </c>
      <c r="I575" s="265">
        <v>0</v>
      </c>
      <c r="J575" s="265">
        <f t="shared" si="165"/>
        <v>0</v>
      </c>
      <c r="K575" s="265">
        <f t="shared" si="166"/>
        <v>0</v>
      </c>
      <c r="L575" s="265">
        <v>4000</v>
      </c>
      <c r="M575" s="226">
        <v>0</v>
      </c>
      <c r="N575" s="265">
        <v>4000</v>
      </c>
      <c r="O575" s="226">
        <v>0</v>
      </c>
      <c r="P575" s="265">
        <f t="shared" si="167"/>
        <v>0</v>
      </c>
      <c r="Q575" s="271">
        <f t="shared" si="168"/>
        <v>0</v>
      </c>
    </row>
    <row r="576" spans="1:17" x14ac:dyDescent="0.2">
      <c r="A576" s="264" t="s">
        <v>1347</v>
      </c>
      <c r="B576" s="202" t="s">
        <v>512</v>
      </c>
      <c r="C576" s="202" t="s">
        <v>531</v>
      </c>
      <c r="D576" s="202" t="s">
        <v>996</v>
      </c>
      <c r="E576" s="202" t="s">
        <v>535</v>
      </c>
      <c r="F576" s="265">
        <v>4000</v>
      </c>
      <c r="G576" s="265">
        <v>0</v>
      </c>
      <c r="H576" s="265">
        <v>4000</v>
      </c>
      <c r="I576" s="265">
        <v>0</v>
      </c>
      <c r="J576" s="265">
        <f t="shared" si="165"/>
        <v>0</v>
      </c>
      <c r="K576" s="265">
        <f t="shared" si="166"/>
        <v>0</v>
      </c>
      <c r="L576" s="265">
        <v>4000</v>
      </c>
      <c r="M576" s="226">
        <v>0</v>
      </c>
      <c r="N576" s="265">
        <v>4000</v>
      </c>
      <c r="O576" s="226">
        <v>0</v>
      </c>
      <c r="P576" s="265">
        <f t="shared" si="167"/>
        <v>0</v>
      </c>
      <c r="Q576" s="271">
        <f t="shared" si="168"/>
        <v>0</v>
      </c>
    </row>
    <row r="577" spans="1:17" x14ac:dyDescent="0.2">
      <c r="A577" s="264" t="s">
        <v>534</v>
      </c>
      <c r="B577" s="202" t="s">
        <v>512</v>
      </c>
      <c r="C577" s="202" t="s">
        <v>531</v>
      </c>
      <c r="D577" s="202" t="s">
        <v>996</v>
      </c>
      <c r="E577" s="202" t="s">
        <v>529</v>
      </c>
      <c r="F577" s="265">
        <v>4000</v>
      </c>
      <c r="G577" s="265">
        <v>0</v>
      </c>
      <c r="H577" s="265">
        <v>4000</v>
      </c>
      <c r="I577" s="265">
        <v>0</v>
      </c>
      <c r="J577" s="265">
        <f t="shared" si="165"/>
        <v>0</v>
      </c>
      <c r="K577" s="265">
        <f t="shared" si="166"/>
        <v>0</v>
      </c>
      <c r="L577" s="265">
        <v>4000</v>
      </c>
      <c r="M577" s="226">
        <v>0</v>
      </c>
      <c r="N577" s="265">
        <v>4000</v>
      </c>
      <c r="O577" s="226">
        <v>0</v>
      </c>
      <c r="P577" s="265">
        <f t="shared" si="167"/>
        <v>0</v>
      </c>
      <c r="Q577" s="271">
        <f t="shared" si="168"/>
        <v>0</v>
      </c>
    </row>
    <row r="578" spans="1:17" x14ac:dyDescent="0.2">
      <c r="A578" s="264" t="s">
        <v>1354</v>
      </c>
      <c r="B578" s="202" t="s">
        <v>512</v>
      </c>
      <c r="C578" s="202" t="s">
        <v>531</v>
      </c>
      <c r="D578" s="202" t="s">
        <v>995</v>
      </c>
      <c r="E578" s="202"/>
      <c r="F578" s="265">
        <v>28983.8</v>
      </c>
      <c r="G578" s="265">
        <v>0</v>
      </c>
      <c r="H578" s="265">
        <v>28983.8</v>
      </c>
      <c r="I578" s="265">
        <v>0</v>
      </c>
      <c r="J578" s="265">
        <f t="shared" si="165"/>
        <v>0</v>
      </c>
      <c r="K578" s="265">
        <f t="shared" si="166"/>
        <v>0</v>
      </c>
      <c r="L578" s="265">
        <v>28983.8</v>
      </c>
      <c r="M578" s="226">
        <v>0</v>
      </c>
      <c r="N578" s="265">
        <v>28983.8</v>
      </c>
      <c r="O578" s="226">
        <v>0</v>
      </c>
      <c r="P578" s="265">
        <f t="shared" si="167"/>
        <v>0</v>
      </c>
      <c r="Q578" s="271">
        <f t="shared" si="168"/>
        <v>0</v>
      </c>
    </row>
    <row r="579" spans="1:17" ht="33.75" x14ac:dyDescent="0.2">
      <c r="A579" s="264" t="s">
        <v>1348</v>
      </c>
      <c r="B579" s="202" t="s">
        <v>512</v>
      </c>
      <c r="C579" s="202" t="s">
        <v>531</v>
      </c>
      <c r="D579" s="202" t="s">
        <v>995</v>
      </c>
      <c r="E579" s="202" t="s">
        <v>556</v>
      </c>
      <c r="F579" s="265">
        <v>23864.9</v>
      </c>
      <c r="G579" s="265">
        <v>0</v>
      </c>
      <c r="H579" s="265">
        <v>23864.9</v>
      </c>
      <c r="I579" s="265">
        <v>0</v>
      </c>
      <c r="J579" s="265">
        <f t="shared" si="165"/>
        <v>0</v>
      </c>
      <c r="K579" s="265">
        <f t="shared" si="166"/>
        <v>0</v>
      </c>
      <c r="L579" s="265">
        <v>23864.9</v>
      </c>
      <c r="M579" s="226">
        <v>0</v>
      </c>
      <c r="N579" s="265">
        <v>23864.9</v>
      </c>
      <c r="O579" s="226">
        <v>0</v>
      </c>
      <c r="P579" s="265">
        <f t="shared" si="167"/>
        <v>0</v>
      </c>
      <c r="Q579" s="271">
        <f t="shared" si="168"/>
        <v>0</v>
      </c>
    </row>
    <row r="580" spans="1:17" x14ac:dyDescent="0.2">
      <c r="A580" s="264" t="s">
        <v>555</v>
      </c>
      <c r="B580" s="202" t="s">
        <v>512</v>
      </c>
      <c r="C580" s="202" t="s">
        <v>531</v>
      </c>
      <c r="D580" s="202" t="s">
        <v>995</v>
      </c>
      <c r="E580" s="202" t="s">
        <v>554</v>
      </c>
      <c r="F580" s="265">
        <v>23864.9</v>
      </c>
      <c r="G580" s="265">
        <v>0</v>
      </c>
      <c r="H580" s="265">
        <v>23864.9</v>
      </c>
      <c r="I580" s="265">
        <v>0</v>
      </c>
      <c r="J580" s="265">
        <f t="shared" si="165"/>
        <v>0</v>
      </c>
      <c r="K580" s="265">
        <f t="shared" si="166"/>
        <v>0</v>
      </c>
      <c r="L580" s="265">
        <v>23864.9</v>
      </c>
      <c r="M580" s="226">
        <v>0</v>
      </c>
      <c r="N580" s="265">
        <v>23864.9</v>
      </c>
      <c r="O580" s="226">
        <v>0</v>
      </c>
      <c r="P580" s="265">
        <f t="shared" si="167"/>
        <v>0</v>
      </c>
      <c r="Q580" s="271">
        <f t="shared" si="168"/>
        <v>0</v>
      </c>
    </row>
    <row r="581" spans="1:17" x14ac:dyDescent="0.2">
      <c r="A581" s="264" t="s">
        <v>1347</v>
      </c>
      <c r="B581" s="202" t="s">
        <v>512</v>
      </c>
      <c r="C581" s="202" t="s">
        <v>531</v>
      </c>
      <c r="D581" s="202" t="s">
        <v>995</v>
      </c>
      <c r="E581" s="202" t="s">
        <v>535</v>
      </c>
      <c r="F581" s="265">
        <v>4987.7</v>
      </c>
      <c r="G581" s="265">
        <v>0</v>
      </c>
      <c r="H581" s="265">
        <v>4987.7</v>
      </c>
      <c r="I581" s="265">
        <v>0</v>
      </c>
      <c r="J581" s="265">
        <f t="shared" si="165"/>
        <v>0</v>
      </c>
      <c r="K581" s="265">
        <f t="shared" si="166"/>
        <v>0</v>
      </c>
      <c r="L581" s="265">
        <v>4987.7</v>
      </c>
      <c r="M581" s="226">
        <v>0</v>
      </c>
      <c r="N581" s="265">
        <v>4987.7</v>
      </c>
      <c r="O581" s="226">
        <v>0</v>
      </c>
      <c r="P581" s="265">
        <f t="shared" si="167"/>
        <v>0</v>
      </c>
      <c r="Q581" s="271">
        <f t="shared" si="168"/>
        <v>0</v>
      </c>
    </row>
    <row r="582" spans="1:17" x14ac:dyDescent="0.2">
      <c r="A582" s="264" t="s">
        <v>534</v>
      </c>
      <c r="B582" s="202" t="s">
        <v>512</v>
      </c>
      <c r="C582" s="202" t="s">
        <v>531</v>
      </c>
      <c r="D582" s="202" t="s">
        <v>995</v>
      </c>
      <c r="E582" s="202" t="s">
        <v>529</v>
      </c>
      <c r="F582" s="265">
        <v>4987.7</v>
      </c>
      <c r="G582" s="265">
        <v>0</v>
      </c>
      <c r="H582" s="265">
        <v>4987.7</v>
      </c>
      <c r="I582" s="265">
        <v>0</v>
      </c>
      <c r="J582" s="265">
        <f t="shared" si="165"/>
        <v>0</v>
      </c>
      <c r="K582" s="265">
        <f t="shared" si="166"/>
        <v>0</v>
      </c>
      <c r="L582" s="265">
        <v>4987.7</v>
      </c>
      <c r="M582" s="226">
        <v>0</v>
      </c>
      <c r="N582" s="265">
        <v>4987.7</v>
      </c>
      <c r="O582" s="226">
        <v>0</v>
      </c>
      <c r="P582" s="265">
        <f t="shared" si="167"/>
        <v>0</v>
      </c>
      <c r="Q582" s="271">
        <f t="shared" si="168"/>
        <v>0</v>
      </c>
    </row>
    <row r="583" spans="1:17" x14ac:dyDescent="0.2">
      <c r="A583" s="264" t="s">
        <v>615</v>
      </c>
      <c r="B583" s="202" t="s">
        <v>512</v>
      </c>
      <c r="C583" s="202" t="s">
        <v>531</v>
      </c>
      <c r="D583" s="202" t="s">
        <v>995</v>
      </c>
      <c r="E583" s="202" t="s">
        <v>509</v>
      </c>
      <c r="F583" s="265">
        <v>131.19999999999999</v>
      </c>
      <c r="G583" s="265">
        <v>0</v>
      </c>
      <c r="H583" s="265">
        <v>131.19999999999999</v>
      </c>
      <c r="I583" s="265">
        <v>0</v>
      </c>
      <c r="J583" s="265">
        <f t="shared" si="165"/>
        <v>0</v>
      </c>
      <c r="K583" s="265">
        <f t="shared" si="166"/>
        <v>0</v>
      </c>
      <c r="L583" s="265">
        <v>131.19999999999999</v>
      </c>
      <c r="M583" s="226">
        <v>0</v>
      </c>
      <c r="N583" s="265">
        <v>131.19999999999999</v>
      </c>
      <c r="O583" s="226">
        <v>0</v>
      </c>
      <c r="P583" s="265">
        <f t="shared" si="167"/>
        <v>0</v>
      </c>
      <c r="Q583" s="271">
        <f t="shared" si="168"/>
        <v>0</v>
      </c>
    </row>
    <row r="584" spans="1:17" x14ac:dyDescent="0.2">
      <c r="A584" s="264" t="s">
        <v>614</v>
      </c>
      <c r="B584" s="202" t="s">
        <v>512</v>
      </c>
      <c r="C584" s="202" t="s">
        <v>531</v>
      </c>
      <c r="D584" s="202" t="s">
        <v>995</v>
      </c>
      <c r="E584" s="202" t="s">
        <v>613</v>
      </c>
      <c r="F584" s="265">
        <v>131.19999999999999</v>
      </c>
      <c r="G584" s="265">
        <v>0</v>
      </c>
      <c r="H584" s="265">
        <v>131.19999999999999</v>
      </c>
      <c r="I584" s="265">
        <v>0</v>
      </c>
      <c r="J584" s="265">
        <f t="shared" si="165"/>
        <v>0</v>
      </c>
      <c r="K584" s="265">
        <f t="shared" si="166"/>
        <v>0</v>
      </c>
      <c r="L584" s="265">
        <v>131.19999999999999</v>
      </c>
      <c r="M584" s="226">
        <v>0</v>
      </c>
      <c r="N584" s="265">
        <v>131.19999999999999</v>
      </c>
      <c r="O584" s="226">
        <v>0</v>
      </c>
      <c r="P584" s="265">
        <f t="shared" si="167"/>
        <v>0</v>
      </c>
      <c r="Q584" s="271">
        <f t="shared" si="168"/>
        <v>0</v>
      </c>
    </row>
    <row r="585" spans="1:17" s="430" customFormat="1" ht="22.5" x14ac:dyDescent="0.2">
      <c r="A585" s="264" t="s">
        <v>1625</v>
      </c>
      <c r="B585" s="202" t="s">
        <v>512</v>
      </c>
      <c r="C585" s="202" t="s">
        <v>531</v>
      </c>
      <c r="D585" s="202" t="s">
        <v>1626</v>
      </c>
      <c r="E585" s="202"/>
      <c r="F585" s="265">
        <f>F586</f>
        <v>0</v>
      </c>
      <c r="G585" s="265">
        <f t="shared" ref="G585:I586" si="175">G586</f>
        <v>0</v>
      </c>
      <c r="H585" s="265">
        <f t="shared" si="175"/>
        <v>0</v>
      </c>
      <c r="I585" s="265">
        <f t="shared" si="175"/>
        <v>0</v>
      </c>
      <c r="J585" s="265">
        <f t="shared" ref="J585:J587" si="176">H585-F585</f>
        <v>0</v>
      </c>
      <c r="K585" s="265">
        <f t="shared" ref="K585:K587" si="177">I585-G585</f>
        <v>0</v>
      </c>
      <c r="L585" s="265">
        <f>L586</f>
        <v>0</v>
      </c>
      <c r="M585" s="226">
        <f t="shared" ref="M585:O586" si="178">M586</f>
        <v>0</v>
      </c>
      <c r="N585" s="265">
        <f t="shared" si="178"/>
        <v>6000</v>
      </c>
      <c r="O585" s="226">
        <f t="shared" si="178"/>
        <v>0</v>
      </c>
      <c r="P585" s="265">
        <f t="shared" ref="P585:P587" si="179">N585-L585</f>
        <v>6000</v>
      </c>
      <c r="Q585" s="271">
        <f t="shared" ref="Q585:Q587" si="180">O585-M585</f>
        <v>0</v>
      </c>
    </row>
    <row r="586" spans="1:17" s="430" customFormat="1" x14ac:dyDescent="0.2">
      <c r="A586" s="264" t="s">
        <v>1347</v>
      </c>
      <c r="B586" s="202" t="s">
        <v>512</v>
      </c>
      <c r="C586" s="202" t="s">
        <v>531</v>
      </c>
      <c r="D586" s="202" t="s">
        <v>1626</v>
      </c>
      <c r="E586" s="202" t="s">
        <v>535</v>
      </c>
      <c r="F586" s="265">
        <f>F587</f>
        <v>0</v>
      </c>
      <c r="G586" s="265">
        <f t="shared" si="175"/>
        <v>0</v>
      </c>
      <c r="H586" s="265">
        <f t="shared" si="175"/>
        <v>0</v>
      </c>
      <c r="I586" s="265">
        <f t="shared" si="175"/>
        <v>0</v>
      </c>
      <c r="J586" s="265">
        <f t="shared" si="176"/>
        <v>0</v>
      </c>
      <c r="K586" s="265">
        <f t="shared" si="177"/>
        <v>0</v>
      </c>
      <c r="L586" s="265">
        <f>L587</f>
        <v>0</v>
      </c>
      <c r="M586" s="226">
        <f t="shared" si="178"/>
        <v>0</v>
      </c>
      <c r="N586" s="265">
        <f t="shared" si="178"/>
        <v>6000</v>
      </c>
      <c r="O586" s="226">
        <f t="shared" si="178"/>
        <v>0</v>
      </c>
      <c r="P586" s="265">
        <f t="shared" si="179"/>
        <v>6000</v>
      </c>
      <c r="Q586" s="271">
        <f t="shared" si="180"/>
        <v>0</v>
      </c>
    </row>
    <row r="587" spans="1:17" s="430" customFormat="1" x14ac:dyDescent="0.2">
      <c r="A587" s="264" t="s">
        <v>534</v>
      </c>
      <c r="B587" s="202" t="s">
        <v>512</v>
      </c>
      <c r="C587" s="202" t="s">
        <v>531</v>
      </c>
      <c r="D587" s="202" t="s">
        <v>1626</v>
      </c>
      <c r="E587" s="202" t="s">
        <v>529</v>
      </c>
      <c r="F587" s="265">
        <v>0</v>
      </c>
      <c r="G587" s="265">
        <v>0</v>
      </c>
      <c r="H587" s="265">
        <v>0</v>
      </c>
      <c r="I587" s="265">
        <v>0</v>
      </c>
      <c r="J587" s="265">
        <f t="shared" si="176"/>
        <v>0</v>
      </c>
      <c r="K587" s="265">
        <f t="shared" si="177"/>
        <v>0</v>
      </c>
      <c r="L587" s="265">
        <v>0</v>
      </c>
      <c r="M587" s="226">
        <v>0</v>
      </c>
      <c r="N587" s="265">
        <f>'Ведомственная 2021-2022'!K528</f>
        <v>6000</v>
      </c>
      <c r="O587" s="226">
        <v>0</v>
      </c>
      <c r="P587" s="265">
        <f t="shared" si="179"/>
        <v>6000</v>
      </c>
      <c r="Q587" s="271">
        <f t="shared" si="180"/>
        <v>0</v>
      </c>
    </row>
    <row r="588" spans="1:17" x14ac:dyDescent="0.2">
      <c r="A588" s="264" t="s">
        <v>994</v>
      </c>
      <c r="B588" s="202" t="s">
        <v>512</v>
      </c>
      <c r="C588" s="202" t="s">
        <v>531</v>
      </c>
      <c r="D588" s="202" t="s">
        <v>993</v>
      </c>
      <c r="E588" s="202"/>
      <c r="F588" s="265">
        <v>3000</v>
      </c>
      <c r="G588" s="265">
        <v>0</v>
      </c>
      <c r="H588" s="265">
        <v>3000</v>
      </c>
      <c r="I588" s="265">
        <v>0</v>
      </c>
      <c r="J588" s="265">
        <f t="shared" si="165"/>
        <v>0</v>
      </c>
      <c r="K588" s="265">
        <f t="shared" si="166"/>
        <v>0</v>
      </c>
      <c r="L588" s="265">
        <v>3000</v>
      </c>
      <c r="M588" s="226">
        <v>0</v>
      </c>
      <c r="N588" s="265">
        <v>3000</v>
      </c>
      <c r="O588" s="226">
        <v>0</v>
      </c>
      <c r="P588" s="265">
        <f t="shared" si="167"/>
        <v>0</v>
      </c>
      <c r="Q588" s="271">
        <f t="shared" si="168"/>
        <v>0</v>
      </c>
    </row>
    <row r="589" spans="1:17" x14ac:dyDescent="0.2">
      <c r="A589" s="264" t="s">
        <v>992</v>
      </c>
      <c r="B589" s="202" t="s">
        <v>512</v>
      </c>
      <c r="C589" s="202" t="s">
        <v>531</v>
      </c>
      <c r="D589" s="202" t="s">
        <v>991</v>
      </c>
      <c r="E589" s="202"/>
      <c r="F589" s="265">
        <v>3000</v>
      </c>
      <c r="G589" s="265">
        <v>0</v>
      </c>
      <c r="H589" s="265">
        <v>3000</v>
      </c>
      <c r="I589" s="265">
        <v>0</v>
      </c>
      <c r="J589" s="265">
        <f t="shared" si="165"/>
        <v>0</v>
      </c>
      <c r="K589" s="265">
        <f t="shared" si="166"/>
        <v>0</v>
      </c>
      <c r="L589" s="265">
        <v>3000</v>
      </c>
      <c r="M589" s="226">
        <v>0</v>
      </c>
      <c r="N589" s="265">
        <v>3000</v>
      </c>
      <c r="O589" s="226">
        <v>0</v>
      </c>
      <c r="P589" s="265">
        <f t="shared" si="167"/>
        <v>0</v>
      </c>
      <c r="Q589" s="271">
        <f t="shared" si="168"/>
        <v>0</v>
      </c>
    </row>
    <row r="590" spans="1:17" ht="22.5" x14ac:dyDescent="0.2">
      <c r="A590" s="264" t="s">
        <v>990</v>
      </c>
      <c r="B590" s="202" t="s">
        <v>512</v>
      </c>
      <c r="C590" s="202" t="s">
        <v>531</v>
      </c>
      <c r="D590" s="202" t="s">
        <v>989</v>
      </c>
      <c r="E590" s="202"/>
      <c r="F590" s="265">
        <v>3000</v>
      </c>
      <c r="G590" s="265">
        <v>0</v>
      </c>
      <c r="H590" s="265">
        <v>3000</v>
      </c>
      <c r="I590" s="265">
        <v>0</v>
      </c>
      <c r="J590" s="265">
        <f t="shared" si="165"/>
        <v>0</v>
      </c>
      <c r="K590" s="265">
        <f t="shared" si="166"/>
        <v>0</v>
      </c>
      <c r="L590" s="265">
        <v>3000</v>
      </c>
      <c r="M590" s="226">
        <v>0</v>
      </c>
      <c r="N590" s="265">
        <v>3000</v>
      </c>
      <c r="O590" s="226">
        <v>0</v>
      </c>
      <c r="P590" s="265">
        <f t="shared" si="167"/>
        <v>0</v>
      </c>
      <c r="Q590" s="271">
        <f t="shared" si="168"/>
        <v>0</v>
      </c>
    </row>
    <row r="591" spans="1:17" ht="22.5" x14ac:dyDescent="0.2">
      <c r="A591" s="264" t="s">
        <v>988</v>
      </c>
      <c r="B591" s="202" t="s">
        <v>512</v>
      </c>
      <c r="C591" s="202" t="s">
        <v>531</v>
      </c>
      <c r="D591" s="202" t="s">
        <v>987</v>
      </c>
      <c r="E591" s="202"/>
      <c r="F591" s="265">
        <v>3000</v>
      </c>
      <c r="G591" s="265">
        <v>0</v>
      </c>
      <c r="H591" s="265">
        <v>3000</v>
      </c>
      <c r="I591" s="265">
        <v>0</v>
      </c>
      <c r="J591" s="265">
        <f t="shared" si="165"/>
        <v>0</v>
      </c>
      <c r="K591" s="265">
        <f t="shared" si="166"/>
        <v>0</v>
      </c>
      <c r="L591" s="265">
        <v>3000</v>
      </c>
      <c r="M591" s="226">
        <v>0</v>
      </c>
      <c r="N591" s="265">
        <v>3000</v>
      </c>
      <c r="O591" s="226">
        <v>0</v>
      </c>
      <c r="P591" s="265">
        <f t="shared" si="167"/>
        <v>0</v>
      </c>
      <c r="Q591" s="271">
        <f t="shared" si="168"/>
        <v>0</v>
      </c>
    </row>
    <row r="592" spans="1:17" x14ac:dyDescent="0.2">
      <c r="A592" s="264" t="s">
        <v>1347</v>
      </c>
      <c r="B592" s="202" t="s">
        <v>512</v>
      </c>
      <c r="C592" s="202" t="s">
        <v>531</v>
      </c>
      <c r="D592" s="202" t="s">
        <v>987</v>
      </c>
      <c r="E592" s="202" t="s">
        <v>535</v>
      </c>
      <c r="F592" s="265">
        <v>3000</v>
      </c>
      <c r="G592" s="265">
        <v>0</v>
      </c>
      <c r="H592" s="265">
        <v>3000</v>
      </c>
      <c r="I592" s="265">
        <v>0</v>
      </c>
      <c r="J592" s="265">
        <f t="shared" si="165"/>
        <v>0</v>
      </c>
      <c r="K592" s="265">
        <f t="shared" si="166"/>
        <v>0</v>
      </c>
      <c r="L592" s="265">
        <v>3000</v>
      </c>
      <c r="M592" s="226">
        <v>0</v>
      </c>
      <c r="N592" s="265">
        <v>3000</v>
      </c>
      <c r="O592" s="226">
        <v>0</v>
      </c>
      <c r="P592" s="265">
        <f t="shared" si="167"/>
        <v>0</v>
      </c>
      <c r="Q592" s="271">
        <f t="shared" si="168"/>
        <v>0</v>
      </c>
    </row>
    <row r="593" spans="1:17" x14ac:dyDescent="0.2">
      <c r="A593" s="264" t="s">
        <v>534</v>
      </c>
      <c r="B593" s="202" t="s">
        <v>512</v>
      </c>
      <c r="C593" s="202" t="s">
        <v>531</v>
      </c>
      <c r="D593" s="202" t="s">
        <v>987</v>
      </c>
      <c r="E593" s="202" t="s">
        <v>529</v>
      </c>
      <c r="F593" s="265">
        <v>3000</v>
      </c>
      <c r="G593" s="265">
        <v>0</v>
      </c>
      <c r="H593" s="265">
        <v>3000</v>
      </c>
      <c r="I593" s="265">
        <v>0</v>
      </c>
      <c r="J593" s="265">
        <f t="shared" si="165"/>
        <v>0</v>
      </c>
      <c r="K593" s="265">
        <f t="shared" si="166"/>
        <v>0</v>
      </c>
      <c r="L593" s="265">
        <v>3000</v>
      </c>
      <c r="M593" s="226">
        <v>0</v>
      </c>
      <c r="N593" s="265">
        <v>3000</v>
      </c>
      <c r="O593" s="226">
        <v>0</v>
      </c>
      <c r="P593" s="265">
        <f t="shared" si="167"/>
        <v>0</v>
      </c>
      <c r="Q593" s="271">
        <f t="shared" si="168"/>
        <v>0</v>
      </c>
    </row>
    <row r="594" spans="1:17" x14ac:dyDescent="0.2">
      <c r="A594" s="264" t="s">
        <v>986</v>
      </c>
      <c r="B594" s="202" t="s">
        <v>512</v>
      </c>
      <c r="C594" s="202" t="s">
        <v>531</v>
      </c>
      <c r="D594" s="202" t="s">
        <v>985</v>
      </c>
      <c r="E594" s="202"/>
      <c r="F594" s="265">
        <v>900242.7</v>
      </c>
      <c r="G594" s="265">
        <v>0</v>
      </c>
      <c r="H594" s="265">
        <f>H595+H628</f>
        <v>900242.7</v>
      </c>
      <c r="I594" s="265">
        <v>0</v>
      </c>
      <c r="J594" s="281">
        <f t="shared" si="165"/>
        <v>0</v>
      </c>
      <c r="K594" s="265">
        <f t="shared" si="166"/>
        <v>0</v>
      </c>
      <c r="L594" s="265">
        <v>933906.09999999986</v>
      </c>
      <c r="M594" s="226">
        <v>0</v>
      </c>
      <c r="N594" s="265">
        <f>N595+N628</f>
        <v>925180.59999999986</v>
      </c>
      <c r="O594" s="226">
        <v>0</v>
      </c>
      <c r="P594" s="281">
        <f t="shared" si="167"/>
        <v>-8725.5</v>
      </c>
      <c r="Q594" s="271">
        <f t="shared" si="168"/>
        <v>0</v>
      </c>
    </row>
    <row r="595" spans="1:17" x14ac:dyDescent="0.2">
      <c r="A595" s="264" t="s">
        <v>984</v>
      </c>
      <c r="B595" s="202" t="s">
        <v>512</v>
      </c>
      <c r="C595" s="202" t="s">
        <v>531</v>
      </c>
      <c r="D595" s="202" t="s">
        <v>983</v>
      </c>
      <c r="E595" s="202"/>
      <c r="F595" s="265">
        <v>351638.9</v>
      </c>
      <c r="G595" s="265">
        <v>0</v>
      </c>
      <c r="H595" s="265">
        <f>H596+H612</f>
        <v>351638.9</v>
      </c>
      <c r="I595" s="265">
        <v>0</v>
      </c>
      <c r="J595" s="281">
        <f t="shared" si="165"/>
        <v>0</v>
      </c>
      <c r="K595" s="265">
        <f t="shared" si="166"/>
        <v>0</v>
      </c>
      <c r="L595" s="265">
        <v>385302.3</v>
      </c>
      <c r="M595" s="226">
        <v>0</v>
      </c>
      <c r="N595" s="265">
        <f>N596+N612</f>
        <v>376576.8</v>
      </c>
      <c r="O595" s="226">
        <v>0</v>
      </c>
      <c r="P595" s="281">
        <f t="shared" si="167"/>
        <v>-8725.5</v>
      </c>
      <c r="Q595" s="271">
        <f t="shared" si="168"/>
        <v>0</v>
      </c>
    </row>
    <row r="596" spans="1:17" ht="22.5" x14ac:dyDescent="0.2">
      <c r="A596" s="264" t="s">
        <v>982</v>
      </c>
      <c r="B596" s="202" t="s">
        <v>512</v>
      </c>
      <c r="C596" s="202" t="s">
        <v>531</v>
      </c>
      <c r="D596" s="202" t="s">
        <v>981</v>
      </c>
      <c r="E596" s="202"/>
      <c r="F596" s="265">
        <v>111341</v>
      </c>
      <c r="G596" s="265">
        <v>0</v>
      </c>
      <c r="H596" s="265">
        <f>H603+H609+H606+H597+H600</f>
        <v>111341</v>
      </c>
      <c r="I596" s="265">
        <f>I603+I609+I606+I597+I600</f>
        <v>0</v>
      </c>
      <c r="J596" s="281">
        <f t="shared" si="165"/>
        <v>0</v>
      </c>
      <c r="K596" s="265">
        <f t="shared" si="166"/>
        <v>0</v>
      </c>
      <c r="L596" s="265">
        <f t="shared" ref="L596:O596" si="181">L603+L609+L606+L597+L600</f>
        <v>111341</v>
      </c>
      <c r="M596" s="226">
        <f t="shared" si="181"/>
        <v>0</v>
      </c>
      <c r="N596" s="265">
        <f t="shared" si="181"/>
        <v>111341</v>
      </c>
      <c r="O596" s="226">
        <f t="shared" si="181"/>
        <v>0</v>
      </c>
      <c r="P596" s="281">
        <f t="shared" si="167"/>
        <v>0</v>
      </c>
      <c r="Q596" s="271">
        <f t="shared" si="168"/>
        <v>0</v>
      </c>
    </row>
    <row r="597" spans="1:17" s="442" customFormat="1" x14ac:dyDescent="0.2">
      <c r="A597" s="202" t="s">
        <v>1652</v>
      </c>
      <c r="B597" s="202" t="s">
        <v>512</v>
      </c>
      <c r="C597" s="202" t="s">
        <v>531</v>
      </c>
      <c r="D597" s="202" t="s">
        <v>1653</v>
      </c>
      <c r="E597" s="202"/>
      <c r="F597" s="265">
        <f>F598</f>
        <v>0</v>
      </c>
      <c r="G597" s="265">
        <f t="shared" ref="G597:H598" si="182">G598</f>
        <v>0</v>
      </c>
      <c r="H597" s="265">
        <f t="shared" si="182"/>
        <v>500</v>
      </c>
      <c r="I597" s="265">
        <f t="shared" ref="I597:I602" si="183">I604+I610+I607</f>
        <v>0</v>
      </c>
      <c r="J597" s="281">
        <f t="shared" ref="J597:J602" si="184">H597-F597</f>
        <v>500</v>
      </c>
      <c r="K597" s="265">
        <f t="shared" ref="K597:O598" si="185">K598</f>
        <v>0</v>
      </c>
      <c r="L597" s="265">
        <f t="shared" si="185"/>
        <v>0</v>
      </c>
      <c r="M597" s="226">
        <f t="shared" si="185"/>
        <v>0</v>
      </c>
      <c r="N597" s="265">
        <f t="shared" si="185"/>
        <v>500</v>
      </c>
      <c r="O597" s="226">
        <f t="shared" si="185"/>
        <v>0</v>
      </c>
      <c r="P597" s="281">
        <f t="shared" ref="P597:P602" si="186">N597-L597</f>
        <v>500</v>
      </c>
      <c r="Q597" s="271">
        <f t="shared" ref="Q597:Q602" si="187">O597-M597</f>
        <v>0</v>
      </c>
    </row>
    <row r="598" spans="1:17" s="442" customFormat="1" x14ac:dyDescent="0.2">
      <c r="A598" s="202" t="s">
        <v>1347</v>
      </c>
      <c r="B598" s="202" t="s">
        <v>512</v>
      </c>
      <c r="C598" s="202" t="s">
        <v>531</v>
      </c>
      <c r="D598" s="202" t="s">
        <v>1653</v>
      </c>
      <c r="E598" s="202" t="s">
        <v>535</v>
      </c>
      <c r="F598" s="265">
        <f>F599</f>
        <v>0</v>
      </c>
      <c r="G598" s="265">
        <f t="shared" si="182"/>
        <v>0</v>
      </c>
      <c r="H598" s="265">
        <f t="shared" si="182"/>
        <v>500</v>
      </c>
      <c r="I598" s="265">
        <f t="shared" si="183"/>
        <v>0</v>
      </c>
      <c r="J598" s="281">
        <f t="shared" si="184"/>
        <v>500</v>
      </c>
      <c r="K598" s="265">
        <f t="shared" si="185"/>
        <v>0</v>
      </c>
      <c r="L598" s="265">
        <f t="shared" si="185"/>
        <v>0</v>
      </c>
      <c r="M598" s="226">
        <f t="shared" si="185"/>
        <v>0</v>
      </c>
      <c r="N598" s="265">
        <f t="shared" si="185"/>
        <v>500</v>
      </c>
      <c r="O598" s="226">
        <f t="shared" si="185"/>
        <v>0</v>
      </c>
      <c r="P598" s="281">
        <f t="shared" si="186"/>
        <v>500</v>
      </c>
      <c r="Q598" s="271">
        <f t="shared" si="187"/>
        <v>0</v>
      </c>
    </row>
    <row r="599" spans="1:17" s="442" customFormat="1" x14ac:dyDescent="0.2">
      <c r="A599" s="202" t="s">
        <v>534</v>
      </c>
      <c r="B599" s="202" t="s">
        <v>512</v>
      </c>
      <c r="C599" s="202" t="s">
        <v>531</v>
      </c>
      <c r="D599" s="202" t="s">
        <v>1653</v>
      </c>
      <c r="E599" s="202" t="s">
        <v>529</v>
      </c>
      <c r="F599" s="265">
        <v>0</v>
      </c>
      <c r="G599" s="265">
        <v>0</v>
      </c>
      <c r="H599" s="265">
        <f>'Ведомственная 2021-2022'!H540</f>
        <v>500</v>
      </c>
      <c r="I599" s="265">
        <f t="shared" si="183"/>
        <v>0</v>
      </c>
      <c r="J599" s="281">
        <f t="shared" si="184"/>
        <v>500</v>
      </c>
      <c r="K599" s="265">
        <v>0</v>
      </c>
      <c r="L599" s="265">
        <v>0</v>
      </c>
      <c r="M599" s="226">
        <v>0</v>
      </c>
      <c r="N599" s="265">
        <f>'Ведомственная 2021-2022'!K540</f>
        <v>500</v>
      </c>
      <c r="O599" s="226">
        <v>0</v>
      </c>
      <c r="P599" s="281">
        <f t="shared" si="186"/>
        <v>500</v>
      </c>
      <c r="Q599" s="271">
        <f t="shared" si="187"/>
        <v>0</v>
      </c>
    </row>
    <row r="600" spans="1:17" s="442" customFormat="1" x14ac:dyDescent="0.2">
      <c r="A600" s="202" t="s">
        <v>1654</v>
      </c>
      <c r="B600" s="202" t="s">
        <v>512</v>
      </c>
      <c r="C600" s="202" t="s">
        <v>531</v>
      </c>
      <c r="D600" s="202" t="s">
        <v>1655</v>
      </c>
      <c r="E600" s="202"/>
      <c r="F600" s="265">
        <f>F601</f>
        <v>0</v>
      </c>
      <c r="G600" s="265">
        <f t="shared" ref="G600:H601" si="188">G601</f>
        <v>0</v>
      </c>
      <c r="H600" s="265">
        <f t="shared" si="188"/>
        <v>50000</v>
      </c>
      <c r="I600" s="265">
        <f t="shared" si="183"/>
        <v>0</v>
      </c>
      <c r="J600" s="281">
        <f t="shared" si="184"/>
        <v>50000</v>
      </c>
      <c r="K600" s="265">
        <f t="shared" ref="K600:O601" si="189">K601</f>
        <v>0</v>
      </c>
      <c r="L600" s="265">
        <f t="shared" si="189"/>
        <v>0</v>
      </c>
      <c r="M600" s="226">
        <f t="shared" si="189"/>
        <v>0</v>
      </c>
      <c r="N600" s="265">
        <f t="shared" si="189"/>
        <v>50000</v>
      </c>
      <c r="O600" s="226">
        <f t="shared" si="189"/>
        <v>0</v>
      </c>
      <c r="P600" s="281">
        <f t="shared" si="186"/>
        <v>50000</v>
      </c>
      <c r="Q600" s="271">
        <f t="shared" si="187"/>
        <v>0</v>
      </c>
    </row>
    <row r="601" spans="1:17" s="442" customFormat="1" x14ac:dyDescent="0.2">
      <c r="A601" s="202" t="s">
        <v>1347</v>
      </c>
      <c r="B601" s="202" t="s">
        <v>512</v>
      </c>
      <c r="C601" s="202" t="s">
        <v>531</v>
      </c>
      <c r="D601" s="202" t="s">
        <v>1655</v>
      </c>
      <c r="E601" s="202" t="s">
        <v>535</v>
      </c>
      <c r="F601" s="265">
        <f>F602</f>
        <v>0</v>
      </c>
      <c r="G601" s="265">
        <f t="shared" si="188"/>
        <v>0</v>
      </c>
      <c r="H601" s="265">
        <f t="shared" si="188"/>
        <v>50000</v>
      </c>
      <c r="I601" s="265">
        <f t="shared" si="183"/>
        <v>0</v>
      </c>
      <c r="J601" s="281">
        <f t="shared" si="184"/>
        <v>50000</v>
      </c>
      <c r="K601" s="265">
        <f t="shared" si="189"/>
        <v>0</v>
      </c>
      <c r="L601" s="265">
        <f t="shared" si="189"/>
        <v>0</v>
      </c>
      <c r="M601" s="226">
        <f t="shared" si="189"/>
        <v>0</v>
      </c>
      <c r="N601" s="265">
        <f t="shared" si="189"/>
        <v>50000</v>
      </c>
      <c r="O601" s="226">
        <f t="shared" si="189"/>
        <v>0</v>
      </c>
      <c r="P601" s="281">
        <f t="shared" si="186"/>
        <v>50000</v>
      </c>
      <c r="Q601" s="271">
        <f t="shared" si="187"/>
        <v>0</v>
      </c>
    </row>
    <row r="602" spans="1:17" s="442" customFormat="1" x14ac:dyDescent="0.2">
      <c r="A602" s="202" t="s">
        <v>534</v>
      </c>
      <c r="B602" s="202" t="s">
        <v>512</v>
      </c>
      <c r="C602" s="202" t="s">
        <v>531</v>
      </c>
      <c r="D602" s="202" t="s">
        <v>1655</v>
      </c>
      <c r="E602" s="202" t="s">
        <v>529</v>
      </c>
      <c r="F602" s="265">
        <v>0</v>
      </c>
      <c r="G602" s="265">
        <v>0</v>
      </c>
      <c r="H602" s="265">
        <f>'Ведомственная 2021-2022'!H543</f>
        <v>50000</v>
      </c>
      <c r="I602" s="265">
        <f t="shared" si="183"/>
        <v>0</v>
      </c>
      <c r="J602" s="281">
        <f t="shared" si="184"/>
        <v>50000</v>
      </c>
      <c r="K602" s="265">
        <v>0</v>
      </c>
      <c r="L602" s="265">
        <v>0</v>
      </c>
      <c r="M602" s="226">
        <v>0</v>
      </c>
      <c r="N602" s="265">
        <f>'Ведомственная 2021-2022'!K543</f>
        <v>50000</v>
      </c>
      <c r="O602" s="226">
        <v>0</v>
      </c>
      <c r="P602" s="281">
        <f t="shared" si="186"/>
        <v>50000</v>
      </c>
      <c r="Q602" s="271">
        <f t="shared" si="187"/>
        <v>0</v>
      </c>
    </row>
    <row r="603" spans="1:17" x14ac:dyDescent="0.2">
      <c r="A603" s="264" t="s">
        <v>980</v>
      </c>
      <c r="B603" s="202" t="s">
        <v>512</v>
      </c>
      <c r="C603" s="202" t="s">
        <v>531</v>
      </c>
      <c r="D603" s="202" t="s">
        <v>979</v>
      </c>
      <c r="E603" s="202"/>
      <c r="F603" s="265">
        <v>60841</v>
      </c>
      <c r="G603" s="265">
        <v>0</v>
      </c>
      <c r="H603" s="265">
        <f>H604</f>
        <v>60841</v>
      </c>
      <c r="I603" s="265">
        <v>0</v>
      </c>
      <c r="J603" s="281">
        <f t="shared" si="165"/>
        <v>0</v>
      </c>
      <c r="K603" s="265">
        <f t="shared" si="166"/>
        <v>0</v>
      </c>
      <c r="L603" s="265">
        <v>60841</v>
      </c>
      <c r="M603" s="226">
        <v>0</v>
      </c>
      <c r="N603" s="265">
        <f>N604</f>
        <v>60841</v>
      </c>
      <c r="O603" s="226">
        <v>0</v>
      </c>
      <c r="P603" s="281">
        <f t="shared" si="167"/>
        <v>0</v>
      </c>
      <c r="Q603" s="271">
        <f t="shared" si="168"/>
        <v>0</v>
      </c>
    </row>
    <row r="604" spans="1:17" x14ac:dyDescent="0.2">
      <c r="A604" s="264" t="s">
        <v>1347</v>
      </c>
      <c r="B604" s="202" t="s">
        <v>512</v>
      </c>
      <c r="C604" s="202" t="s">
        <v>531</v>
      </c>
      <c r="D604" s="202" t="s">
        <v>979</v>
      </c>
      <c r="E604" s="202" t="s">
        <v>535</v>
      </c>
      <c r="F604" s="265">
        <v>60841</v>
      </c>
      <c r="G604" s="265">
        <v>0</v>
      </c>
      <c r="H604" s="265">
        <f>H605</f>
        <v>60841</v>
      </c>
      <c r="I604" s="265">
        <v>0</v>
      </c>
      <c r="J604" s="281">
        <f t="shared" si="165"/>
        <v>0</v>
      </c>
      <c r="K604" s="265">
        <f t="shared" si="166"/>
        <v>0</v>
      </c>
      <c r="L604" s="265">
        <v>60841</v>
      </c>
      <c r="M604" s="226">
        <v>0</v>
      </c>
      <c r="N604" s="265">
        <f>N605</f>
        <v>60841</v>
      </c>
      <c r="O604" s="226">
        <v>0</v>
      </c>
      <c r="P604" s="281">
        <f t="shared" si="167"/>
        <v>0</v>
      </c>
      <c r="Q604" s="271">
        <f t="shared" si="168"/>
        <v>0</v>
      </c>
    </row>
    <row r="605" spans="1:17" x14ac:dyDescent="0.2">
      <c r="A605" s="264" t="s">
        <v>534</v>
      </c>
      <c r="B605" s="202" t="s">
        <v>512</v>
      </c>
      <c r="C605" s="202" t="s">
        <v>531</v>
      </c>
      <c r="D605" s="202" t="s">
        <v>979</v>
      </c>
      <c r="E605" s="202" t="s">
        <v>529</v>
      </c>
      <c r="F605" s="265">
        <v>60841</v>
      </c>
      <c r="G605" s="265">
        <v>0</v>
      </c>
      <c r="H605" s="265">
        <f>'Ведомственная 2021-2022'!H546</f>
        <v>60841</v>
      </c>
      <c r="I605" s="265">
        <v>0</v>
      </c>
      <c r="J605" s="281">
        <f t="shared" si="165"/>
        <v>0</v>
      </c>
      <c r="K605" s="265">
        <f t="shared" si="166"/>
        <v>0</v>
      </c>
      <c r="L605" s="265">
        <v>60841</v>
      </c>
      <c r="M605" s="226">
        <v>0</v>
      </c>
      <c r="N605" s="265">
        <f>'Ведомственная 2021-2022'!K546</f>
        <v>60841</v>
      </c>
      <c r="O605" s="226">
        <v>0</v>
      </c>
      <c r="P605" s="281">
        <f t="shared" si="167"/>
        <v>0</v>
      </c>
      <c r="Q605" s="271">
        <f t="shared" si="168"/>
        <v>0</v>
      </c>
    </row>
    <row r="606" spans="1:17" s="373" customFormat="1" ht="22.5" x14ac:dyDescent="0.2">
      <c r="A606" s="298" t="s">
        <v>1490</v>
      </c>
      <c r="B606" s="298" t="s">
        <v>512</v>
      </c>
      <c r="C606" s="298" t="s">
        <v>531</v>
      </c>
      <c r="D606" s="298" t="s">
        <v>1491</v>
      </c>
      <c r="E606" s="298"/>
      <c r="F606" s="265">
        <v>500</v>
      </c>
      <c r="G606" s="265">
        <v>0</v>
      </c>
      <c r="H606" s="265">
        <f t="shared" ref="H606:I607" si="190">H607</f>
        <v>0</v>
      </c>
      <c r="I606" s="265">
        <f t="shared" si="190"/>
        <v>0</v>
      </c>
      <c r="J606" s="281">
        <f t="shared" ref="J606:J608" si="191">H606-F606</f>
        <v>-500</v>
      </c>
      <c r="K606" s="265">
        <f t="shared" ref="K606:K608" si="192">I606-G606</f>
        <v>0</v>
      </c>
      <c r="L606" s="265">
        <v>500</v>
      </c>
      <c r="M606" s="226">
        <v>0</v>
      </c>
      <c r="N606" s="265">
        <f t="shared" ref="N606:O607" si="193">N607</f>
        <v>0</v>
      </c>
      <c r="O606" s="226">
        <f t="shared" si="193"/>
        <v>0</v>
      </c>
      <c r="P606" s="281">
        <f t="shared" ref="P606:P608" si="194">N606-L606</f>
        <v>-500</v>
      </c>
      <c r="Q606" s="271">
        <f t="shared" ref="Q606:Q608" si="195">O606-M606</f>
        <v>0</v>
      </c>
    </row>
    <row r="607" spans="1:17" s="373" customFormat="1" x14ac:dyDescent="0.2">
      <c r="A607" s="298" t="s">
        <v>1347</v>
      </c>
      <c r="B607" s="298" t="s">
        <v>512</v>
      </c>
      <c r="C607" s="298" t="s">
        <v>531</v>
      </c>
      <c r="D607" s="298" t="s">
        <v>1491</v>
      </c>
      <c r="E607" s="298" t="s">
        <v>535</v>
      </c>
      <c r="F607" s="265">
        <v>500</v>
      </c>
      <c r="G607" s="265">
        <v>0</v>
      </c>
      <c r="H607" s="265">
        <f t="shared" si="190"/>
        <v>0</v>
      </c>
      <c r="I607" s="265">
        <f t="shared" si="190"/>
        <v>0</v>
      </c>
      <c r="J607" s="281">
        <f t="shared" si="191"/>
        <v>-500</v>
      </c>
      <c r="K607" s="265">
        <f t="shared" si="192"/>
        <v>0</v>
      </c>
      <c r="L607" s="265">
        <v>500</v>
      </c>
      <c r="M607" s="226">
        <v>0</v>
      </c>
      <c r="N607" s="265">
        <f t="shared" si="193"/>
        <v>0</v>
      </c>
      <c r="O607" s="226">
        <f t="shared" si="193"/>
        <v>0</v>
      </c>
      <c r="P607" s="281">
        <f t="shared" si="194"/>
        <v>-500</v>
      </c>
      <c r="Q607" s="271">
        <f t="shared" si="195"/>
        <v>0</v>
      </c>
    </row>
    <row r="608" spans="1:17" s="373" customFormat="1" x14ac:dyDescent="0.2">
      <c r="A608" s="298" t="s">
        <v>534</v>
      </c>
      <c r="B608" s="298" t="s">
        <v>512</v>
      </c>
      <c r="C608" s="298" t="s">
        <v>531</v>
      </c>
      <c r="D608" s="298" t="s">
        <v>1491</v>
      </c>
      <c r="E608" s="298" t="s">
        <v>529</v>
      </c>
      <c r="F608" s="265">
        <v>500</v>
      </c>
      <c r="G608" s="265">
        <v>0</v>
      </c>
      <c r="H608" s="265">
        <f>'Ведомственная 2021-2022'!H549</f>
        <v>0</v>
      </c>
      <c r="I608" s="265">
        <v>0</v>
      </c>
      <c r="J608" s="281">
        <f t="shared" si="191"/>
        <v>-500</v>
      </c>
      <c r="K608" s="265">
        <f t="shared" si="192"/>
        <v>0</v>
      </c>
      <c r="L608" s="265">
        <v>500</v>
      </c>
      <c r="M608" s="226">
        <v>0</v>
      </c>
      <c r="N608" s="265">
        <f>'Ведомственная 2021-2022'!K549</f>
        <v>0</v>
      </c>
      <c r="O608" s="226">
        <v>0</v>
      </c>
      <c r="P608" s="281">
        <f t="shared" si="194"/>
        <v>-500</v>
      </c>
      <c r="Q608" s="271">
        <f t="shared" si="195"/>
        <v>0</v>
      </c>
    </row>
    <row r="609" spans="1:17" s="373" customFormat="1" ht="22.5" x14ac:dyDescent="0.2">
      <c r="A609" s="298" t="s">
        <v>1488</v>
      </c>
      <c r="B609" s="298" t="s">
        <v>512</v>
      </c>
      <c r="C609" s="298" t="s">
        <v>531</v>
      </c>
      <c r="D609" s="298" t="s">
        <v>1489</v>
      </c>
      <c r="E609" s="298"/>
      <c r="F609" s="265">
        <v>50000</v>
      </c>
      <c r="G609" s="265">
        <v>0</v>
      </c>
      <c r="H609" s="265">
        <f t="shared" ref="H609:I610" si="196">H610</f>
        <v>0</v>
      </c>
      <c r="I609" s="265">
        <f t="shared" si="196"/>
        <v>0</v>
      </c>
      <c r="J609" s="281">
        <f t="shared" ref="J609:J611" si="197">H609-F609</f>
        <v>-50000</v>
      </c>
      <c r="K609" s="265">
        <f t="shared" ref="K609:K611" si="198">I609-G609</f>
        <v>0</v>
      </c>
      <c r="L609" s="265">
        <v>50000</v>
      </c>
      <c r="M609" s="226">
        <v>0</v>
      </c>
      <c r="N609" s="265">
        <f t="shared" ref="N609:O610" si="199">N610</f>
        <v>0</v>
      </c>
      <c r="O609" s="226">
        <f t="shared" si="199"/>
        <v>0</v>
      </c>
      <c r="P609" s="281">
        <f t="shared" ref="P609:P611" si="200">N609-L609</f>
        <v>-50000</v>
      </c>
      <c r="Q609" s="271">
        <f t="shared" ref="Q609:Q611" si="201">O609-M609</f>
        <v>0</v>
      </c>
    </row>
    <row r="610" spans="1:17" s="373" customFormat="1" x14ac:dyDescent="0.2">
      <c r="A610" s="298" t="s">
        <v>1347</v>
      </c>
      <c r="B610" s="298" t="s">
        <v>512</v>
      </c>
      <c r="C610" s="298" t="s">
        <v>531</v>
      </c>
      <c r="D610" s="298" t="s">
        <v>1489</v>
      </c>
      <c r="E610" s="298" t="s">
        <v>535</v>
      </c>
      <c r="F610" s="265">
        <v>50000</v>
      </c>
      <c r="G610" s="265">
        <v>0</v>
      </c>
      <c r="H610" s="265">
        <f t="shared" si="196"/>
        <v>0</v>
      </c>
      <c r="I610" s="265">
        <f t="shared" si="196"/>
        <v>0</v>
      </c>
      <c r="J610" s="281">
        <f t="shared" si="197"/>
        <v>-50000</v>
      </c>
      <c r="K610" s="265">
        <f t="shared" si="198"/>
        <v>0</v>
      </c>
      <c r="L610" s="265">
        <v>50000</v>
      </c>
      <c r="M610" s="226">
        <v>0</v>
      </c>
      <c r="N610" s="265">
        <f t="shared" si="199"/>
        <v>0</v>
      </c>
      <c r="O610" s="226">
        <f t="shared" si="199"/>
        <v>0</v>
      </c>
      <c r="P610" s="281">
        <f t="shared" si="200"/>
        <v>-50000</v>
      </c>
      <c r="Q610" s="271">
        <f t="shared" si="201"/>
        <v>0</v>
      </c>
    </row>
    <row r="611" spans="1:17" s="373" customFormat="1" x14ac:dyDescent="0.2">
      <c r="A611" s="298" t="s">
        <v>534</v>
      </c>
      <c r="B611" s="298" t="s">
        <v>512</v>
      </c>
      <c r="C611" s="298" t="s">
        <v>531</v>
      </c>
      <c r="D611" s="298" t="s">
        <v>1489</v>
      </c>
      <c r="E611" s="298" t="s">
        <v>529</v>
      </c>
      <c r="F611" s="265">
        <v>50000</v>
      </c>
      <c r="G611" s="265">
        <v>0</v>
      </c>
      <c r="H611" s="265">
        <f>'Ведомственная 2021-2022'!H552</f>
        <v>0</v>
      </c>
      <c r="I611" s="265">
        <v>0</v>
      </c>
      <c r="J611" s="281">
        <f t="shared" si="197"/>
        <v>-50000</v>
      </c>
      <c r="K611" s="265">
        <f t="shared" si="198"/>
        <v>0</v>
      </c>
      <c r="L611" s="265">
        <v>50000</v>
      </c>
      <c r="M611" s="226">
        <v>0</v>
      </c>
      <c r="N611" s="265">
        <f>'Ведомственная 2021-2022'!K552</f>
        <v>0</v>
      </c>
      <c r="O611" s="226">
        <v>0</v>
      </c>
      <c r="P611" s="281">
        <f t="shared" si="200"/>
        <v>-50000</v>
      </c>
      <c r="Q611" s="271">
        <f t="shared" si="201"/>
        <v>0</v>
      </c>
    </row>
    <row r="612" spans="1:17" x14ac:dyDescent="0.2">
      <c r="A612" s="264" t="s">
        <v>978</v>
      </c>
      <c r="B612" s="202" t="s">
        <v>512</v>
      </c>
      <c r="C612" s="202" t="s">
        <v>531</v>
      </c>
      <c r="D612" s="202" t="s">
        <v>977</v>
      </c>
      <c r="E612" s="202"/>
      <c r="F612" s="265">
        <v>240297.9</v>
      </c>
      <c r="G612" s="265">
        <v>0</v>
      </c>
      <c r="H612" s="265">
        <f>H613+H619+H622+H616+H625</f>
        <v>240297.9</v>
      </c>
      <c r="I612" s="265">
        <f>I613+I619+I622+I616</f>
        <v>0</v>
      </c>
      <c r="J612" s="281">
        <f t="shared" si="165"/>
        <v>0</v>
      </c>
      <c r="K612" s="265">
        <f t="shared" si="166"/>
        <v>0</v>
      </c>
      <c r="L612" s="265">
        <v>273961.3</v>
      </c>
      <c r="M612" s="226">
        <v>0</v>
      </c>
      <c r="N612" s="265">
        <f>N613+N619+N622+N616+N625</f>
        <v>265235.8</v>
      </c>
      <c r="O612" s="226">
        <f>O613+O619+O622+O616</f>
        <v>0</v>
      </c>
      <c r="P612" s="281">
        <f t="shared" si="167"/>
        <v>-8725.5</v>
      </c>
      <c r="Q612" s="271">
        <f t="shared" si="168"/>
        <v>0</v>
      </c>
    </row>
    <row r="613" spans="1:17" ht="22.5" x14ac:dyDescent="0.2">
      <c r="A613" s="264" t="s">
        <v>976</v>
      </c>
      <c r="B613" s="202" t="s">
        <v>512</v>
      </c>
      <c r="C613" s="202" t="s">
        <v>531</v>
      </c>
      <c r="D613" s="202" t="s">
        <v>975</v>
      </c>
      <c r="E613" s="202"/>
      <c r="F613" s="265">
        <v>0</v>
      </c>
      <c r="G613" s="265">
        <v>0</v>
      </c>
      <c r="H613" s="265">
        <f>H614</f>
        <v>0</v>
      </c>
      <c r="I613" s="265">
        <v>0</v>
      </c>
      <c r="J613" s="281">
        <f t="shared" si="165"/>
        <v>0</v>
      </c>
      <c r="K613" s="265">
        <f t="shared" si="166"/>
        <v>0</v>
      </c>
      <c r="L613" s="265">
        <v>250000.5</v>
      </c>
      <c r="M613" s="226">
        <v>0</v>
      </c>
      <c r="N613" s="265">
        <f>N614</f>
        <v>250000.5</v>
      </c>
      <c r="O613" s="226">
        <v>0</v>
      </c>
      <c r="P613" s="281">
        <f t="shared" si="167"/>
        <v>0</v>
      </c>
      <c r="Q613" s="271">
        <f t="shared" si="168"/>
        <v>0</v>
      </c>
    </row>
    <row r="614" spans="1:17" x14ac:dyDescent="0.2">
      <c r="A614" s="264" t="s">
        <v>1347</v>
      </c>
      <c r="B614" s="202" t="s">
        <v>512</v>
      </c>
      <c r="C614" s="202" t="s">
        <v>531</v>
      </c>
      <c r="D614" s="202" t="s">
        <v>975</v>
      </c>
      <c r="E614" s="202" t="s">
        <v>535</v>
      </c>
      <c r="F614" s="265">
        <v>0</v>
      </c>
      <c r="G614" s="265">
        <v>0</v>
      </c>
      <c r="H614" s="265">
        <f>H615</f>
        <v>0</v>
      </c>
      <c r="I614" s="265">
        <v>0</v>
      </c>
      <c r="J614" s="281">
        <f t="shared" si="165"/>
        <v>0</v>
      </c>
      <c r="K614" s="265">
        <f t="shared" si="166"/>
        <v>0</v>
      </c>
      <c r="L614" s="265">
        <v>250000.5</v>
      </c>
      <c r="M614" s="226">
        <v>0</v>
      </c>
      <c r="N614" s="265">
        <f>N615</f>
        <v>250000.5</v>
      </c>
      <c r="O614" s="226">
        <v>0</v>
      </c>
      <c r="P614" s="281">
        <f t="shared" si="167"/>
        <v>0</v>
      </c>
      <c r="Q614" s="271">
        <f t="shared" si="168"/>
        <v>0</v>
      </c>
    </row>
    <row r="615" spans="1:17" x14ac:dyDescent="0.2">
      <c r="A615" s="264" t="s">
        <v>534</v>
      </c>
      <c r="B615" s="202" t="s">
        <v>512</v>
      </c>
      <c r="C615" s="202" t="s">
        <v>531</v>
      </c>
      <c r="D615" s="202" t="s">
        <v>975</v>
      </c>
      <c r="E615" s="202" t="s">
        <v>529</v>
      </c>
      <c r="F615" s="265">
        <v>0</v>
      </c>
      <c r="G615" s="265">
        <v>0</v>
      </c>
      <c r="H615" s="265">
        <f>'Ведомственная 2021-2022'!H556</f>
        <v>0</v>
      </c>
      <c r="I615" s="265">
        <v>0</v>
      </c>
      <c r="J615" s="281">
        <f t="shared" si="165"/>
        <v>0</v>
      </c>
      <c r="K615" s="265">
        <f t="shared" si="166"/>
        <v>0</v>
      </c>
      <c r="L615" s="265">
        <v>250000.5</v>
      </c>
      <c r="M615" s="226">
        <v>0</v>
      </c>
      <c r="N615" s="265">
        <f>'Ведомственная 2021-2022'!K556</f>
        <v>250000.5</v>
      </c>
      <c r="O615" s="226">
        <v>0</v>
      </c>
      <c r="P615" s="281">
        <f t="shared" si="167"/>
        <v>0</v>
      </c>
      <c r="Q615" s="271">
        <f t="shared" si="168"/>
        <v>0</v>
      </c>
    </row>
    <row r="616" spans="1:17" s="242" customFormat="1" ht="22.5" x14ac:dyDescent="0.2">
      <c r="A616" s="202" t="s">
        <v>1370</v>
      </c>
      <c r="B616" s="202" t="s">
        <v>512</v>
      </c>
      <c r="C616" s="202" t="s">
        <v>531</v>
      </c>
      <c r="D616" s="202" t="s">
        <v>1371</v>
      </c>
      <c r="E616" s="209"/>
      <c r="F616" s="265">
        <v>189899</v>
      </c>
      <c r="G616" s="265">
        <v>0</v>
      </c>
      <c r="H616" s="265">
        <f t="shared" ref="H616:I617" si="202">H617</f>
        <v>189899</v>
      </c>
      <c r="I616" s="265">
        <f t="shared" si="202"/>
        <v>0</v>
      </c>
      <c r="J616" s="281">
        <f t="shared" ref="J616:J618" si="203">H616-F616</f>
        <v>0</v>
      </c>
      <c r="K616" s="265">
        <f t="shared" ref="K616:K618" si="204">I616-G616</f>
        <v>0</v>
      </c>
      <c r="L616" s="265">
        <v>0</v>
      </c>
      <c r="M616" s="226">
        <v>0</v>
      </c>
      <c r="N616" s="265">
        <f t="shared" ref="N616:O617" si="205">N617</f>
        <v>0</v>
      </c>
      <c r="O616" s="226">
        <f t="shared" si="205"/>
        <v>0</v>
      </c>
      <c r="P616" s="281">
        <f t="shared" ref="P616:P618" si="206">N616-L616</f>
        <v>0</v>
      </c>
      <c r="Q616" s="271">
        <f t="shared" ref="Q616:Q618" si="207">O616-M616</f>
        <v>0</v>
      </c>
    </row>
    <row r="617" spans="1:17" s="242" customFormat="1" x14ac:dyDescent="0.2">
      <c r="A617" s="202" t="s">
        <v>1347</v>
      </c>
      <c r="B617" s="202" t="s">
        <v>512</v>
      </c>
      <c r="C617" s="202" t="s">
        <v>531</v>
      </c>
      <c r="D617" s="202" t="s">
        <v>1371</v>
      </c>
      <c r="E617" s="202" t="s">
        <v>535</v>
      </c>
      <c r="F617" s="265">
        <v>189899</v>
      </c>
      <c r="G617" s="265">
        <v>0</v>
      </c>
      <c r="H617" s="265">
        <f t="shared" si="202"/>
        <v>189899</v>
      </c>
      <c r="I617" s="265">
        <f t="shared" si="202"/>
        <v>0</v>
      </c>
      <c r="J617" s="281">
        <f t="shared" si="203"/>
        <v>0</v>
      </c>
      <c r="K617" s="265">
        <f t="shared" si="204"/>
        <v>0</v>
      </c>
      <c r="L617" s="265">
        <v>0</v>
      </c>
      <c r="M617" s="226">
        <v>0</v>
      </c>
      <c r="N617" s="265">
        <f t="shared" si="205"/>
        <v>0</v>
      </c>
      <c r="O617" s="226">
        <f t="shared" si="205"/>
        <v>0</v>
      </c>
      <c r="P617" s="281">
        <f t="shared" si="206"/>
        <v>0</v>
      </c>
      <c r="Q617" s="271">
        <f t="shared" si="207"/>
        <v>0</v>
      </c>
    </row>
    <row r="618" spans="1:17" s="242" customFormat="1" x14ac:dyDescent="0.2">
      <c r="A618" s="202" t="s">
        <v>534</v>
      </c>
      <c r="B618" s="202" t="s">
        <v>512</v>
      </c>
      <c r="C618" s="202" t="s">
        <v>531</v>
      </c>
      <c r="D618" s="202" t="s">
        <v>1371</v>
      </c>
      <c r="E618" s="202" t="s">
        <v>529</v>
      </c>
      <c r="F618" s="265">
        <v>189899</v>
      </c>
      <c r="G618" s="265">
        <v>0</v>
      </c>
      <c r="H618" s="265">
        <f>'Ведомственная 2021-2022'!H559</f>
        <v>189899</v>
      </c>
      <c r="I618" s="265">
        <v>0</v>
      </c>
      <c r="J618" s="281">
        <f t="shared" si="203"/>
        <v>0</v>
      </c>
      <c r="K618" s="265">
        <f t="shared" si="204"/>
        <v>0</v>
      </c>
      <c r="L618" s="265">
        <v>0</v>
      </c>
      <c r="M618" s="226">
        <v>0</v>
      </c>
      <c r="N618" s="265">
        <v>0</v>
      </c>
      <c r="O618" s="226">
        <v>0</v>
      </c>
      <c r="P618" s="281">
        <f t="shared" si="206"/>
        <v>0</v>
      </c>
      <c r="Q618" s="271">
        <f t="shared" si="207"/>
        <v>0</v>
      </c>
    </row>
    <row r="619" spans="1:17" ht="22.5" x14ac:dyDescent="0.2">
      <c r="A619" s="264" t="s">
        <v>1291</v>
      </c>
      <c r="B619" s="202" t="s">
        <v>512</v>
      </c>
      <c r="C619" s="202" t="s">
        <v>531</v>
      </c>
      <c r="D619" s="202" t="s">
        <v>1292</v>
      </c>
      <c r="E619" s="202"/>
      <c r="F619" s="265">
        <v>0</v>
      </c>
      <c r="G619" s="265">
        <v>0</v>
      </c>
      <c r="H619" s="265">
        <v>0</v>
      </c>
      <c r="I619" s="265">
        <v>0</v>
      </c>
      <c r="J619" s="265">
        <f t="shared" si="165"/>
        <v>0</v>
      </c>
      <c r="K619" s="265">
        <f t="shared" si="166"/>
        <v>0</v>
      </c>
      <c r="L619" s="265">
        <v>10000</v>
      </c>
      <c r="M619" s="226">
        <v>0</v>
      </c>
      <c r="N619" s="265">
        <f>N620</f>
        <v>10000</v>
      </c>
      <c r="O619" s="226">
        <v>0</v>
      </c>
      <c r="P619" s="281">
        <f t="shared" si="167"/>
        <v>0</v>
      </c>
      <c r="Q619" s="271">
        <f t="shared" si="168"/>
        <v>0</v>
      </c>
    </row>
    <row r="620" spans="1:17" x14ac:dyDescent="0.2">
      <c r="A620" s="264" t="s">
        <v>1347</v>
      </c>
      <c r="B620" s="202" t="s">
        <v>512</v>
      </c>
      <c r="C620" s="202" t="s">
        <v>531</v>
      </c>
      <c r="D620" s="202" t="s">
        <v>1292</v>
      </c>
      <c r="E620" s="202" t="s">
        <v>535</v>
      </c>
      <c r="F620" s="265">
        <v>0</v>
      </c>
      <c r="G620" s="265">
        <v>0</v>
      </c>
      <c r="H620" s="265">
        <v>0</v>
      </c>
      <c r="I620" s="265">
        <v>0</v>
      </c>
      <c r="J620" s="265">
        <f t="shared" si="165"/>
        <v>0</v>
      </c>
      <c r="K620" s="265">
        <f t="shared" si="166"/>
        <v>0</v>
      </c>
      <c r="L620" s="265">
        <v>10000</v>
      </c>
      <c r="M620" s="226">
        <v>0</v>
      </c>
      <c r="N620" s="265">
        <f>N621</f>
        <v>10000</v>
      </c>
      <c r="O620" s="226">
        <v>0</v>
      </c>
      <c r="P620" s="281">
        <f t="shared" si="167"/>
        <v>0</v>
      </c>
      <c r="Q620" s="271">
        <f t="shared" si="168"/>
        <v>0</v>
      </c>
    </row>
    <row r="621" spans="1:17" x14ac:dyDescent="0.2">
      <c r="A621" s="264" t="s">
        <v>534</v>
      </c>
      <c r="B621" s="202" t="s">
        <v>512</v>
      </c>
      <c r="C621" s="202" t="s">
        <v>531</v>
      </c>
      <c r="D621" s="202" t="s">
        <v>1292</v>
      </c>
      <c r="E621" s="202" t="s">
        <v>529</v>
      </c>
      <c r="F621" s="265">
        <v>0</v>
      </c>
      <c r="G621" s="265">
        <v>0</v>
      </c>
      <c r="H621" s="265">
        <v>0</v>
      </c>
      <c r="I621" s="265">
        <v>0</v>
      </c>
      <c r="J621" s="265">
        <f t="shared" si="165"/>
        <v>0</v>
      </c>
      <c r="K621" s="265">
        <f t="shared" si="166"/>
        <v>0</v>
      </c>
      <c r="L621" s="265">
        <v>10000</v>
      </c>
      <c r="M621" s="226">
        <v>0</v>
      </c>
      <c r="N621" s="265">
        <f>20000-10000</f>
        <v>10000</v>
      </c>
      <c r="O621" s="226">
        <v>0</v>
      </c>
      <c r="P621" s="281">
        <f t="shared" si="167"/>
        <v>0</v>
      </c>
      <c r="Q621" s="271">
        <f t="shared" si="168"/>
        <v>0</v>
      </c>
    </row>
    <row r="622" spans="1:17" x14ac:dyDescent="0.2">
      <c r="A622" s="264" t="s">
        <v>1530</v>
      </c>
      <c r="B622" s="202" t="s">
        <v>512</v>
      </c>
      <c r="C622" s="202" t="s">
        <v>531</v>
      </c>
      <c r="D622" s="202" t="s">
        <v>974</v>
      </c>
      <c r="E622" s="202"/>
      <c r="F622" s="265">
        <v>9297.7999999999993</v>
      </c>
      <c r="G622" s="265">
        <v>0</v>
      </c>
      <c r="H622" s="265">
        <f>H623</f>
        <v>9297.7999999999993</v>
      </c>
      <c r="I622" s="265">
        <v>0</v>
      </c>
      <c r="J622" s="281">
        <f t="shared" ref="J622:J684" si="208">H622-F622</f>
        <v>0</v>
      </c>
      <c r="K622" s="265">
        <f t="shared" ref="K622:K684" si="209">I622-G622</f>
        <v>0</v>
      </c>
      <c r="L622" s="265">
        <v>13960.8</v>
      </c>
      <c r="M622" s="226">
        <v>0</v>
      </c>
      <c r="N622" s="265">
        <f>N623</f>
        <v>5235.2999999999993</v>
      </c>
      <c r="O622" s="226">
        <v>0</v>
      </c>
      <c r="P622" s="281">
        <f t="shared" ref="P622:P684" si="210">N622-L622</f>
        <v>-8725.5</v>
      </c>
      <c r="Q622" s="271">
        <f t="shared" ref="Q622:Q684" si="211">O622-M622</f>
        <v>0</v>
      </c>
    </row>
    <row r="623" spans="1:17" s="406" customFormat="1" x14ac:dyDescent="0.2">
      <c r="A623" s="264" t="s">
        <v>547</v>
      </c>
      <c r="B623" s="202" t="s">
        <v>512</v>
      </c>
      <c r="C623" s="202" t="s">
        <v>531</v>
      </c>
      <c r="D623" s="202" t="s">
        <v>974</v>
      </c>
      <c r="E623" s="202">
        <v>600</v>
      </c>
      <c r="F623" s="265">
        <v>9297.7999999999993</v>
      </c>
      <c r="G623" s="265">
        <v>0</v>
      </c>
      <c r="H623" s="265">
        <f>H624</f>
        <v>9297.7999999999993</v>
      </c>
      <c r="I623" s="265">
        <f>I624</f>
        <v>0</v>
      </c>
      <c r="J623" s="281">
        <f t="shared" ref="J623:J624" si="212">H623-F623</f>
        <v>0</v>
      </c>
      <c r="K623" s="265">
        <f t="shared" ref="K623:K624" si="213">I623-G623</f>
        <v>0</v>
      </c>
      <c r="L623" s="265">
        <v>13960.8</v>
      </c>
      <c r="M623" s="226">
        <v>0</v>
      </c>
      <c r="N623" s="265">
        <f>N624</f>
        <v>5235.2999999999993</v>
      </c>
      <c r="O623" s="226">
        <f>O624</f>
        <v>0</v>
      </c>
      <c r="P623" s="281">
        <f t="shared" ref="P623:P624" si="214">N623-L623</f>
        <v>-8725.5</v>
      </c>
      <c r="Q623" s="271">
        <f t="shared" ref="Q623:Q624" si="215">O623-M623</f>
        <v>0</v>
      </c>
    </row>
    <row r="624" spans="1:17" s="406" customFormat="1" x14ac:dyDescent="0.2">
      <c r="A624" s="264" t="s">
        <v>571</v>
      </c>
      <c r="B624" s="202" t="s">
        <v>512</v>
      </c>
      <c r="C624" s="202" t="s">
        <v>531</v>
      </c>
      <c r="D624" s="202" t="s">
        <v>974</v>
      </c>
      <c r="E624" s="202">
        <v>610</v>
      </c>
      <c r="F624" s="265">
        <v>9297.7999999999993</v>
      </c>
      <c r="G624" s="265">
        <v>0</v>
      </c>
      <c r="H624" s="265">
        <f>'Ведомственная 2021-2022'!H565</f>
        <v>9297.7999999999993</v>
      </c>
      <c r="I624" s="265">
        <v>0</v>
      </c>
      <c r="J624" s="281">
        <f t="shared" si="212"/>
        <v>0</v>
      </c>
      <c r="K624" s="265">
        <f t="shared" si="213"/>
        <v>0</v>
      </c>
      <c r="L624" s="265">
        <v>13960.8</v>
      </c>
      <c r="M624" s="226">
        <v>0</v>
      </c>
      <c r="N624" s="265">
        <f>'Ведомственная 2021-2022'!K565</f>
        <v>5235.2999999999993</v>
      </c>
      <c r="O624" s="226">
        <v>0</v>
      </c>
      <c r="P624" s="281">
        <f t="shared" si="214"/>
        <v>-8725.5</v>
      </c>
      <c r="Q624" s="271">
        <f t="shared" si="215"/>
        <v>0</v>
      </c>
    </row>
    <row r="625" spans="1:17" s="406" customFormat="1" ht="22.5" x14ac:dyDescent="0.2">
      <c r="A625" s="264" t="s">
        <v>1539</v>
      </c>
      <c r="B625" s="202" t="s">
        <v>512</v>
      </c>
      <c r="C625" s="202" t="s">
        <v>531</v>
      </c>
      <c r="D625" s="202" t="s">
        <v>1538</v>
      </c>
      <c r="E625" s="202"/>
      <c r="F625" s="265">
        <v>41101.1</v>
      </c>
      <c r="G625" s="265">
        <v>0</v>
      </c>
      <c r="H625" s="265">
        <f t="shared" ref="H625:I626" si="216">H626</f>
        <v>41101.1</v>
      </c>
      <c r="I625" s="265">
        <f t="shared" si="216"/>
        <v>0</v>
      </c>
      <c r="J625" s="281">
        <f t="shared" ref="J625:J627" si="217">H625-F625</f>
        <v>0</v>
      </c>
      <c r="K625" s="265">
        <f t="shared" ref="K625:K627" si="218">I625-G625</f>
        <v>0</v>
      </c>
      <c r="L625" s="265">
        <v>0</v>
      </c>
      <c r="M625" s="226">
        <v>0</v>
      </c>
      <c r="N625" s="265">
        <f t="shared" ref="N625:O626" si="219">N626</f>
        <v>0</v>
      </c>
      <c r="O625" s="226">
        <f t="shared" si="219"/>
        <v>0</v>
      </c>
      <c r="P625" s="265">
        <f t="shared" ref="P625:P627" si="220">N625-L625</f>
        <v>0</v>
      </c>
      <c r="Q625" s="271">
        <f t="shared" ref="Q625:Q627" si="221">O625-M625</f>
        <v>0</v>
      </c>
    </row>
    <row r="626" spans="1:17" s="406" customFormat="1" x14ac:dyDescent="0.2">
      <c r="A626" s="264" t="s">
        <v>1347</v>
      </c>
      <c r="B626" s="202" t="s">
        <v>512</v>
      </c>
      <c r="C626" s="202" t="s">
        <v>531</v>
      </c>
      <c r="D626" s="202" t="s">
        <v>1538</v>
      </c>
      <c r="E626" s="202">
        <v>200</v>
      </c>
      <c r="F626" s="265">
        <v>41101.1</v>
      </c>
      <c r="G626" s="265">
        <v>0</v>
      </c>
      <c r="H626" s="265">
        <f t="shared" si="216"/>
        <v>41101.1</v>
      </c>
      <c r="I626" s="265">
        <f t="shared" si="216"/>
        <v>0</v>
      </c>
      <c r="J626" s="281">
        <f t="shared" si="217"/>
        <v>0</v>
      </c>
      <c r="K626" s="265">
        <f t="shared" si="218"/>
        <v>0</v>
      </c>
      <c r="L626" s="265">
        <v>0</v>
      </c>
      <c r="M626" s="226">
        <v>0</v>
      </c>
      <c r="N626" s="265">
        <f t="shared" si="219"/>
        <v>0</v>
      </c>
      <c r="O626" s="226">
        <f t="shared" si="219"/>
        <v>0</v>
      </c>
      <c r="P626" s="265">
        <f t="shared" si="220"/>
        <v>0</v>
      </c>
      <c r="Q626" s="271">
        <f t="shared" si="221"/>
        <v>0</v>
      </c>
    </row>
    <row r="627" spans="1:17" s="406" customFormat="1" x14ac:dyDescent="0.2">
      <c r="A627" s="264" t="s">
        <v>534</v>
      </c>
      <c r="B627" s="202" t="s">
        <v>512</v>
      </c>
      <c r="C627" s="202" t="s">
        <v>531</v>
      </c>
      <c r="D627" s="202" t="s">
        <v>1538</v>
      </c>
      <c r="E627" s="202">
        <v>240</v>
      </c>
      <c r="F627" s="265">
        <v>41101.1</v>
      </c>
      <c r="G627" s="265">
        <v>0</v>
      </c>
      <c r="H627" s="265">
        <f>'Ведомственная 2021-2022'!H568</f>
        <v>41101.1</v>
      </c>
      <c r="I627" s="265">
        <v>0</v>
      </c>
      <c r="J627" s="281">
        <f t="shared" si="217"/>
        <v>0</v>
      </c>
      <c r="K627" s="265">
        <f t="shared" si="218"/>
        <v>0</v>
      </c>
      <c r="L627" s="265">
        <v>0</v>
      </c>
      <c r="M627" s="226">
        <v>0</v>
      </c>
      <c r="N627" s="265">
        <f>'Ведомственная 2021-2022'!K568</f>
        <v>0</v>
      </c>
      <c r="O627" s="226">
        <v>0</v>
      </c>
      <c r="P627" s="265">
        <f t="shared" si="220"/>
        <v>0</v>
      </c>
      <c r="Q627" s="271">
        <f t="shared" si="221"/>
        <v>0</v>
      </c>
    </row>
    <row r="628" spans="1:17" x14ac:dyDescent="0.2">
      <c r="A628" s="264" t="s">
        <v>973</v>
      </c>
      <c r="B628" s="202" t="s">
        <v>512</v>
      </c>
      <c r="C628" s="202" t="s">
        <v>531</v>
      </c>
      <c r="D628" s="202" t="s">
        <v>972</v>
      </c>
      <c r="E628" s="202"/>
      <c r="F628" s="265">
        <v>548603.79999999993</v>
      </c>
      <c r="G628" s="265">
        <v>0</v>
      </c>
      <c r="H628" s="265">
        <f>H629</f>
        <v>548603.79999999993</v>
      </c>
      <c r="I628" s="265">
        <v>0</v>
      </c>
      <c r="J628" s="281">
        <f t="shared" si="208"/>
        <v>0</v>
      </c>
      <c r="K628" s="265">
        <f t="shared" si="209"/>
        <v>0</v>
      </c>
      <c r="L628" s="265">
        <v>548603.79999999993</v>
      </c>
      <c r="M628" s="226">
        <v>0</v>
      </c>
      <c r="N628" s="265">
        <f>N629</f>
        <v>548603.79999999993</v>
      </c>
      <c r="O628" s="226">
        <v>0</v>
      </c>
      <c r="P628" s="281">
        <f t="shared" si="210"/>
        <v>0</v>
      </c>
      <c r="Q628" s="271">
        <f t="shared" si="211"/>
        <v>0</v>
      </c>
    </row>
    <row r="629" spans="1:17" ht="22.5" x14ac:dyDescent="0.2">
      <c r="A629" s="264" t="s">
        <v>971</v>
      </c>
      <c r="B629" s="202" t="s">
        <v>512</v>
      </c>
      <c r="C629" s="202" t="s">
        <v>531</v>
      </c>
      <c r="D629" s="202" t="s">
        <v>970</v>
      </c>
      <c r="E629" s="202"/>
      <c r="F629" s="265">
        <v>548603.79999999993</v>
      </c>
      <c r="G629" s="265">
        <v>0</v>
      </c>
      <c r="H629" s="265">
        <f>H630+H633+H636+H639+H642+H645+H648+H651+H654+H659+H664+H667+H670+H673+H680</f>
        <v>548603.79999999993</v>
      </c>
      <c r="I629" s="265">
        <v>0</v>
      </c>
      <c r="J629" s="281">
        <f t="shared" si="208"/>
        <v>0</v>
      </c>
      <c r="K629" s="265">
        <f t="shared" si="209"/>
        <v>0</v>
      </c>
      <c r="L629" s="265">
        <v>548603.79999999993</v>
      </c>
      <c r="M629" s="226">
        <v>0</v>
      </c>
      <c r="N629" s="265">
        <f>N630+N633+N636+N639+N642+N645+N648+N651+N654+N659+N664+N667+N670+N673+N680</f>
        <v>548603.79999999993</v>
      </c>
      <c r="O629" s="226">
        <v>0</v>
      </c>
      <c r="P629" s="281">
        <f t="shared" si="210"/>
        <v>0</v>
      </c>
      <c r="Q629" s="271">
        <f t="shared" si="211"/>
        <v>0</v>
      </c>
    </row>
    <row r="630" spans="1:17" x14ac:dyDescent="0.2">
      <c r="A630" s="264" t="s">
        <v>1531</v>
      </c>
      <c r="B630" s="202" t="s">
        <v>512</v>
      </c>
      <c r="C630" s="202" t="s">
        <v>531</v>
      </c>
      <c r="D630" s="202" t="s">
        <v>969</v>
      </c>
      <c r="E630" s="202"/>
      <c r="F630" s="265">
        <v>39660.9</v>
      </c>
      <c r="G630" s="265">
        <v>0</v>
      </c>
      <c r="H630" s="265">
        <f>H631</f>
        <v>39660.9</v>
      </c>
      <c r="I630" s="265">
        <v>0</v>
      </c>
      <c r="J630" s="281">
        <f t="shared" si="208"/>
        <v>0</v>
      </c>
      <c r="K630" s="265">
        <f t="shared" si="209"/>
        <v>0</v>
      </c>
      <c r="L630" s="265">
        <v>39660.9</v>
      </c>
      <c r="M630" s="226">
        <v>0</v>
      </c>
      <c r="N630" s="265">
        <f>N631</f>
        <v>39660.9</v>
      </c>
      <c r="O630" s="226">
        <v>0</v>
      </c>
      <c r="P630" s="281">
        <f t="shared" si="210"/>
        <v>0</v>
      </c>
      <c r="Q630" s="271">
        <f t="shared" si="211"/>
        <v>0</v>
      </c>
    </row>
    <row r="631" spans="1:17" s="394" customFormat="1" x14ac:dyDescent="0.2">
      <c r="A631" s="264" t="s">
        <v>547</v>
      </c>
      <c r="B631" s="202" t="s">
        <v>512</v>
      </c>
      <c r="C631" s="202" t="s">
        <v>531</v>
      </c>
      <c r="D631" s="202" t="s">
        <v>969</v>
      </c>
      <c r="E631" s="202">
        <v>600</v>
      </c>
      <c r="F631" s="265">
        <v>39660.9</v>
      </c>
      <c r="G631" s="265">
        <v>0</v>
      </c>
      <c r="H631" s="265">
        <f>H632</f>
        <v>39660.9</v>
      </c>
      <c r="I631" s="265">
        <f>I632</f>
        <v>0</v>
      </c>
      <c r="J631" s="281">
        <f t="shared" ref="J631:J632" si="222">H631-F631</f>
        <v>0</v>
      </c>
      <c r="K631" s="265">
        <f t="shared" ref="K631:K632" si="223">I631-G631</f>
        <v>0</v>
      </c>
      <c r="L631" s="265">
        <v>39660.9</v>
      </c>
      <c r="M631" s="226">
        <v>0</v>
      </c>
      <c r="N631" s="265">
        <f>N632</f>
        <v>39660.9</v>
      </c>
      <c r="O631" s="226">
        <f>O632</f>
        <v>0</v>
      </c>
      <c r="P631" s="281">
        <f t="shared" ref="P631:P632" si="224">N631-L631</f>
        <v>0</v>
      </c>
      <c r="Q631" s="271">
        <f t="shared" ref="Q631:Q632" si="225">O631-M631</f>
        <v>0</v>
      </c>
    </row>
    <row r="632" spans="1:17" s="394" customFormat="1" x14ac:dyDescent="0.2">
      <c r="A632" s="264" t="s">
        <v>571</v>
      </c>
      <c r="B632" s="202" t="s">
        <v>512</v>
      </c>
      <c r="C632" s="202" t="s">
        <v>531</v>
      </c>
      <c r="D632" s="202" t="s">
        <v>969</v>
      </c>
      <c r="E632" s="202">
        <v>610</v>
      </c>
      <c r="F632" s="265">
        <v>39660.9</v>
      </c>
      <c r="G632" s="265">
        <v>0</v>
      </c>
      <c r="H632" s="265">
        <f>'Ведомственная 2021-2022'!H573</f>
        <v>39660.9</v>
      </c>
      <c r="I632" s="265">
        <v>0</v>
      </c>
      <c r="J632" s="281">
        <f t="shared" si="222"/>
        <v>0</v>
      </c>
      <c r="K632" s="265">
        <f t="shared" si="223"/>
        <v>0</v>
      </c>
      <c r="L632" s="265">
        <v>39660.9</v>
      </c>
      <c r="M632" s="226">
        <v>0</v>
      </c>
      <c r="N632" s="265">
        <f>'Ведомственная 2021-2022'!K573</f>
        <v>39660.9</v>
      </c>
      <c r="O632" s="226">
        <v>0</v>
      </c>
      <c r="P632" s="281">
        <f t="shared" si="224"/>
        <v>0</v>
      </c>
      <c r="Q632" s="271">
        <f t="shared" si="225"/>
        <v>0</v>
      </c>
    </row>
    <row r="633" spans="1:17" x14ac:dyDescent="0.2">
      <c r="A633" s="264" t="s">
        <v>968</v>
      </c>
      <c r="B633" s="202" t="s">
        <v>512</v>
      </c>
      <c r="C633" s="202" t="s">
        <v>531</v>
      </c>
      <c r="D633" s="202" t="s">
        <v>967</v>
      </c>
      <c r="E633" s="202"/>
      <c r="F633" s="265">
        <v>20687.5</v>
      </c>
      <c r="G633" s="265">
        <v>0</v>
      </c>
      <c r="H633" s="265">
        <v>20687.5</v>
      </c>
      <c r="I633" s="265">
        <v>0</v>
      </c>
      <c r="J633" s="265">
        <f t="shared" si="208"/>
        <v>0</v>
      </c>
      <c r="K633" s="265">
        <f t="shared" si="209"/>
        <v>0</v>
      </c>
      <c r="L633" s="265">
        <v>20687.5</v>
      </c>
      <c r="M633" s="226">
        <v>0</v>
      </c>
      <c r="N633" s="265">
        <v>20687.5</v>
      </c>
      <c r="O633" s="226">
        <v>0</v>
      </c>
      <c r="P633" s="265">
        <f t="shared" si="210"/>
        <v>0</v>
      </c>
      <c r="Q633" s="271">
        <f t="shared" si="211"/>
        <v>0</v>
      </c>
    </row>
    <row r="634" spans="1:17" x14ac:dyDescent="0.2">
      <c r="A634" s="264" t="s">
        <v>1347</v>
      </c>
      <c r="B634" s="202" t="s">
        <v>512</v>
      </c>
      <c r="C634" s="202" t="s">
        <v>531</v>
      </c>
      <c r="D634" s="202" t="s">
        <v>967</v>
      </c>
      <c r="E634" s="202" t="s">
        <v>535</v>
      </c>
      <c r="F634" s="265">
        <v>20687.5</v>
      </c>
      <c r="G634" s="265">
        <v>0</v>
      </c>
      <c r="H634" s="265">
        <v>20687.5</v>
      </c>
      <c r="I634" s="265">
        <v>0</v>
      </c>
      <c r="J634" s="265">
        <f t="shared" si="208"/>
        <v>0</v>
      </c>
      <c r="K634" s="265">
        <f t="shared" si="209"/>
        <v>0</v>
      </c>
      <c r="L634" s="265">
        <v>20687.5</v>
      </c>
      <c r="M634" s="226">
        <v>0</v>
      </c>
      <c r="N634" s="265">
        <v>20687.5</v>
      </c>
      <c r="O634" s="226">
        <v>0</v>
      </c>
      <c r="P634" s="265">
        <f t="shared" si="210"/>
        <v>0</v>
      </c>
      <c r="Q634" s="271">
        <f t="shared" si="211"/>
        <v>0</v>
      </c>
    </row>
    <row r="635" spans="1:17" x14ac:dyDescent="0.2">
      <c r="A635" s="264" t="s">
        <v>534</v>
      </c>
      <c r="B635" s="202" t="s">
        <v>512</v>
      </c>
      <c r="C635" s="202" t="s">
        <v>531</v>
      </c>
      <c r="D635" s="202" t="s">
        <v>967</v>
      </c>
      <c r="E635" s="202" t="s">
        <v>529</v>
      </c>
      <c r="F635" s="265">
        <v>20687.5</v>
      </c>
      <c r="G635" s="265">
        <v>0</v>
      </c>
      <c r="H635" s="265">
        <v>20687.5</v>
      </c>
      <c r="I635" s="265">
        <v>0</v>
      </c>
      <c r="J635" s="265">
        <f t="shared" si="208"/>
        <v>0</v>
      </c>
      <c r="K635" s="265">
        <f t="shared" si="209"/>
        <v>0</v>
      </c>
      <c r="L635" s="265">
        <v>20687.5</v>
      </c>
      <c r="M635" s="226">
        <v>0</v>
      </c>
      <c r="N635" s="265">
        <v>20687.5</v>
      </c>
      <c r="O635" s="226">
        <v>0</v>
      </c>
      <c r="P635" s="265">
        <f t="shared" si="210"/>
        <v>0</v>
      </c>
      <c r="Q635" s="271">
        <f t="shared" si="211"/>
        <v>0</v>
      </c>
    </row>
    <row r="636" spans="1:17" x14ac:dyDescent="0.2">
      <c r="A636" s="264" t="s">
        <v>966</v>
      </c>
      <c r="B636" s="202" t="s">
        <v>512</v>
      </c>
      <c r="C636" s="202" t="s">
        <v>531</v>
      </c>
      <c r="D636" s="202" t="s">
        <v>965</v>
      </c>
      <c r="E636" s="202"/>
      <c r="F636" s="265">
        <v>15759.1</v>
      </c>
      <c r="G636" s="265">
        <v>0</v>
      </c>
      <c r="H636" s="265">
        <v>15759.1</v>
      </c>
      <c r="I636" s="265">
        <v>0</v>
      </c>
      <c r="J636" s="265">
        <f t="shared" si="208"/>
        <v>0</v>
      </c>
      <c r="K636" s="265">
        <f t="shared" si="209"/>
        <v>0</v>
      </c>
      <c r="L636" s="265">
        <v>15759.1</v>
      </c>
      <c r="M636" s="226">
        <v>0</v>
      </c>
      <c r="N636" s="265">
        <v>15759.1</v>
      </c>
      <c r="O636" s="226">
        <v>0</v>
      </c>
      <c r="P636" s="265">
        <f t="shared" si="210"/>
        <v>0</v>
      </c>
      <c r="Q636" s="271">
        <f t="shared" si="211"/>
        <v>0</v>
      </c>
    </row>
    <row r="637" spans="1:17" x14ac:dyDescent="0.2">
      <c r="A637" s="264" t="s">
        <v>1347</v>
      </c>
      <c r="B637" s="202" t="s">
        <v>512</v>
      </c>
      <c r="C637" s="202" t="s">
        <v>531</v>
      </c>
      <c r="D637" s="202" t="s">
        <v>965</v>
      </c>
      <c r="E637" s="202" t="s">
        <v>535</v>
      </c>
      <c r="F637" s="265">
        <v>15759.1</v>
      </c>
      <c r="G637" s="265">
        <v>0</v>
      </c>
      <c r="H637" s="265">
        <v>15759.1</v>
      </c>
      <c r="I637" s="265">
        <v>0</v>
      </c>
      <c r="J637" s="265">
        <f t="shared" si="208"/>
        <v>0</v>
      </c>
      <c r="K637" s="265">
        <f t="shared" si="209"/>
        <v>0</v>
      </c>
      <c r="L637" s="265">
        <v>15759.1</v>
      </c>
      <c r="M637" s="226">
        <v>0</v>
      </c>
      <c r="N637" s="265">
        <v>15759.1</v>
      </c>
      <c r="O637" s="226">
        <v>0</v>
      </c>
      <c r="P637" s="265">
        <f t="shared" si="210"/>
        <v>0</v>
      </c>
      <c r="Q637" s="271">
        <f t="shared" si="211"/>
        <v>0</v>
      </c>
    </row>
    <row r="638" spans="1:17" x14ac:dyDescent="0.2">
      <c r="A638" s="264" t="s">
        <v>534</v>
      </c>
      <c r="B638" s="202" t="s">
        <v>512</v>
      </c>
      <c r="C638" s="202" t="s">
        <v>531</v>
      </c>
      <c r="D638" s="202" t="s">
        <v>965</v>
      </c>
      <c r="E638" s="202" t="s">
        <v>529</v>
      </c>
      <c r="F638" s="265">
        <v>15759.1</v>
      </c>
      <c r="G638" s="265">
        <v>0</v>
      </c>
      <c r="H638" s="265">
        <v>15759.1</v>
      </c>
      <c r="I638" s="265">
        <v>0</v>
      </c>
      <c r="J638" s="265">
        <f t="shared" si="208"/>
        <v>0</v>
      </c>
      <c r="K638" s="265">
        <f t="shared" si="209"/>
        <v>0</v>
      </c>
      <c r="L638" s="265">
        <v>15759.1</v>
      </c>
      <c r="M638" s="226">
        <v>0</v>
      </c>
      <c r="N638" s="265">
        <v>15759.1</v>
      </c>
      <c r="O638" s="226">
        <v>0</v>
      </c>
      <c r="P638" s="265">
        <f t="shared" si="210"/>
        <v>0</v>
      </c>
      <c r="Q638" s="271">
        <f t="shared" si="211"/>
        <v>0</v>
      </c>
    </row>
    <row r="639" spans="1:17" x14ac:dyDescent="0.2">
      <c r="A639" s="264" t="s">
        <v>964</v>
      </c>
      <c r="B639" s="202" t="s">
        <v>512</v>
      </c>
      <c r="C639" s="202" t="s">
        <v>531</v>
      </c>
      <c r="D639" s="202" t="s">
        <v>963</v>
      </c>
      <c r="E639" s="202"/>
      <c r="F639" s="265">
        <v>6000</v>
      </c>
      <c r="G639" s="265">
        <v>0</v>
      </c>
      <c r="H639" s="265">
        <v>6000</v>
      </c>
      <c r="I639" s="265">
        <v>0</v>
      </c>
      <c r="J639" s="265">
        <f t="shared" si="208"/>
        <v>0</v>
      </c>
      <c r="K639" s="265">
        <f t="shared" si="209"/>
        <v>0</v>
      </c>
      <c r="L639" s="265">
        <v>6000</v>
      </c>
      <c r="M639" s="226">
        <v>0</v>
      </c>
      <c r="N639" s="265">
        <v>6000</v>
      </c>
      <c r="O639" s="226">
        <v>0</v>
      </c>
      <c r="P639" s="265">
        <f t="shared" si="210"/>
        <v>0</v>
      </c>
      <c r="Q639" s="271">
        <f t="shared" si="211"/>
        <v>0</v>
      </c>
    </row>
    <row r="640" spans="1:17" x14ac:dyDescent="0.2">
      <c r="A640" s="264" t="s">
        <v>547</v>
      </c>
      <c r="B640" s="202" t="s">
        <v>512</v>
      </c>
      <c r="C640" s="202" t="s">
        <v>531</v>
      </c>
      <c r="D640" s="202" t="s">
        <v>963</v>
      </c>
      <c r="E640" s="202" t="s">
        <v>519</v>
      </c>
      <c r="F640" s="265">
        <v>6000</v>
      </c>
      <c r="G640" s="265">
        <v>0</v>
      </c>
      <c r="H640" s="265">
        <v>6000</v>
      </c>
      <c r="I640" s="265">
        <v>0</v>
      </c>
      <c r="J640" s="265">
        <f t="shared" si="208"/>
        <v>0</v>
      </c>
      <c r="K640" s="265">
        <f t="shared" si="209"/>
        <v>0</v>
      </c>
      <c r="L640" s="265">
        <v>6000</v>
      </c>
      <c r="M640" s="226">
        <v>0</v>
      </c>
      <c r="N640" s="265">
        <v>6000</v>
      </c>
      <c r="O640" s="226">
        <v>0</v>
      </c>
      <c r="P640" s="265">
        <f t="shared" si="210"/>
        <v>0</v>
      </c>
      <c r="Q640" s="271">
        <f t="shared" si="211"/>
        <v>0</v>
      </c>
    </row>
    <row r="641" spans="1:17" x14ac:dyDescent="0.2">
      <c r="A641" s="264" t="s">
        <v>571</v>
      </c>
      <c r="B641" s="202" t="s">
        <v>512</v>
      </c>
      <c r="C641" s="202" t="s">
        <v>531</v>
      </c>
      <c r="D641" s="202" t="s">
        <v>963</v>
      </c>
      <c r="E641" s="202" t="s">
        <v>522</v>
      </c>
      <c r="F641" s="265">
        <v>6000</v>
      </c>
      <c r="G641" s="265">
        <v>0</v>
      </c>
      <c r="H641" s="265">
        <v>6000</v>
      </c>
      <c r="I641" s="265">
        <v>0</v>
      </c>
      <c r="J641" s="265">
        <f t="shared" si="208"/>
        <v>0</v>
      </c>
      <c r="K641" s="265">
        <f t="shared" si="209"/>
        <v>0</v>
      </c>
      <c r="L641" s="265">
        <v>6000</v>
      </c>
      <c r="M641" s="226">
        <v>0</v>
      </c>
      <c r="N641" s="265">
        <v>6000</v>
      </c>
      <c r="O641" s="226">
        <v>0</v>
      </c>
      <c r="P641" s="265">
        <f t="shared" si="210"/>
        <v>0</v>
      </c>
      <c r="Q641" s="271">
        <f t="shared" si="211"/>
        <v>0</v>
      </c>
    </row>
    <row r="642" spans="1:17" x14ac:dyDescent="0.2">
      <c r="A642" s="264" t="s">
        <v>962</v>
      </c>
      <c r="B642" s="202" t="s">
        <v>512</v>
      </c>
      <c r="C642" s="202" t="s">
        <v>531</v>
      </c>
      <c r="D642" s="202" t="s">
        <v>961</v>
      </c>
      <c r="E642" s="202"/>
      <c r="F642" s="265">
        <v>190756.5</v>
      </c>
      <c r="G642" s="265">
        <v>0</v>
      </c>
      <c r="H642" s="265">
        <v>190756.5</v>
      </c>
      <c r="I642" s="265">
        <v>0</v>
      </c>
      <c r="J642" s="265">
        <f t="shared" si="208"/>
        <v>0</v>
      </c>
      <c r="K642" s="265">
        <f t="shared" si="209"/>
        <v>0</v>
      </c>
      <c r="L642" s="265">
        <v>190756.5</v>
      </c>
      <c r="M642" s="226">
        <v>0</v>
      </c>
      <c r="N642" s="265">
        <v>190756.5</v>
      </c>
      <c r="O642" s="226">
        <v>0</v>
      </c>
      <c r="P642" s="265">
        <f t="shared" si="210"/>
        <v>0</v>
      </c>
      <c r="Q642" s="271">
        <f t="shared" si="211"/>
        <v>0</v>
      </c>
    </row>
    <row r="643" spans="1:17" x14ac:dyDescent="0.2">
      <c r="A643" s="264" t="s">
        <v>1347</v>
      </c>
      <c r="B643" s="202" t="s">
        <v>512</v>
      </c>
      <c r="C643" s="202" t="s">
        <v>531</v>
      </c>
      <c r="D643" s="202" t="s">
        <v>961</v>
      </c>
      <c r="E643" s="202" t="s">
        <v>535</v>
      </c>
      <c r="F643" s="265">
        <v>190756.5</v>
      </c>
      <c r="G643" s="265">
        <v>0</v>
      </c>
      <c r="H643" s="265">
        <v>190756.5</v>
      </c>
      <c r="I643" s="265">
        <v>0</v>
      </c>
      <c r="J643" s="265">
        <f t="shared" si="208"/>
        <v>0</v>
      </c>
      <c r="K643" s="265">
        <f t="shared" si="209"/>
        <v>0</v>
      </c>
      <c r="L643" s="265">
        <v>190756.5</v>
      </c>
      <c r="M643" s="226">
        <v>0</v>
      </c>
      <c r="N643" s="265">
        <v>190756.5</v>
      </c>
      <c r="O643" s="226">
        <v>0</v>
      </c>
      <c r="P643" s="265">
        <f t="shared" si="210"/>
        <v>0</v>
      </c>
      <c r="Q643" s="271">
        <f t="shared" si="211"/>
        <v>0</v>
      </c>
    </row>
    <row r="644" spans="1:17" x14ac:dyDescent="0.2">
      <c r="A644" s="264" t="s">
        <v>534</v>
      </c>
      <c r="B644" s="202" t="s">
        <v>512</v>
      </c>
      <c r="C644" s="202" t="s">
        <v>531</v>
      </c>
      <c r="D644" s="202" t="s">
        <v>961</v>
      </c>
      <c r="E644" s="202" t="s">
        <v>529</v>
      </c>
      <c r="F644" s="265">
        <v>190756.5</v>
      </c>
      <c r="G644" s="265">
        <v>0</v>
      </c>
      <c r="H644" s="265">
        <v>190756.5</v>
      </c>
      <c r="I644" s="265">
        <v>0</v>
      </c>
      <c r="J644" s="265">
        <f t="shared" si="208"/>
        <v>0</v>
      </c>
      <c r="K644" s="265">
        <f t="shared" si="209"/>
        <v>0</v>
      </c>
      <c r="L644" s="265">
        <v>190756.5</v>
      </c>
      <c r="M644" s="226">
        <v>0</v>
      </c>
      <c r="N644" s="265">
        <v>190756.5</v>
      </c>
      <c r="O644" s="226">
        <v>0</v>
      </c>
      <c r="P644" s="265">
        <f t="shared" si="210"/>
        <v>0</v>
      </c>
      <c r="Q644" s="271">
        <f t="shared" si="211"/>
        <v>0</v>
      </c>
    </row>
    <row r="645" spans="1:17" x14ac:dyDescent="0.2">
      <c r="A645" s="264" t="s">
        <v>960</v>
      </c>
      <c r="B645" s="202" t="s">
        <v>512</v>
      </c>
      <c r="C645" s="202" t="s">
        <v>531</v>
      </c>
      <c r="D645" s="202" t="s">
        <v>959</v>
      </c>
      <c r="E645" s="202"/>
      <c r="F645" s="265">
        <v>17331</v>
      </c>
      <c r="G645" s="265">
        <v>0</v>
      </c>
      <c r="H645" s="265">
        <v>17331</v>
      </c>
      <c r="I645" s="265">
        <v>0</v>
      </c>
      <c r="J645" s="265">
        <f t="shared" si="208"/>
        <v>0</v>
      </c>
      <c r="K645" s="265">
        <f t="shared" si="209"/>
        <v>0</v>
      </c>
      <c r="L645" s="265">
        <v>17331</v>
      </c>
      <c r="M645" s="226">
        <v>0</v>
      </c>
      <c r="N645" s="265">
        <v>17331</v>
      </c>
      <c r="O645" s="226">
        <v>0</v>
      </c>
      <c r="P645" s="265">
        <f t="shared" si="210"/>
        <v>0</v>
      </c>
      <c r="Q645" s="271">
        <f t="shared" si="211"/>
        <v>0</v>
      </c>
    </row>
    <row r="646" spans="1:17" x14ac:dyDescent="0.2">
      <c r="A646" s="264" t="s">
        <v>1347</v>
      </c>
      <c r="B646" s="202" t="s">
        <v>512</v>
      </c>
      <c r="C646" s="202" t="s">
        <v>531</v>
      </c>
      <c r="D646" s="202" t="s">
        <v>959</v>
      </c>
      <c r="E646" s="202" t="s">
        <v>535</v>
      </c>
      <c r="F646" s="265">
        <v>17331</v>
      </c>
      <c r="G646" s="265">
        <v>0</v>
      </c>
      <c r="H646" s="265">
        <v>17331</v>
      </c>
      <c r="I646" s="265">
        <v>0</v>
      </c>
      <c r="J646" s="265">
        <f t="shared" si="208"/>
        <v>0</v>
      </c>
      <c r="K646" s="265">
        <f t="shared" si="209"/>
        <v>0</v>
      </c>
      <c r="L646" s="265">
        <v>17331</v>
      </c>
      <c r="M646" s="226">
        <v>0</v>
      </c>
      <c r="N646" s="265">
        <v>17331</v>
      </c>
      <c r="O646" s="226">
        <v>0</v>
      </c>
      <c r="P646" s="265">
        <f t="shared" si="210"/>
        <v>0</v>
      </c>
      <c r="Q646" s="271">
        <f t="shared" si="211"/>
        <v>0</v>
      </c>
    </row>
    <row r="647" spans="1:17" x14ac:dyDescent="0.2">
      <c r="A647" s="264" t="s">
        <v>534</v>
      </c>
      <c r="B647" s="202" t="s">
        <v>512</v>
      </c>
      <c r="C647" s="202" t="s">
        <v>531</v>
      </c>
      <c r="D647" s="202" t="s">
        <v>959</v>
      </c>
      <c r="E647" s="202" t="s">
        <v>529</v>
      </c>
      <c r="F647" s="265">
        <v>17331</v>
      </c>
      <c r="G647" s="265">
        <v>0</v>
      </c>
      <c r="H647" s="265">
        <v>17331</v>
      </c>
      <c r="I647" s="265">
        <v>0</v>
      </c>
      <c r="J647" s="265">
        <f t="shared" si="208"/>
        <v>0</v>
      </c>
      <c r="K647" s="265">
        <f t="shared" si="209"/>
        <v>0</v>
      </c>
      <c r="L647" s="265">
        <v>17331</v>
      </c>
      <c r="M647" s="226">
        <v>0</v>
      </c>
      <c r="N647" s="265">
        <v>17331</v>
      </c>
      <c r="O647" s="226">
        <v>0</v>
      </c>
      <c r="P647" s="265">
        <f t="shared" si="210"/>
        <v>0</v>
      </c>
      <c r="Q647" s="271">
        <f t="shared" si="211"/>
        <v>0</v>
      </c>
    </row>
    <row r="648" spans="1:17" ht="22.5" x14ac:dyDescent="0.2">
      <c r="A648" s="264" t="s">
        <v>958</v>
      </c>
      <c r="B648" s="202" t="s">
        <v>512</v>
      </c>
      <c r="C648" s="202" t="s">
        <v>531</v>
      </c>
      <c r="D648" s="202" t="s">
        <v>957</v>
      </c>
      <c r="E648" s="202"/>
      <c r="F648" s="265">
        <v>3000</v>
      </c>
      <c r="G648" s="265">
        <v>0</v>
      </c>
      <c r="H648" s="265">
        <v>3000</v>
      </c>
      <c r="I648" s="265">
        <v>0</v>
      </c>
      <c r="J648" s="265">
        <f t="shared" si="208"/>
        <v>0</v>
      </c>
      <c r="K648" s="265">
        <f t="shared" si="209"/>
        <v>0</v>
      </c>
      <c r="L648" s="265">
        <v>3000</v>
      </c>
      <c r="M648" s="226">
        <v>0</v>
      </c>
      <c r="N648" s="265">
        <v>3000</v>
      </c>
      <c r="O648" s="226">
        <v>0</v>
      </c>
      <c r="P648" s="265">
        <f t="shared" si="210"/>
        <v>0</v>
      </c>
      <c r="Q648" s="271">
        <f t="shared" si="211"/>
        <v>0</v>
      </c>
    </row>
    <row r="649" spans="1:17" x14ac:dyDescent="0.2">
      <c r="A649" s="264" t="s">
        <v>1347</v>
      </c>
      <c r="B649" s="202" t="s">
        <v>512</v>
      </c>
      <c r="C649" s="202" t="s">
        <v>531</v>
      </c>
      <c r="D649" s="202" t="s">
        <v>957</v>
      </c>
      <c r="E649" s="202" t="s">
        <v>535</v>
      </c>
      <c r="F649" s="265">
        <v>3000</v>
      </c>
      <c r="G649" s="265">
        <v>0</v>
      </c>
      <c r="H649" s="265">
        <v>3000</v>
      </c>
      <c r="I649" s="265">
        <v>0</v>
      </c>
      <c r="J649" s="265">
        <f t="shared" si="208"/>
        <v>0</v>
      </c>
      <c r="K649" s="265">
        <f t="shared" si="209"/>
        <v>0</v>
      </c>
      <c r="L649" s="265">
        <v>3000</v>
      </c>
      <c r="M649" s="226">
        <v>0</v>
      </c>
      <c r="N649" s="265">
        <v>3000</v>
      </c>
      <c r="O649" s="226">
        <v>0</v>
      </c>
      <c r="P649" s="265">
        <f t="shared" si="210"/>
        <v>0</v>
      </c>
      <c r="Q649" s="271">
        <f t="shared" si="211"/>
        <v>0</v>
      </c>
    </row>
    <row r="650" spans="1:17" x14ac:dyDescent="0.2">
      <c r="A650" s="264" t="s">
        <v>534</v>
      </c>
      <c r="B650" s="202" t="s">
        <v>512</v>
      </c>
      <c r="C650" s="202" t="s">
        <v>531</v>
      </c>
      <c r="D650" s="202" t="s">
        <v>957</v>
      </c>
      <c r="E650" s="202" t="s">
        <v>529</v>
      </c>
      <c r="F650" s="265">
        <v>3000</v>
      </c>
      <c r="G650" s="265">
        <v>0</v>
      </c>
      <c r="H650" s="265">
        <v>3000</v>
      </c>
      <c r="I650" s="265">
        <v>0</v>
      </c>
      <c r="J650" s="265">
        <f t="shared" si="208"/>
        <v>0</v>
      </c>
      <c r="K650" s="265">
        <f t="shared" si="209"/>
        <v>0</v>
      </c>
      <c r="L650" s="265">
        <v>3000</v>
      </c>
      <c r="M650" s="226">
        <v>0</v>
      </c>
      <c r="N650" s="265">
        <v>3000</v>
      </c>
      <c r="O650" s="226">
        <v>0</v>
      </c>
      <c r="P650" s="265">
        <f t="shared" si="210"/>
        <v>0</v>
      </c>
      <c r="Q650" s="271">
        <f t="shared" si="211"/>
        <v>0</v>
      </c>
    </row>
    <row r="651" spans="1:17" ht="22.5" x14ac:dyDescent="0.2">
      <c r="A651" s="264" t="s">
        <v>1532</v>
      </c>
      <c r="B651" s="202" t="s">
        <v>512</v>
      </c>
      <c r="C651" s="202" t="s">
        <v>531</v>
      </c>
      <c r="D651" s="202" t="s">
        <v>956</v>
      </c>
      <c r="E651" s="202"/>
      <c r="F651" s="265">
        <v>372.6</v>
      </c>
      <c r="G651" s="265">
        <v>0</v>
      </c>
      <c r="H651" s="265">
        <f>H652</f>
        <v>372.6</v>
      </c>
      <c r="I651" s="265">
        <f>I652</f>
        <v>0</v>
      </c>
      <c r="J651" s="281">
        <f t="shared" si="208"/>
        <v>0</v>
      </c>
      <c r="K651" s="265">
        <f t="shared" si="209"/>
        <v>0</v>
      </c>
      <c r="L651" s="265">
        <v>372.6</v>
      </c>
      <c r="M651" s="226">
        <v>0</v>
      </c>
      <c r="N651" s="265">
        <f t="shared" ref="N651:O651" si="226">N652</f>
        <v>372.6</v>
      </c>
      <c r="O651" s="226">
        <f t="shared" si="226"/>
        <v>0</v>
      </c>
      <c r="P651" s="281">
        <f t="shared" si="210"/>
        <v>0</v>
      </c>
      <c r="Q651" s="271">
        <f t="shared" si="211"/>
        <v>0</v>
      </c>
    </row>
    <row r="652" spans="1:17" s="406" customFormat="1" ht="24" x14ac:dyDescent="0.2">
      <c r="A652" s="189" t="s">
        <v>547</v>
      </c>
      <c r="B652" s="202" t="s">
        <v>512</v>
      </c>
      <c r="C652" s="202" t="s">
        <v>531</v>
      </c>
      <c r="D652" s="202" t="s">
        <v>956</v>
      </c>
      <c r="E652" s="202">
        <v>600</v>
      </c>
      <c r="F652" s="265">
        <v>372.6</v>
      </c>
      <c r="G652" s="265">
        <v>0</v>
      </c>
      <c r="H652" s="265">
        <f>H653</f>
        <v>372.6</v>
      </c>
      <c r="I652" s="265">
        <f>I653</f>
        <v>0</v>
      </c>
      <c r="J652" s="265">
        <f t="shared" ref="J652:J653" si="227">H652-F652</f>
        <v>0</v>
      </c>
      <c r="K652" s="265">
        <f t="shared" ref="K652:K653" si="228">I652-G652</f>
        <v>0</v>
      </c>
      <c r="L652" s="265">
        <v>372.6</v>
      </c>
      <c r="M652" s="226">
        <v>0</v>
      </c>
      <c r="N652" s="265">
        <f>N653</f>
        <v>372.6</v>
      </c>
      <c r="O652" s="226">
        <f>O653</f>
        <v>0</v>
      </c>
      <c r="P652" s="265">
        <f t="shared" ref="P652:P653" si="229">N652-L652</f>
        <v>0</v>
      </c>
      <c r="Q652" s="271">
        <f t="shared" ref="Q652:Q653" si="230">O652-M652</f>
        <v>0</v>
      </c>
    </row>
    <row r="653" spans="1:17" s="406" customFormat="1" x14ac:dyDescent="0.2">
      <c r="A653" s="189" t="s">
        <v>571</v>
      </c>
      <c r="B653" s="202" t="s">
        <v>512</v>
      </c>
      <c r="C653" s="202" t="s">
        <v>531</v>
      </c>
      <c r="D653" s="202" t="s">
        <v>956</v>
      </c>
      <c r="E653" s="202">
        <v>610</v>
      </c>
      <c r="F653" s="265">
        <v>372.6</v>
      </c>
      <c r="G653" s="265">
        <v>0</v>
      </c>
      <c r="H653" s="265">
        <f>'Ведомственная 2021-2022'!H594</f>
        <v>372.6</v>
      </c>
      <c r="I653" s="265">
        <v>0</v>
      </c>
      <c r="J653" s="265">
        <f t="shared" si="227"/>
        <v>0</v>
      </c>
      <c r="K653" s="265">
        <f t="shared" si="228"/>
        <v>0</v>
      </c>
      <c r="L653" s="265">
        <v>372.6</v>
      </c>
      <c r="M653" s="226">
        <v>0</v>
      </c>
      <c r="N653" s="265">
        <f>'Ведомственная 2021-2022'!K594</f>
        <v>372.6</v>
      </c>
      <c r="O653" s="226">
        <v>0</v>
      </c>
      <c r="P653" s="265">
        <f t="shared" si="229"/>
        <v>0</v>
      </c>
      <c r="Q653" s="271">
        <f t="shared" si="230"/>
        <v>0</v>
      </c>
    </row>
    <row r="654" spans="1:17" ht="22.5" x14ac:dyDescent="0.2">
      <c r="A654" s="264" t="s">
        <v>948</v>
      </c>
      <c r="B654" s="202" t="s">
        <v>512</v>
      </c>
      <c r="C654" s="202" t="s">
        <v>531</v>
      </c>
      <c r="D654" s="202" t="s">
        <v>955</v>
      </c>
      <c r="E654" s="202"/>
      <c r="F654" s="265">
        <v>329.1</v>
      </c>
      <c r="G654" s="265">
        <v>0</v>
      </c>
      <c r="H654" s="265">
        <v>329.1</v>
      </c>
      <c r="I654" s="265">
        <v>0</v>
      </c>
      <c r="J654" s="265">
        <f t="shared" si="208"/>
        <v>0</v>
      </c>
      <c r="K654" s="265">
        <f t="shared" si="209"/>
        <v>0</v>
      </c>
      <c r="L654" s="265">
        <v>329.1</v>
      </c>
      <c r="M654" s="226">
        <v>0</v>
      </c>
      <c r="N654" s="265">
        <v>329.1</v>
      </c>
      <c r="O654" s="226">
        <v>0</v>
      </c>
      <c r="P654" s="265">
        <f t="shared" si="210"/>
        <v>0</v>
      </c>
      <c r="Q654" s="271">
        <f t="shared" si="211"/>
        <v>0</v>
      </c>
    </row>
    <row r="655" spans="1:17" ht="33.75" x14ac:dyDescent="0.2">
      <c r="A655" s="264" t="s">
        <v>1348</v>
      </c>
      <c r="B655" s="202" t="s">
        <v>512</v>
      </c>
      <c r="C655" s="202" t="s">
        <v>531</v>
      </c>
      <c r="D655" s="202" t="s">
        <v>955</v>
      </c>
      <c r="E655" s="202" t="s">
        <v>556</v>
      </c>
      <c r="F655" s="265">
        <v>295.8</v>
      </c>
      <c r="G655" s="265">
        <v>0</v>
      </c>
      <c r="H655" s="265">
        <v>295.8</v>
      </c>
      <c r="I655" s="265">
        <v>0</v>
      </c>
      <c r="J655" s="265">
        <f t="shared" si="208"/>
        <v>0</v>
      </c>
      <c r="K655" s="265">
        <f t="shared" si="209"/>
        <v>0</v>
      </c>
      <c r="L655" s="265">
        <v>295.8</v>
      </c>
      <c r="M655" s="226">
        <v>0</v>
      </c>
      <c r="N655" s="265">
        <v>295.8</v>
      </c>
      <c r="O655" s="226">
        <v>0</v>
      </c>
      <c r="P655" s="265">
        <f t="shared" si="210"/>
        <v>0</v>
      </c>
      <c r="Q655" s="271">
        <f t="shared" si="211"/>
        <v>0</v>
      </c>
    </row>
    <row r="656" spans="1:17" x14ac:dyDescent="0.2">
      <c r="A656" s="264" t="s">
        <v>555</v>
      </c>
      <c r="B656" s="202" t="s">
        <v>512</v>
      </c>
      <c r="C656" s="202" t="s">
        <v>531</v>
      </c>
      <c r="D656" s="202" t="s">
        <v>955</v>
      </c>
      <c r="E656" s="202" t="s">
        <v>554</v>
      </c>
      <c r="F656" s="265">
        <v>295.8</v>
      </c>
      <c r="G656" s="265">
        <v>0</v>
      </c>
      <c r="H656" s="265">
        <v>295.8</v>
      </c>
      <c r="I656" s="265">
        <v>0</v>
      </c>
      <c r="J656" s="265">
        <f t="shared" si="208"/>
        <v>0</v>
      </c>
      <c r="K656" s="265">
        <f t="shared" si="209"/>
        <v>0</v>
      </c>
      <c r="L656" s="265">
        <v>295.8</v>
      </c>
      <c r="M656" s="226">
        <v>0</v>
      </c>
      <c r="N656" s="265">
        <v>295.8</v>
      </c>
      <c r="O656" s="226">
        <v>0</v>
      </c>
      <c r="P656" s="265">
        <f t="shared" si="210"/>
        <v>0</v>
      </c>
      <c r="Q656" s="271">
        <f t="shared" si="211"/>
        <v>0</v>
      </c>
    </row>
    <row r="657" spans="1:17" x14ac:dyDescent="0.2">
      <c r="A657" s="264" t="s">
        <v>1347</v>
      </c>
      <c r="B657" s="202" t="s">
        <v>512</v>
      </c>
      <c r="C657" s="202" t="s">
        <v>531</v>
      </c>
      <c r="D657" s="202" t="s">
        <v>955</v>
      </c>
      <c r="E657" s="202" t="s">
        <v>535</v>
      </c>
      <c r="F657" s="265">
        <v>33.299999999999997</v>
      </c>
      <c r="G657" s="265">
        <v>0</v>
      </c>
      <c r="H657" s="265">
        <v>33.299999999999997</v>
      </c>
      <c r="I657" s="265">
        <v>0</v>
      </c>
      <c r="J657" s="265">
        <f t="shared" si="208"/>
        <v>0</v>
      </c>
      <c r="K657" s="265">
        <f t="shared" si="209"/>
        <v>0</v>
      </c>
      <c r="L657" s="265">
        <v>33.299999999999997</v>
      </c>
      <c r="M657" s="226">
        <v>0</v>
      </c>
      <c r="N657" s="265">
        <v>33.299999999999997</v>
      </c>
      <c r="O657" s="226">
        <v>0</v>
      </c>
      <c r="P657" s="265">
        <f t="shared" si="210"/>
        <v>0</v>
      </c>
      <c r="Q657" s="271">
        <f t="shared" si="211"/>
        <v>0</v>
      </c>
    </row>
    <row r="658" spans="1:17" x14ac:dyDescent="0.2">
      <c r="A658" s="264" t="s">
        <v>534</v>
      </c>
      <c r="B658" s="202" t="s">
        <v>512</v>
      </c>
      <c r="C658" s="202" t="s">
        <v>531</v>
      </c>
      <c r="D658" s="202" t="s">
        <v>955</v>
      </c>
      <c r="E658" s="202" t="s">
        <v>529</v>
      </c>
      <c r="F658" s="265">
        <v>33.299999999999997</v>
      </c>
      <c r="G658" s="265">
        <v>0</v>
      </c>
      <c r="H658" s="265">
        <v>33.299999999999997</v>
      </c>
      <c r="I658" s="265">
        <v>0</v>
      </c>
      <c r="J658" s="265">
        <f t="shared" si="208"/>
        <v>0</v>
      </c>
      <c r="K658" s="265">
        <f t="shared" si="209"/>
        <v>0</v>
      </c>
      <c r="L658" s="265">
        <v>33.299999999999997</v>
      </c>
      <c r="M658" s="226">
        <v>0</v>
      </c>
      <c r="N658" s="265">
        <v>33.299999999999997</v>
      </c>
      <c r="O658" s="226">
        <v>0</v>
      </c>
      <c r="P658" s="265">
        <f t="shared" si="210"/>
        <v>0</v>
      </c>
      <c r="Q658" s="271">
        <f t="shared" si="211"/>
        <v>0</v>
      </c>
    </row>
    <row r="659" spans="1:17" ht="22.5" x14ac:dyDescent="0.2">
      <c r="A659" s="264" t="s">
        <v>946</v>
      </c>
      <c r="B659" s="202" t="s">
        <v>512</v>
      </c>
      <c r="C659" s="202" t="s">
        <v>531</v>
      </c>
      <c r="D659" s="202" t="s">
        <v>954</v>
      </c>
      <c r="E659" s="202"/>
      <c r="F659" s="265">
        <v>184.1</v>
      </c>
      <c r="G659" s="265">
        <v>0</v>
      </c>
      <c r="H659" s="265">
        <v>184.1</v>
      </c>
      <c r="I659" s="265">
        <v>0</v>
      </c>
      <c r="J659" s="265">
        <f t="shared" si="208"/>
        <v>0</v>
      </c>
      <c r="K659" s="265">
        <f t="shared" si="209"/>
        <v>0</v>
      </c>
      <c r="L659" s="265">
        <v>184.1</v>
      </c>
      <c r="M659" s="226">
        <v>0</v>
      </c>
      <c r="N659" s="265">
        <v>184.1</v>
      </c>
      <c r="O659" s="226">
        <v>0</v>
      </c>
      <c r="P659" s="265">
        <f t="shared" si="210"/>
        <v>0</v>
      </c>
      <c r="Q659" s="271">
        <f t="shared" si="211"/>
        <v>0</v>
      </c>
    </row>
    <row r="660" spans="1:17" ht="33.75" x14ac:dyDescent="0.2">
      <c r="A660" s="264" t="s">
        <v>1348</v>
      </c>
      <c r="B660" s="202" t="s">
        <v>512</v>
      </c>
      <c r="C660" s="202" t="s">
        <v>531</v>
      </c>
      <c r="D660" s="202" t="s">
        <v>954</v>
      </c>
      <c r="E660" s="202" t="s">
        <v>556</v>
      </c>
      <c r="F660" s="265">
        <v>117.4</v>
      </c>
      <c r="G660" s="265">
        <v>0</v>
      </c>
      <c r="H660" s="265">
        <v>117.4</v>
      </c>
      <c r="I660" s="265">
        <v>0</v>
      </c>
      <c r="J660" s="265">
        <f t="shared" si="208"/>
        <v>0</v>
      </c>
      <c r="K660" s="265">
        <f t="shared" si="209"/>
        <v>0</v>
      </c>
      <c r="L660" s="265">
        <v>117.4</v>
      </c>
      <c r="M660" s="226">
        <v>0</v>
      </c>
      <c r="N660" s="265">
        <v>117.4</v>
      </c>
      <c r="O660" s="226">
        <v>0</v>
      </c>
      <c r="P660" s="265">
        <f t="shared" si="210"/>
        <v>0</v>
      </c>
      <c r="Q660" s="271">
        <f t="shared" si="211"/>
        <v>0</v>
      </c>
    </row>
    <row r="661" spans="1:17" x14ac:dyDescent="0.2">
      <c r="A661" s="264" t="s">
        <v>555</v>
      </c>
      <c r="B661" s="202" t="s">
        <v>512</v>
      </c>
      <c r="C661" s="202" t="s">
        <v>531</v>
      </c>
      <c r="D661" s="202" t="s">
        <v>954</v>
      </c>
      <c r="E661" s="202" t="s">
        <v>554</v>
      </c>
      <c r="F661" s="265">
        <v>117.4</v>
      </c>
      <c r="G661" s="265">
        <v>0</v>
      </c>
      <c r="H661" s="265">
        <v>117.4</v>
      </c>
      <c r="I661" s="265">
        <v>0</v>
      </c>
      <c r="J661" s="265">
        <f t="shared" si="208"/>
        <v>0</v>
      </c>
      <c r="K661" s="265">
        <f t="shared" si="209"/>
        <v>0</v>
      </c>
      <c r="L661" s="265">
        <v>117.4</v>
      </c>
      <c r="M661" s="226">
        <v>0</v>
      </c>
      <c r="N661" s="265">
        <v>117.4</v>
      </c>
      <c r="O661" s="226">
        <v>0</v>
      </c>
      <c r="P661" s="265">
        <f t="shared" si="210"/>
        <v>0</v>
      </c>
      <c r="Q661" s="271">
        <f t="shared" si="211"/>
        <v>0</v>
      </c>
    </row>
    <row r="662" spans="1:17" x14ac:dyDescent="0.2">
      <c r="A662" s="264" t="s">
        <v>1347</v>
      </c>
      <c r="B662" s="202" t="s">
        <v>512</v>
      </c>
      <c r="C662" s="202" t="s">
        <v>531</v>
      </c>
      <c r="D662" s="202" t="s">
        <v>954</v>
      </c>
      <c r="E662" s="202" t="s">
        <v>535</v>
      </c>
      <c r="F662" s="265">
        <v>66.7</v>
      </c>
      <c r="G662" s="265">
        <v>0</v>
      </c>
      <c r="H662" s="265">
        <v>66.7</v>
      </c>
      <c r="I662" s="265">
        <v>0</v>
      </c>
      <c r="J662" s="265">
        <f t="shared" si="208"/>
        <v>0</v>
      </c>
      <c r="K662" s="265">
        <f t="shared" si="209"/>
        <v>0</v>
      </c>
      <c r="L662" s="265">
        <v>66.7</v>
      </c>
      <c r="M662" s="226">
        <v>0</v>
      </c>
      <c r="N662" s="265">
        <v>66.7</v>
      </c>
      <c r="O662" s="226">
        <v>0</v>
      </c>
      <c r="P662" s="265">
        <f t="shared" si="210"/>
        <v>0</v>
      </c>
      <c r="Q662" s="271">
        <f t="shared" si="211"/>
        <v>0</v>
      </c>
    </row>
    <row r="663" spans="1:17" x14ac:dyDescent="0.2">
      <c r="A663" s="264" t="s">
        <v>534</v>
      </c>
      <c r="B663" s="202" t="s">
        <v>512</v>
      </c>
      <c r="C663" s="202" t="s">
        <v>531</v>
      </c>
      <c r="D663" s="202" t="s">
        <v>954</v>
      </c>
      <c r="E663" s="202" t="s">
        <v>529</v>
      </c>
      <c r="F663" s="265">
        <v>66.7</v>
      </c>
      <c r="G663" s="265">
        <v>0</v>
      </c>
      <c r="H663" s="265">
        <v>66.7</v>
      </c>
      <c r="I663" s="265">
        <v>0</v>
      </c>
      <c r="J663" s="265">
        <f t="shared" si="208"/>
        <v>0</v>
      </c>
      <c r="K663" s="265">
        <f t="shared" si="209"/>
        <v>0</v>
      </c>
      <c r="L663" s="265">
        <v>66.7</v>
      </c>
      <c r="M663" s="226">
        <v>0</v>
      </c>
      <c r="N663" s="265">
        <v>66.7</v>
      </c>
      <c r="O663" s="226">
        <v>0</v>
      </c>
      <c r="P663" s="265">
        <f t="shared" si="210"/>
        <v>0</v>
      </c>
      <c r="Q663" s="271">
        <f t="shared" si="211"/>
        <v>0</v>
      </c>
    </row>
    <row r="664" spans="1:17" ht="22.5" x14ac:dyDescent="0.2">
      <c r="A664" s="264" t="s">
        <v>953</v>
      </c>
      <c r="B664" s="202" t="s">
        <v>512</v>
      </c>
      <c r="C664" s="202" t="s">
        <v>531</v>
      </c>
      <c r="D664" s="202" t="s">
        <v>952</v>
      </c>
      <c r="E664" s="202"/>
      <c r="F664" s="265">
        <v>22826.400000000001</v>
      </c>
      <c r="G664" s="265">
        <v>0</v>
      </c>
      <c r="H664" s="265">
        <v>22826.400000000001</v>
      </c>
      <c r="I664" s="265">
        <v>0</v>
      </c>
      <c r="J664" s="265">
        <f t="shared" si="208"/>
        <v>0</v>
      </c>
      <c r="K664" s="265">
        <f t="shared" si="209"/>
        <v>0</v>
      </c>
      <c r="L664" s="265">
        <v>22826.400000000001</v>
      </c>
      <c r="M664" s="226">
        <v>0</v>
      </c>
      <c r="N664" s="265">
        <v>22826.400000000001</v>
      </c>
      <c r="O664" s="226">
        <v>0</v>
      </c>
      <c r="P664" s="265">
        <f t="shared" si="210"/>
        <v>0</v>
      </c>
      <c r="Q664" s="271">
        <f t="shared" si="211"/>
        <v>0</v>
      </c>
    </row>
    <row r="665" spans="1:17" x14ac:dyDescent="0.2">
      <c r="A665" s="264" t="s">
        <v>547</v>
      </c>
      <c r="B665" s="202" t="s">
        <v>512</v>
      </c>
      <c r="C665" s="202" t="s">
        <v>531</v>
      </c>
      <c r="D665" s="202" t="s">
        <v>952</v>
      </c>
      <c r="E665" s="202" t="s">
        <v>519</v>
      </c>
      <c r="F665" s="265">
        <v>22826.400000000001</v>
      </c>
      <c r="G665" s="265">
        <v>0</v>
      </c>
      <c r="H665" s="265">
        <v>22826.400000000001</v>
      </c>
      <c r="I665" s="265">
        <v>0</v>
      </c>
      <c r="J665" s="265">
        <f t="shared" si="208"/>
        <v>0</v>
      </c>
      <c r="K665" s="265">
        <f t="shared" si="209"/>
        <v>0</v>
      </c>
      <c r="L665" s="265">
        <v>22826.400000000001</v>
      </c>
      <c r="M665" s="226">
        <v>0</v>
      </c>
      <c r="N665" s="265">
        <v>22826.400000000001</v>
      </c>
      <c r="O665" s="226">
        <v>0</v>
      </c>
      <c r="P665" s="265">
        <f t="shared" si="210"/>
        <v>0</v>
      </c>
      <c r="Q665" s="271">
        <f t="shared" si="211"/>
        <v>0</v>
      </c>
    </row>
    <row r="666" spans="1:17" x14ac:dyDescent="0.2">
      <c r="A666" s="264" t="s">
        <v>571</v>
      </c>
      <c r="B666" s="202" t="s">
        <v>512</v>
      </c>
      <c r="C666" s="202" t="s">
        <v>531</v>
      </c>
      <c r="D666" s="202" t="s">
        <v>952</v>
      </c>
      <c r="E666" s="202" t="s">
        <v>522</v>
      </c>
      <c r="F666" s="265">
        <v>22826.400000000001</v>
      </c>
      <c r="G666" s="265">
        <v>0</v>
      </c>
      <c r="H666" s="265">
        <v>22826.400000000001</v>
      </c>
      <c r="I666" s="265">
        <v>0</v>
      </c>
      <c r="J666" s="265">
        <f t="shared" si="208"/>
        <v>0</v>
      </c>
      <c r="K666" s="265">
        <f t="shared" si="209"/>
        <v>0</v>
      </c>
      <c r="L666" s="265">
        <v>22826.400000000001</v>
      </c>
      <c r="M666" s="226">
        <v>0</v>
      </c>
      <c r="N666" s="265">
        <v>22826.400000000001</v>
      </c>
      <c r="O666" s="226">
        <v>0</v>
      </c>
      <c r="P666" s="265">
        <f t="shared" si="210"/>
        <v>0</v>
      </c>
      <c r="Q666" s="271">
        <f t="shared" si="211"/>
        <v>0</v>
      </c>
    </row>
    <row r="667" spans="1:17" ht="22.5" x14ac:dyDescent="0.2">
      <c r="A667" s="264" t="s">
        <v>951</v>
      </c>
      <c r="B667" s="202" t="s">
        <v>512</v>
      </c>
      <c r="C667" s="202" t="s">
        <v>531</v>
      </c>
      <c r="D667" s="202" t="s">
        <v>950</v>
      </c>
      <c r="E667" s="202"/>
      <c r="F667" s="265">
        <v>39869</v>
      </c>
      <c r="G667" s="265">
        <v>0</v>
      </c>
      <c r="H667" s="265">
        <v>39869</v>
      </c>
      <c r="I667" s="265">
        <v>0</v>
      </c>
      <c r="J667" s="265">
        <f t="shared" si="208"/>
        <v>0</v>
      </c>
      <c r="K667" s="265">
        <f t="shared" si="209"/>
        <v>0</v>
      </c>
      <c r="L667" s="265">
        <v>39869</v>
      </c>
      <c r="M667" s="226">
        <v>0</v>
      </c>
      <c r="N667" s="265">
        <v>39869</v>
      </c>
      <c r="O667" s="226">
        <v>0</v>
      </c>
      <c r="P667" s="265">
        <f t="shared" si="210"/>
        <v>0</v>
      </c>
      <c r="Q667" s="271">
        <f t="shared" si="211"/>
        <v>0</v>
      </c>
    </row>
    <row r="668" spans="1:17" x14ac:dyDescent="0.2">
      <c r="A668" s="264" t="s">
        <v>547</v>
      </c>
      <c r="B668" s="202" t="s">
        <v>512</v>
      </c>
      <c r="C668" s="202" t="s">
        <v>531</v>
      </c>
      <c r="D668" s="202" t="s">
        <v>950</v>
      </c>
      <c r="E668" s="202" t="s">
        <v>519</v>
      </c>
      <c r="F668" s="265">
        <v>39869</v>
      </c>
      <c r="G668" s="265">
        <v>0</v>
      </c>
      <c r="H668" s="265">
        <v>39869</v>
      </c>
      <c r="I668" s="265">
        <v>0</v>
      </c>
      <c r="J668" s="265">
        <f t="shared" si="208"/>
        <v>0</v>
      </c>
      <c r="K668" s="265">
        <f t="shared" si="209"/>
        <v>0</v>
      </c>
      <c r="L668" s="265">
        <v>39869</v>
      </c>
      <c r="M668" s="226">
        <v>0</v>
      </c>
      <c r="N668" s="265">
        <v>39869</v>
      </c>
      <c r="O668" s="226">
        <v>0</v>
      </c>
      <c r="P668" s="265">
        <f t="shared" si="210"/>
        <v>0</v>
      </c>
      <c r="Q668" s="271">
        <f t="shared" si="211"/>
        <v>0</v>
      </c>
    </row>
    <row r="669" spans="1:17" x14ac:dyDescent="0.2">
      <c r="A669" s="264" t="s">
        <v>571</v>
      </c>
      <c r="B669" s="202" t="s">
        <v>512</v>
      </c>
      <c r="C669" s="202" t="s">
        <v>531</v>
      </c>
      <c r="D669" s="202" t="s">
        <v>950</v>
      </c>
      <c r="E669" s="202" t="s">
        <v>522</v>
      </c>
      <c r="F669" s="265">
        <v>39869</v>
      </c>
      <c r="G669" s="265">
        <v>0</v>
      </c>
      <c r="H669" s="265">
        <v>39869</v>
      </c>
      <c r="I669" s="265">
        <v>0</v>
      </c>
      <c r="J669" s="265">
        <f t="shared" si="208"/>
        <v>0</v>
      </c>
      <c r="K669" s="265">
        <f t="shared" si="209"/>
        <v>0</v>
      </c>
      <c r="L669" s="265">
        <v>39869</v>
      </c>
      <c r="M669" s="226">
        <v>0</v>
      </c>
      <c r="N669" s="265">
        <v>39869</v>
      </c>
      <c r="O669" s="226">
        <v>0</v>
      </c>
      <c r="P669" s="265">
        <f t="shared" si="210"/>
        <v>0</v>
      </c>
      <c r="Q669" s="271">
        <f t="shared" si="211"/>
        <v>0</v>
      </c>
    </row>
    <row r="670" spans="1:17" ht="22.5" x14ac:dyDescent="0.2">
      <c r="A670" s="264" t="s">
        <v>1532</v>
      </c>
      <c r="B670" s="202" t="s">
        <v>512</v>
      </c>
      <c r="C670" s="202" t="s">
        <v>531</v>
      </c>
      <c r="D670" s="202" t="s">
        <v>949</v>
      </c>
      <c r="E670" s="202"/>
      <c r="F670" s="265">
        <v>148612.29999999999</v>
      </c>
      <c r="G670" s="265">
        <v>0</v>
      </c>
      <c r="H670" s="265">
        <f>H671</f>
        <v>148612.29999999999</v>
      </c>
      <c r="I670" s="265">
        <f>I671</f>
        <v>0</v>
      </c>
      <c r="J670" s="265">
        <f t="shared" si="208"/>
        <v>0</v>
      </c>
      <c r="K670" s="265">
        <f t="shared" si="209"/>
        <v>0</v>
      </c>
      <c r="L670" s="265">
        <v>148612.29999999999</v>
      </c>
      <c r="M670" s="226">
        <v>0</v>
      </c>
      <c r="N670" s="265">
        <f t="shared" ref="N670:O670" si="231">N671</f>
        <v>148612.29999999999</v>
      </c>
      <c r="O670" s="265">
        <f t="shared" si="231"/>
        <v>0</v>
      </c>
      <c r="P670" s="265">
        <f t="shared" si="210"/>
        <v>0</v>
      </c>
      <c r="Q670" s="271">
        <f t="shared" si="211"/>
        <v>0</v>
      </c>
    </row>
    <row r="671" spans="1:17" s="406" customFormat="1" x14ac:dyDescent="0.2">
      <c r="A671" s="264" t="s">
        <v>547</v>
      </c>
      <c r="B671" s="202" t="s">
        <v>512</v>
      </c>
      <c r="C671" s="202" t="s">
        <v>531</v>
      </c>
      <c r="D671" s="202" t="s">
        <v>949</v>
      </c>
      <c r="E671" s="202">
        <v>600</v>
      </c>
      <c r="F671" s="265">
        <v>148612.29999999999</v>
      </c>
      <c r="G671" s="265">
        <v>0</v>
      </c>
      <c r="H671" s="265">
        <f>H672</f>
        <v>148612.29999999999</v>
      </c>
      <c r="I671" s="265">
        <f>I672</f>
        <v>0</v>
      </c>
      <c r="J671" s="265">
        <f t="shared" ref="J671:J672" si="232">H671-F671</f>
        <v>0</v>
      </c>
      <c r="K671" s="265">
        <f t="shared" ref="K671:K672" si="233">I671-G671</f>
        <v>0</v>
      </c>
      <c r="L671" s="265">
        <v>148612.29999999999</v>
      </c>
      <c r="M671" s="226">
        <v>0</v>
      </c>
      <c r="N671" s="265">
        <f>N672</f>
        <v>148612.29999999999</v>
      </c>
      <c r="O671" s="226">
        <f>O672</f>
        <v>0</v>
      </c>
      <c r="P671" s="265">
        <f t="shared" ref="P671:P672" si="234">N671-L671</f>
        <v>0</v>
      </c>
      <c r="Q671" s="271">
        <f t="shared" ref="Q671:Q672" si="235">O671-M671</f>
        <v>0</v>
      </c>
    </row>
    <row r="672" spans="1:17" s="406" customFormat="1" x14ac:dyDescent="0.2">
      <c r="A672" s="264" t="s">
        <v>571</v>
      </c>
      <c r="B672" s="202" t="s">
        <v>512</v>
      </c>
      <c r="C672" s="202" t="s">
        <v>531</v>
      </c>
      <c r="D672" s="202" t="s">
        <v>949</v>
      </c>
      <c r="E672" s="202">
        <v>610</v>
      </c>
      <c r="F672" s="265">
        <v>148612.29999999999</v>
      </c>
      <c r="G672" s="265">
        <v>0</v>
      </c>
      <c r="H672" s="265">
        <f>'Ведомственная 2021-2022'!H613</f>
        <v>148612.29999999999</v>
      </c>
      <c r="I672" s="265">
        <v>0</v>
      </c>
      <c r="J672" s="265">
        <f t="shared" si="232"/>
        <v>0</v>
      </c>
      <c r="K672" s="265">
        <f t="shared" si="233"/>
        <v>0</v>
      </c>
      <c r="L672" s="265">
        <v>148612.29999999999</v>
      </c>
      <c r="M672" s="226">
        <v>0</v>
      </c>
      <c r="N672" s="265">
        <f>'Ведомственная 2021-2022'!K613</f>
        <v>148612.29999999999</v>
      </c>
      <c r="O672" s="226">
        <v>0</v>
      </c>
      <c r="P672" s="265">
        <f t="shared" si="234"/>
        <v>0</v>
      </c>
      <c r="Q672" s="271">
        <f t="shared" si="235"/>
        <v>0</v>
      </c>
    </row>
    <row r="673" spans="1:17" ht="22.5" x14ac:dyDescent="0.2">
      <c r="A673" s="264" t="s">
        <v>948</v>
      </c>
      <c r="B673" s="202" t="s">
        <v>512</v>
      </c>
      <c r="C673" s="202" t="s">
        <v>531</v>
      </c>
      <c r="D673" s="202" t="s">
        <v>947</v>
      </c>
      <c r="E673" s="202"/>
      <c r="F673" s="265">
        <v>27217.4</v>
      </c>
      <c r="G673" s="265">
        <v>0</v>
      </c>
      <c r="H673" s="265">
        <v>27217.4</v>
      </c>
      <c r="I673" s="265">
        <v>0</v>
      </c>
      <c r="J673" s="265">
        <f t="shared" si="208"/>
        <v>0</v>
      </c>
      <c r="K673" s="265">
        <f t="shared" si="209"/>
        <v>0</v>
      </c>
      <c r="L673" s="265">
        <v>27217.4</v>
      </c>
      <c r="M673" s="226">
        <v>0</v>
      </c>
      <c r="N673" s="265">
        <v>27217.4</v>
      </c>
      <c r="O673" s="226">
        <v>0</v>
      </c>
      <c r="P673" s="265">
        <f t="shared" si="210"/>
        <v>0</v>
      </c>
      <c r="Q673" s="271">
        <f t="shared" si="211"/>
        <v>0</v>
      </c>
    </row>
    <row r="674" spans="1:17" ht="33.75" x14ac:dyDescent="0.2">
      <c r="A674" s="264" t="s">
        <v>1348</v>
      </c>
      <c r="B674" s="202" t="s">
        <v>512</v>
      </c>
      <c r="C674" s="202" t="s">
        <v>531</v>
      </c>
      <c r="D674" s="202" t="s">
        <v>947</v>
      </c>
      <c r="E674" s="202" t="s">
        <v>556</v>
      </c>
      <c r="F674" s="265">
        <v>22175</v>
      </c>
      <c r="G674" s="265">
        <v>0</v>
      </c>
      <c r="H674" s="265">
        <v>22175</v>
      </c>
      <c r="I674" s="265">
        <v>0</v>
      </c>
      <c r="J674" s="265">
        <f t="shared" si="208"/>
        <v>0</v>
      </c>
      <c r="K674" s="265">
        <f t="shared" si="209"/>
        <v>0</v>
      </c>
      <c r="L674" s="265">
        <v>22175</v>
      </c>
      <c r="M674" s="226">
        <v>0</v>
      </c>
      <c r="N674" s="265">
        <v>22175</v>
      </c>
      <c r="O674" s="226">
        <v>0</v>
      </c>
      <c r="P674" s="265">
        <f t="shared" si="210"/>
        <v>0</v>
      </c>
      <c r="Q674" s="271">
        <f t="shared" si="211"/>
        <v>0</v>
      </c>
    </row>
    <row r="675" spans="1:17" x14ac:dyDescent="0.2">
      <c r="A675" s="264" t="s">
        <v>555</v>
      </c>
      <c r="B675" s="202" t="s">
        <v>512</v>
      </c>
      <c r="C675" s="202" t="s">
        <v>531</v>
      </c>
      <c r="D675" s="202" t="s">
        <v>947</v>
      </c>
      <c r="E675" s="202" t="s">
        <v>554</v>
      </c>
      <c r="F675" s="265">
        <v>22175</v>
      </c>
      <c r="G675" s="265">
        <v>0</v>
      </c>
      <c r="H675" s="265">
        <v>22175</v>
      </c>
      <c r="I675" s="265">
        <v>0</v>
      </c>
      <c r="J675" s="265">
        <f t="shared" si="208"/>
        <v>0</v>
      </c>
      <c r="K675" s="265">
        <f t="shared" si="209"/>
        <v>0</v>
      </c>
      <c r="L675" s="265">
        <v>22175</v>
      </c>
      <c r="M675" s="226">
        <v>0</v>
      </c>
      <c r="N675" s="265">
        <v>22175</v>
      </c>
      <c r="O675" s="226">
        <v>0</v>
      </c>
      <c r="P675" s="265">
        <f t="shared" si="210"/>
        <v>0</v>
      </c>
      <c r="Q675" s="271">
        <f t="shared" si="211"/>
        <v>0</v>
      </c>
    </row>
    <row r="676" spans="1:17" x14ac:dyDescent="0.2">
      <c r="A676" s="264" t="s">
        <v>1347</v>
      </c>
      <c r="B676" s="202" t="s">
        <v>512</v>
      </c>
      <c r="C676" s="202" t="s">
        <v>531</v>
      </c>
      <c r="D676" s="202" t="s">
        <v>947</v>
      </c>
      <c r="E676" s="202" t="s">
        <v>535</v>
      </c>
      <c r="F676" s="265">
        <v>4105</v>
      </c>
      <c r="G676" s="265">
        <v>0</v>
      </c>
      <c r="H676" s="265">
        <v>4105</v>
      </c>
      <c r="I676" s="265">
        <v>0</v>
      </c>
      <c r="J676" s="265">
        <f t="shared" si="208"/>
        <v>0</v>
      </c>
      <c r="K676" s="265">
        <f t="shared" si="209"/>
        <v>0</v>
      </c>
      <c r="L676" s="265">
        <v>4105</v>
      </c>
      <c r="M676" s="226">
        <v>0</v>
      </c>
      <c r="N676" s="265">
        <v>4105</v>
      </c>
      <c r="O676" s="226">
        <v>0</v>
      </c>
      <c r="P676" s="265">
        <f t="shared" si="210"/>
        <v>0</v>
      </c>
      <c r="Q676" s="271">
        <f t="shared" si="211"/>
        <v>0</v>
      </c>
    </row>
    <row r="677" spans="1:17" x14ac:dyDescent="0.2">
      <c r="A677" s="264" t="s">
        <v>534</v>
      </c>
      <c r="B677" s="202" t="s">
        <v>512</v>
      </c>
      <c r="C677" s="202" t="s">
        <v>531</v>
      </c>
      <c r="D677" s="202" t="s">
        <v>947</v>
      </c>
      <c r="E677" s="202" t="s">
        <v>529</v>
      </c>
      <c r="F677" s="265">
        <v>4105</v>
      </c>
      <c r="G677" s="265">
        <v>0</v>
      </c>
      <c r="H677" s="265">
        <v>4105</v>
      </c>
      <c r="I677" s="265">
        <v>0</v>
      </c>
      <c r="J677" s="265">
        <f t="shared" si="208"/>
        <v>0</v>
      </c>
      <c r="K677" s="265">
        <f t="shared" si="209"/>
        <v>0</v>
      </c>
      <c r="L677" s="265">
        <v>4105</v>
      </c>
      <c r="M677" s="226">
        <v>0</v>
      </c>
      <c r="N677" s="265">
        <v>4105</v>
      </c>
      <c r="O677" s="226">
        <v>0</v>
      </c>
      <c r="P677" s="265">
        <f t="shared" si="210"/>
        <v>0</v>
      </c>
      <c r="Q677" s="271">
        <f t="shared" si="211"/>
        <v>0</v>
      </c>
    </row>
    <row r="678" spans="1:17" x14ac:dyDescent="0.2">
      <c r="A678" s="264" t="s">
        <v>615</v>
      </c>
      <c r="B678" s="202" t="s">
        <v>512</v>
      </c>
      <c r="C678" s="202" t="s">
        <v>531</v>
      </c>
      <c r="D678" s="202" t="s">
        <v>947</v>
      </c>
      <c r="E678" s="202" t="s">
        <v>509</v>
      </c>
      <c r="F678" s="265">
        <v>937.4</v>
      </c>
      <c r="G678" s="265">
        <v>0</v>
      </c>
      <c r="H678" s="265">
        <v>937.4</v>
      </c>
      <c r="I678" s="265">
        <v>0</v>
      </c>
      <c r="J678" s="265">
        <f t="shared" si="208"/>
        <v>0</v>
      </c>
      <c r="K678" s="265">
        <f t="shared" si="209"/>
        <v>0</v>
      </c>
      <c r="L678" s="265">
        <v>937.4</v>
      </c>
      <c r="M678" s="226">
        <v>0</v>
      </c>
      <c r="N678" s="265">
        <v>937.4</v>
      </c>
      <c r="O678" s="226">
        <v>0</v>
      </c>
      <c r="P678" s="265">
        <f t="shared" si="210"/>
        <v>0</v>
      </c>
      <c r="Q678" s="271">
        <f t="shared" si="211"/>
        <v>0</v>
      </c>
    </row>
    <row r="679" spans="1:17" x14ac:dyDescent="0.2">
      <c r="A679" s="264" t="s">
        <v>614</v>
      </c>
      <c r="B679" s="202" t="s">
        <v>512</v>
      </c>
      <c r="C679" s="202" t="s">
        <v>531</v>
      </c>
      <c r="D679" s="202" t="s">
        <v>947</v>
      </c>
      <c r="E679" s="202" t="s">
        <v>613</v>
      </c>
      <c r="F679" s="265">
        <v>937.4</v>
      </c>
      <c r="G679" s="265">
        <v>0</v>
      </c>
      <c r="H679" s="265">
        <v>937.4</v>
      </c>
      <c r="I679" s="265">
        <v>0</v>
      </c>
      <c r="J679" s="265">
        <f t="shared" si="208"/>
        <v>0</v>
      </c>
      <c r="K679" s="265">
        <f t="shared" si="209"/>
        <v>0</v>
      </c>
      <c r="L679" s="265">
        <v>937.4</v>
      </c>
      <c r="M679" s="226">
        <v>0</v>
      </c>
      <c r="N679" s="265">
        <v>937.4</v>
      </c>
      <c r="O679" s="226">
        <v>0</v>
      </c>
      <c r="P679" s="265">
        <f t="shared" si="210"/>
        <v>0</v>
      </c>
      <c r="Q679" s="271">
        <f t="shared" si="211"/>
        <v>0</v>
      </c>
    </row>
    <row r="680" spans="1:17" ht="22.5" x14ac:dyDescent="0.2">
      <c r="A680" s="264" t="s">
        <v>946</v>
      </c>
      <c r="B680" s="202" t="s">
        <v>512</v>
      </c>
      <c r="C680" s="202" t="s">
        <v>531</v>
      </c>
      <c r="D680" s="202" t="s">
        <v>945</v>
      </c>
      <c r="E680" s="202"/>
      <c r="F680" s="265">
        <v>15997.9</v>
      </c>
      <c r="G680" s="265">
        <v>0</v>
      </c>
      <c r="H680" s="265">
        <v>15997.9</v>
      </c>
      <c r="I680" s="265">
        <v>0</v>
      </c>
      <c r="J680" s="265">
        <f t="shared" si="208"/>
        <v>0</v>
      </c>
      <c r="K680" s="265">
        <f t="shared" si="209"/>
        <v>0</v>
      </c>
      <c r="L680" s="265">
        <v>15997.9</v>
      </c>
      <c r="M680" s="226">
        <v>0</v>
      </c>
      <c r="N680" s="265">
        <v>15997.9</v>
      </c>
      <c r="O680" s="226">
        <v>0</v>
      </c>
      <c r="P680" s="265">
        <f t="shared" si="210"/>
        <v>0</v>
      </c>
      <c r="Q680" s="271">
        <f t="shared" si="211"/>
        <v>0</v>
      </c>
    </row>
    <row r="681" spans="1:17" ht="33.75" x14ac:dyDescent="0.2">
      <c r="A681" s="264" t="s">
        <v>1348</v>
      </c>
      <c r="B681" s="202" t="s">
        <v>512</v>
      </c>
      <c r="C681" s="202" t="s">
        <v>531</v>
      </c>
      <c r="D681" s="202" t="s">
        <v>945</v>
      </c>
      <c r="E681" s="202" t="s">
        <v>556</v>
      </c>
      <c r="F681" s="265">
        <v>15177.4</v>
      </c>
      <c r="G681" s="265">
        <v>0</v>
      </c>
      <c r="H681" s="265">
        <v>15177.4</v>
      </c>
      <c r="I681" s="265">
        <v>0</v>
      </c>
      <c r="J681" s="265">
        <f t="shared" si="208"/>
        <v>0</v>
      </c>
      <c r="K681" s="265">
        <f t="shared" si="209"/>
        <v>0</v>
      </c>
      <c r="L681" s="265">
        <v>15177.4</v>
      </c>
      <c r="M681" s="226">
        <v>0</v>
      </c>
      <c r="N681" s="265">
        <v>15177.4</v>
      </c>
      <c r="O681" s="226">
        <v>0</v>
      </c>
      <c r="P681" s="265">
        <f t="shared" si="210"/>
        <v>0</v>
      </c>
      <c r="Q681" s="271">
        <f t="shared" si="211"/>
        <v>0</v>
      </c>
    </row>
    <row r="682" spans="1:17" x14ac:dyDescent="0.2">
      <c r="A682" s="264" t="s">
        <v>555</v>
      </c>
      <c r="B682" s="202" t="s">
        <v>512</v>
      </c>
      <c r="C682" s="202" t="s">
        <v>531</v>
      </c>
      <c r="D682" s="202" t="s">
        <v>945</v>
      </c>
      <c r="E682" s="202" t="s">
        <v>554</v>
      </c>
      <c r="F682" s="265">
        <v>15177.4</v>
      </c>
      <c r="G682" s="265">
        <v>0</v>
      </c>
      <c r="H682" s="265">
        <v>15177.4</v>
      </c>
      <c r="I682" s="265">
        <v>0</v>
      </c>
      <c r="J682" s="265">
        <f t="shared" si="208"/>
        <v>0</v>
      </c>
      <c r="K682" s="265">
        <f t="shared" si="209"/>
        <v>0</v>
      </c>
      <c r="L682" s="265">
        <v>15177.4</v>
      </c>
      <c r="M682" s="226">
        <v>0</v>
      </c>
      <c r="N682" s="265">
        <v>15177.4</v>
      </c>
      <c r="O682" s="226">
        <v>0</v>
      </c>
      <c r="P682" s="265">
        <f t="shared" si="210"/>
        <v>0</v>
      </c>
      <c r="Q682" s="271">
        <f t="shared" si="211"/>
        <v>0</v>
      </c>
    </row>
    <row r="683" spans="1:17" x14ac:dyDescent="0.2">
      <c r="A683" s="264" t="s">
        <v>1347</v>
      </c>
      <c r="B683" s="202" t="s">
        <v>512</v>
      </c>
      <c r="C683" s="202" t="s">
        <v>531</v>
      </c>
      <c r="D683" s="202" t="s">
        <v>945</v>
      </c>
      <c r="E683" s="202" t="s">
        <v>535</v>
      </c>
      <c r="F683" s="265">
        <v>820.5</v>
      </c>
      <c r="G683" s="265">
        <v>0</v>
      </c>
      <c r="H683" s="265">
        <v>820.5</v>
      </c>
      <c r="I683" s="265">
        <v>0</v>
      </c>
      <c r="J683" s="265">
        <f t="shared" si="208"/>
        <v>0</v>
      </c>
      <c r="K683" s="265">
        <f t="shared" si="209"/>
        <v>0</v>
      </c>
      <c r="L683" s="265">
        <v>820.5</v>
      </c>
      <c r="M683" s="226">
        <v>0</v>
      </c>
      <c r="N683" s="265">
        <v>820.5</v>
      </c>
      <c r="O683" s="226">
        <v>0</v>
      </c>
      <c r="P683" s="265">
        <f t="shared" si="210"/>
        <v>0</v>
      </c>
      <c r="Q683" s="271">
        <f t="shared" si="211"/>
        <v>0</v>
      </c>
    </row>
    <row r="684" spans="1:17" x14ac:dyDescent="0.2">
      <c r="A684" s="264" t="s">
        <v>534</v>
      </c>
      <c r="B684" s="202" t="s">
        <v>512</v>
      </c>
      <c r="C684" s="202" t="s">
        <v>531</v>
      </c>
      <c r="D684" s="202" t="s">
        <v>945</v>
      </c>
      <c r="E684" s="202" t="s">
        <v>529</v>
      </c>
      <c r="F684" s="265">
        <v>820.5</v>
      </c>
      <c r="G684" s="265">
        <v>0</v>
      </c>
      <c r="H684" s="265">
        <v>820.5</v>
      </c>
      <c r="I684" s="265">
        <v>0</v>
      </c>
      <c r="J684" s="265">
        <f t="shared" si="208"/>
        <v>0</v>
      </c>
      <c r="K684" s="265">
        <f t="shared" si="209"/>
        <v>0</v>
      </c>
      <c r="L684" s="265">
        <v>820.5</v>
      </c>
      <c r="M684" s="226">
        <v>0</v>
      </c>
      <c r="N684" s="265">
        <v>820.5</v>
      </c>
      <c r="O684" s="226">
        <v>0</v>
      </c>
      <c r="P684" s="265">
        <f t="shared" si="210"/>
        <v>0</v>
      </c>
      <c r="Q684" s="271">
        <f t="shared" si="211"/>
        <v>0</v>
      </c>
    </row>
    <row r="685" spans="1:17" x14ac:dyDescent="0.2">
      <c r="A685" s="264" t="s">
        <v>944</v>
      </c>
      <c r="B685" s="202" t="s">
        <v>512</v>
      </c>
      <c r="C685" s="202" t="s">
        <v>512</v>
      </c>
      <c r="D685" s="202"/>
      <c r="E685" s="202"/>
      <c r="F685" s="265">
        <v>234994.8</v>
      </c>
      <c r="G685" s="265">
        <v>0</v>
      </c>
      <c r="H685" s="265">
        <f>H686</f>
        <v>234994.8</v>
      </c>
      <c r="I685" s="265">
        <f>I686</f>
        <v>0</v>
      </c>
      <c r="J685" s="281">
        <f t="shared" ref="J685:J756" si="236">H685-F685</f>
        <v>0</v>
      </c>
      <c r="K685" s="281">
        <f t="shared" ref="K685:K756" si="237">I685-G685</f>
        <v>0</v>
      </c>
      <c r="L685" s="265">
        <v>234994.8</v>
      </c>
      <c r="M685" s="226">
        <v>0</v>
      </c>
      <c r="N685" s="265">
        <f>N686</f>
        <v>234994.8</v>
      </c>
      <c r="O685" s="226">
        <f>O686</f>
        <v>0</v>
      </c>
      <c r="P685" s="281">
        <f t="shared" ref="P685:P756" si="238">N685-L685</f>
        <v>0</v>
      </c>
      <c r="Q685" s="281">
        <f t="shared" ref="Q685:Q756" si="239">O685-M685</f>
        <v>0</v>
      </c>
    </row>
    <row r="686" spans="1:17" x14ac:dyDescent="0.2">
      <c r="A686" s="264" t="s">
        <v>604</v>
      </c>
      <c r="B686" s="202" t="s">
        <v>512</v>
      </c>
      <c r="C686" s="202" t="s">
        <v>512</v>
      </c>
      <c r="D686" s="202" t="s">
        <v>603</v>
      </c>
      <c r="E686" s="202"/>
      <c r="F686" s="265">
        <v>234994.8</v>
      </c>
      <c r="G686" s="265">
        <v>0</v>
      </c>
      <c r="H686" s="265">
        <v>234994.8</v>
      </c>
      <c r="I686" s="265">
        <v>0</v>
      </c>
      <c r="J686" s="265">
        <f t="shared" si="236"/>
        <v>0</v>
      </c>
      <c r="K686" s="265">
        <f t="shared" si="237"/>
        <v>0</v>
      </c>
      <c r="L686" s="265">
        <v>234994.8</v>
      </c>
      <c r="M686" s="226">
        <v>0</v>
      </c>
      <c r="N686" s="265">
        <v>234994.8</v>
      </c>
      <c r="O686" s="226">
        <v>0</v>
      </c>
      <c r="P686" s="265">
        <f t="shared" si="238"/>
        <v>0</v>
      </c>
      <c r="Q686" s="271">
        <f t="shared" si="239"/>
        <v>0</v>
      </c>
    </row>
    <row r="687" spans="1:17" x14ac:dyDescent="0.2">
      <c r="A687" s="264" t="s">
        <v>602</v>
      </c>
      <c r="B687" s="202" t="s">
        <v>512</v>
      </c>
      <c r="C687" s="202" t="s">
        <v>512</v>
      </c>
      <c r="D687" s="202" t="s">
        <v>601</v>
      </c>
      <c r="E687" s="202"/>
      <c r="F687" s="265">
        <v>234994.8</v>
      </c>
      <c r="G687" s="265">
        <v>0</v>
      </c>
      <c r="H687" s="265">
        <v>234994.8</v>
      </c>
      <c r="I687" s="265">
        <v>0</v>
      </c>
      <c r="J687" s="265">
        <f t="shared" si="236"/>
        <v>0</v>
      </c>
      <c r="K687" s="265">
        <f t="shared" si="237"/>
        <v>0</v>
      </c>
      <c r="L687" s="265">
        <v>234994.8</v>
      </c>
      <c r="M687" s="226">
        <v>0</v>
      </c>
      <c r="N687" s="265">
        <v>234994.8</v>
      </c>
      <c r="O687" s="226">
        <v>0</v>
      </c>
      <c r="P687" s="265">
        <f t="shared" si="238"/>
        <v>0</v>
      </c>
      <c r="Q687" s="271">
        <f t="shared" si="239"/>
        <v>0</v>
      </c>
    </row>
    <row r="688" spans="1:17" ht="22.5" x14ac:dyDescent="0.2">
      <c r="A688" s="264" t="s">
        <v>600</v>
      </c>
      <c r="B688" s="202" t="s">
        <v>512</v>
      </c>
      <c r="C688" s="202" t="s">
        <v>512</v>
      </c>
      <c r="D688" s="202" t="s">
        <v>599</v>
      </c>
      <c r="E688" s="202"/>
      <c r="F688" s="265">
        <v>234994.8</v>
      </c>
      <c r="G688" s="265">
        <v>0</v>
      </c>
      <c r="H688" s="265">
        <v>234994.8</v>
      </c>
      <c r="I688" s="265">
        <v>0</v>
      </c>
      <c r="J688" s="265">
        <f t="shared" si="236"/>
        <v>0</v>
      </c>
      <c r="K688" s="265">
        <f t="shared" si="237"/>
        <v>0</v>
      </c>
      <c r="L688" s="265">
        <v>234994.8</v>
      </c>
      <c r="M688" s="226">
        <v>0</v>
      </c>
      <c r="N688" s="265">
        <v>234994.8</v>
      </c>
      <c r="O688" s="226">
        <v>0</v>
      </c>
      <c r="P688" s="265">
        <f t="shared" si="238"/>
        <v>0</v>
      </c>
      <c r="Q688" s="271">
        <f t="shared" si="239"/>
        <v>0</v>
      </c>
    </row>
    <row r="689" spans="1:17" ht="22.5" x14ac:dyDescent="0.2">
      <c r="A689" s="264" t="s">
        <v>937</v>
      </c>
      <c r="B689" s="202" t="s">
        <v>512</v>
      </c>
      <c r="C689" s="202" t="s">
        <v>512</v>
      </c>
      <c r="D689" s="202" t="s">
        <v>935</v>
      </c>
      <c r="E689" s="202"/>
      <c r="F689" s="265">
        <v>4785.2</v>
      </c>
      <c r="G689" s="265">
        <v>0</v>
      </c>
      <c r="H689" s="265">
        <v>4785.2</v>
      </c>
      <c r="I689" s="265">
        <v>0</v>
      </c>
      <c r="J689" s="265">
        <f t="shared" si="236"/>
        <v>0</v>
      </c>
      <c r="K689" s="265">
        <f t="shared" si="237"/>
        <v>0</v>
      </c>
      <c r="L689" s="265">
        <v>4785.2</v>
      </c>
      <c r="M689" s="226">
        <v>0</v>
      </c>
      <c r="N689" s="265">
        <v>4785.2</v>
      </c>
      <c r="O689" s="226">
        <v>0</v>
      </c>
      <c r="P689" s="265">
        <f t="shared" si="238"/>
        <v>0</v>
      </c>
      <c r="Q689" s="271">
        <f t="shared" si="239"/>
        <v>0</v>
      </c>
    </row>
    <row r="690" spans="1:17" x14ac:dyDescent="0.2">
      <c r="A690" s="264" t="s">
        <v>553</v>
      </c>
      <c r="B690" s="202" t="s">
        <v>512</v>
      </c>
      <c r="C690" s="202" t="s">
        <v>512</v>
      </c>
      <c r="D690" s="202" t="s">
        <v>935</v>
      </c>
      <c r="E690" s="202" t="s">
        <v>552</v>
      </c>
      <c r="F690" s="265">
        <v>4785.2</v>
      </c>
      <c r="G690" s="265">
        <v>0</v>
      </c>
      <c r="H690" s="265">
        <v>4785.2</v>
      </c>
      <c r="I690" s="265">
        <v>0</v>
      </c>
      <c r="J690" s="265">
        <f t="shared" si="236"/>
        <v>0</v>
      </c>
      <c r="K690" s="265">
        <f t="shared" si="237"/>
        <v>0</v>
      </c>
      <c r="L690" s="265">
        <v>4785.2</v>
      </c>
      <c r="M690" s="226">
        <v>0</v>
      </c>
      <c r="N690" s="265">
        <v>4785.2</v>
      </c>
      <c r="O690" s="226">
        <v>0</v>
      </c>
      <c r="P690" s="265">
        <f t="shared" si="238"/>
        <v>0</v>
      </c>
      <c r="Q690" s="271">
        <f t="shared" si="239"/>
        <v>0</v>
      </c>
    </row>
    <row r="691" spans="1:17" x14ac:dyDescent="0.2">
      <c r="A691" s="264" t="s">
        <v>936</v>
      </c>
      <c r="B691" s="202" t="s">
        <v>512</v>
      </c>
      <c r="C691" s="202" t="s">
        <v>512</v>
      </c>
      <c r="D691" s="202" t="s">
        <v>935</v>
      </c>
      <c r="E691" s="202" t="s">
        <v>934</v>
      </c>
      <c r="F691" s="265">
        <v>4785.2</v>
      </c>
      <c r="G691" s="265">
        <v>0</v>
      </c>
      <c r="H691" s="265">
        <v>4785.2</v>
      </c>
      <c r="I691" s="265">
        <v>0</v>
      </c>
      <c r="J691" s="265">
        <f t="shared" si="236"/>
        <v>0</v>
      </c>
      <c r="K691" s="265">
        <f t="shared" si="237"/>
        <v>0</v>
      </c>
      <c r="L691" s="265">
        <v>4785.2</v>
      </c>
      <c r="M691" s="226">
        <v>0</v>
      </c>
      <c r="N691" s="265">
        <v>4785.2</v>
      </c>
      <c r="O691" s="226">
        <v>0</v>
      </c>
      <c r="P691" s="265">
        <f t="shared" si="238"/>
        <v>0</v>
      </c>
      <c r="Q691" s="271">
        <f t="shared" si="239"/>
        <v>0</v>
      </c>
    </row>
    <row r="692" spans="1:17" ht="22.5" x14ac:dyDescent="0.2">
      <c r="A692" s="264" t="s">
        <v>933</v>
      </c>
      <c r="B692" s="202" t="s">
        <v>512</v>
      </c>
      <c r="C692" s="202" t="s">
        <v>512</v>
      </c>
      <c r="D692" s="202" t="s">
        <v>932</v>
      </c>
      <c r="E692" s="202"/>
      <c r="F692" s="265">
        <v>81927.7</v>
      </c>
      <c r="G692" s="265">
        <v>0</v>
      </c>
      <c r="H692" s="265">
        <v>81927.7</v>
      </c>
      <c r="I692" s="265">
        <v>0</v>
      </c>
      <c r="J692" s="265">
        <f t="shared" si="236"/>
        <v>0</v>
      </c>
      <c r="K692" s="265">
        <f t="shared" si="237"/>
        <v>0</v>
      </c>
      <c r="L692" s="265">
        <v>81927.7</v>
      </c>
      <c r="M692" s="226">
        <v>0</v>
      </c>
      <c r="N692" s="265">
        <v>81927.7</v>
      </c>
      <c r="O692" s="226">
        <v>0</v>
      </c>
      <c r="P692" s="265">
        <f t="shared" si="238"/>
        <v>0</v>
      </c>
      <c r="Q692" s="271">
        <f t="shared" si="239"/>
        <v>0</v>
      </c>
    </row>
    <row r="693" spans="1:17" ht="33.75" x14ac:dyDescent="0.2">
      <c r="A693" s="264" t="s">
        <v>1348</v>
      </c>
      <c r="B693" s="202" t="s">
        <v>512</v>
      </c>
      <c r="C693" s="202" t="s">
        <v>512</v>
      </c>
      <c r="D693" s="202" t="s">
        <v>932</v>
      </c>
      <c r="E693" s="202" t="s">
        <v>556</v>
      </c>
      <c r="F693" s="265">
        <v>78966.3</v>
      </c>
      <c r="G693" s="265">
        <v>0</v>
      </c>
      <c r="H693" s="265">
        <v>78966.3</v>
      </c>
      <c r="I693" s="265">
        <v>0</v>
      </c>
      <c r="J693" s="265">
        <f t="shared" si="236"/>
        <v>0</v>
      </c>
      <c r="K693" s="265">
        <f t="shared" si="237"/>
        <v>0</v>
      </c>
      <c r="L693" s="265">
        <v>78966.3</v>
      </c>
      <c r="M693" s="226">
        <v>0</v>
      </c>
      <c r="N693" s="265">
        <v>78966.3</v>
      </c>
      <c r="O693" s="226">
        <v>0</v>
      </c>
      <c r="P693" s="265">
        <f t="shared" si="238"/>
        <v>0</v>
      </c>
      <c r="Q693" s="271">
        <f t="shared" si="239"/>
        <v>0</v>
      </c>
    </row>
    <row r="694" spans="1:17" x14ac:dyDescent="0.2">
      <c r="A694" s="264" t="s">
        <v>555</v>
      </c>
      <c r="B694" s="202" t="s">
        <v>512</v>
      </c>
      <c r="C694" s="202" t="s">
        <v>512</v>
      </c>
      <c r="D694" s="202" t="s">
        <v>932</v>
      </c>
      <c r="E694" s="202" t="s">
        <v>554</v>
      </c>
      <c r="F694" s="265">
        <v>78966.3</v>
      </c>
      <c r="G694" s="265">
        <v>0</v>
      </c>
      <c r="H694" s="265">
        <v>78966.3</v>
      </c>
      <c r="I694" s="265">
        <v>0</v>
      </c>
      <c r="J694" s="265">
        <f t="shared" si="236"/>
        <v>0</v>
      </c>
      <c r="K694" s="265">
        <f t="shared" si="237"/>
        <v>0</v>
      </c>
      <c r="L694" s="265">
        <v>78966.3</v>
      </c>
      <c r="M694" s="226">
        <v>0</v>
      </c>
      <c r="N694" s="265">
        <v>78966.3</v>
      </c>
      <c r="O694" s="226">
        <v>0</v>
      </c>
      <c r="P694" s="265">
        <f t="shared" si="238"/>
        <v>0</v>
      </c>
      <c r="Q694" s="271">
        <f t="shared" si="239"/>
        <v>0</v>
      </c>
    </row>
    <row r="695" spans="1:17" x14ac:dyDescent="0.2">
      <c r="A695" s="264" t="s">
        <v>1347</v>
      </c>
      <c r="B695" s="202" t="s">
        <v>512</v>
      </c>
      <c r="C695" s="202" t="s">
        <v>512</v>
      </c>
      <c r="D695" s="202" t="s">
        <v>932</v>
      </c>
      <c r="E695" s="202" t="s">
        <v>535</v>
      </c>
      <c r="F695" s="265">
        <v>2861.4</v>
      </c>
      <c r="G695" s="265">
        <v>0</v>
      </c>
      <c r="H695" s="265">
        <v>2861.4</v>
      </c>
      <c r="I695" s="265">
        <v>0</v>
      </c>
      <c r="J695" s="265">
        <f t="shared" si="236"/>
        <v>0</v>
      </c>
      <c r="K695" s="265">
        <f t="shared" si="237"/>
        <v>0</v>
      </c>
      <c r="L695" s="265">
        <v>2861.4</v>
      </c>
      <c r="M695" s="226">
        <v>0</v>
      </c>
      <c r="N695" s="265">
        <v>2861.4</v>
      </c>
      <c r="O695" s="226">
        <v>0</v>
      </c>
      <c r="P695" s="265">
        <f t="shared" si="238"/>
        <v>0</v>
      </c>
      <c r="Q695" s="271">
        <f t="shared" si="239"/>
        <v>0</v>
      </c>
    </row>
    <row r="696" spans="1:17" x14ac:dyDescent="0.2">
      <c r="A696" s="264" t="s">
        <v>534</v>
      </c>
      <c r="B696" s="202" t="s">
        <v>512</v>
      </c>
      <c r="C696" s="202" t="s">
        <v>512</v>
      </c>
      <c r="D696" s="202" t="s">
        <v>932</v>
      </c>
      <c r="E696" s="202" t="s">
        <v>529</v>
      </c>
      <c r="F696" s="265">
        <v>2861.4</v>
      </c>
      <c r="G696" s="265">
        <v>0</v>
      </c>
      <c r="H696" s="265">
        <v>2861.4</v>
      </c>
      <c r="I696" s="265">
        <v>0</v>
      </c>
      <c r="J696" s="265">
        <f t="shared" si="236"/>
        <v>0</v>
      </c>
      <c r="K696" s="265">
        <f t="shared" si="237"/>
        <v>0</v>
      </c>
      <c r="L696" s="265">
        <v>2861.4</v>
      </c>
      <c r="M696" s="226">
        <v>0</v>
      </c>
      <c r="N696" s="265">
        <v>2861.4</v>
      </c>
      <c r="O696" s="226">
        <v>0</v>
      </c>
      <c r="P696" s="265">
        <f t="shared" si="238"/>
        <v>0</v>
      </c>
      <c r="Q696" s="271">
        <f t="shared" si="239"/>
        <v>0</v>
      </c>
    </row>
    <row r="697" spans="1:17" x14ac:dyDescent="0.2">
      <c r="A697" s="264" t="s">
        <v>615</v>
      </c>
      <c r="B697" s="202" t="s">
        <v>512</v>
      </c>
      <c r="C697" s="202" t="s">
        <v>512</v>
      </c>
      <c r="D697" s="202" t="s">
        <v>932</v>
      </c>
      <c r="E697" s="202" t="s">
        <v>509</v>
      </c>
      <c r="F697" s="265">
        <v>100</v>
      </c>
      <c r="G697" s="265">
        <v>0</v>
      </c>
      <c r="H697" s="265">
        <v>100</v>
      </c>
      <c r="I697" s="265">
        <v>0</v>
      </c>
      <c r="J697" s="265">
        <f t="shared" si="236"/>
        <v>0</v>
      </c>
      <c r="K697" s="265">
        <f t="shared" si="237"/>
        <v>0</v>
      </c>
      <c r="L697" s="265">
        <v>100</v>
      </c>
      <c r="M697" s="226">
        <v>0</v>
      </c>
      <c r="N697" s="265">
        <v>100</v>
      </c>
      <c r="O697" s="226">
        <v>0</v>
      </c>
      <c r="P697" s="265">
        <f t="shared" si="238"/>
        <v>0</v>
      </c>
      <c r="Q697" s="271">
        <f t="shared" si="239"/>
        <v>0</v>
      </c>
    </row>
    <row r="698" spans="1:17" x14ac:dyDescent="0.2">
      <c r="A698" s="264" t="s">
        <v>614</v>
      </c>
      <c r="B698" s="202" t="s">
        <v>512</v>
      </c>
      <c r="C698" s="202" t="s">
        <v>512</v>
      </c>
      <c r="D698" s="202" t="s">
        <v>932</v>
      </c>
      <c r="E698" s="202" t="s">
        <v>613</v>
      </c>
      <c r="F698" s="265">
        <v>100</v>
      </c>
      <c r="G698" s="265">
        <v>0</v>
      </c>
      <c r="H698" s="265">
        <v>100</v>
      </c>
      <c r="I698" s="265">
        <v>0</v>
      </c>
      <c r="J698" s="265">
        <f t="shared" si="236"/>
        <v>0</v>
      </c>
      <c r="K698" s="265">
        <f t="shared" si="237"/>
        <v>0</v>
      </c>
      <c r="L698" s="265">
        <v>100</v>
      </c>
      <c r="M698" s="226">
        <v>0</v>
      </c>
      <c r="N698" s="265">
        <v>100</v>
      </c>
      <c r="O698" s="226">
        <v>0</v>
      </c>
      <c r="P698" s="265">
        <f t="shared" si="238"/>
        <v>0</v>
      </c>
      <c r="Q698" s="271">
        <f t="shared" si="239"/>
        <v>0</v>
      </c>
    </row>
    <row r="699" spans="1:17" ht="22.5" x14ac:dyDescent="0.2">
      <c r="A699" s="264" t="s">
        <v>931</v>
      </c>
      <c r="B699" s="202" t="s">
        <v>512</v>
      </c>
      <c r="C699" s="202" t="s">
        <v>512</v>
      </c>
      <c r="D699" s="202" t="s">
        <v>930</v>
      </c>
      <c r="E699" s="202"/>
      <c r="F699" s="265">
        <v>46377.1</v>
      </c>
      <c r="G699" s="265">
        <v>0</v>
      </c>
      <c r="H699" s="265">
        <v>46377.1</v>
      </c>
      <c r="I699" s="265">
        <v>0</v>
      </c>
      <c r="J699" s="265">
        <f t="shared" si="236"/>
        <v>0</v>
      </c>
      <c r="K699" s="265">
        <f t="shared" si="237"/>
        <v>0</v>
      </c>
      <c r="L699" s="265">
        <v>46377.1</v>
      </c>
      <c r="M699" s="226">
        <v>0</v>
      </c>
      <c r="N699" s="265">
        <v>46377.1</v>
      </c>
      <c r="O699" s="226">
        <v>0</v>
      </c>
      <c r="P699" s="265">
        <f t="shared" si="238"/>
        <v>0</v>
      </c>
      <c r="Q699" s="271">
        <f t="shared" si="239"/>
        <v>0</v>
      </c>
    </row>
    <row r="700" spans="1:17" ht="33.75" x14ac:dyDescent="0.2">
      <c r="A700" s="264" t="s">
        <v>1348</v>
      </c>
      <c r="B700" s="202" t="s">
        <v>512</v>
      </c>
      <c r="C700" s="202" t="s">
        <v>512</v>
      </c>
      <c r="D700" s="202" t="s">
        <v>930</v>
      </c>
      <c r="E700" s="202" t="s">
        <v>556</v>
      </c>
      <c r="F700" s="265">
        <v>40196.6</v>
      </c>
      <c r="G700" s="265">
        <v>0</v>
      </c>
      <c r="H700" s="265">
        <v>40196.6</v>
      </c>
      <c r="I700" s="265">
        <v>0</v>
      </c>
      <c r="J700" s="265">
        <f t="shared" si="236"/>
        <v>0</v>
      </c>
      <c r="K700" s="265">
        <f t="shared" si="237"/>
        <v>0</v>
      </c>
      <c r="L700" s="265">
        <v>40196.6</v>
      </c>
      <c r="M700" s="226">
        <v>0</v>
      </c>
      <c r="N700" s="265">
        <v>40196.6</v>
      </c>
      <c r="O700" s="226">
        <v>0</v>
      </c>
      <c r="P700" s="265">
        <f t="shared" si="238"/>
        <v>0</v>
      </c>
      <c r="Q700" s="271">
        <f t="shared" si="239"/>
        <v>0</v>
      </c>
    </row>
    <row r="701" spans="1:17" x14ac:dyDescent="0.2">
      <c r="A701" s="264" t="s">
        <v>555</v>
      </c>
      <c r="B701" s="202" t="s">
        <v>512</v>
      </c>
      <c r="C701" s="202" t="s">
        <v>512</v>
      </c>
      <c r="D701" s="202" t="s">
        <v>930</v>
      </c>
      <c r="E701" s="202" t="s">
        <v>554</v>
      </c>
      <c r="F701" s="265">
        <v>40196.6</v>
      </c>
      <c r="G701" s="265">
        <v>0</v>
      </c>
      <c r="H701" s="265">
        <v>40196.6</v>
      </c>
      <c r="I701" s="265">
        <v>0</v>
      </c>
      <c r="J701" s="265">
        <f t="shared" si="236"/>
        <v>0</v>
      </c>
      <c r="K701" s="265">
        <f t="shared" si="237"/>
        <v>0</v>
      </c>
      <c r="L701" s="265">
        <v>40196.6</v>
      </c>
      <c r="M701" s="226">
        <v>0</v>
      </c>
      <c r="N701" s="265">
        <v>40196.6</v>
      </c>
      <c r="O701" s="226">
        <v>0</v>
      </c>
      <c r="P701" s="265">
        <f t="shared" si="238"/>
        <v>0</v>
      </c>
      <c r="Q701" s="271">
        <f t="shared" si="239"/>
        <v>0</v>
      </c>
    </row>
    <row r="702" spans="1:17" x14ac:dyDescent="0.2">
      <c r="A702" s="264" t="s">
        <v>1347</v>
      </c>
      <c r="B702" s="202" t="s">
        <v>512</v>
      </c>
      <c r="C702" s="202" t="s">
        <v>512</v>
      </c>
      <c r="D702" s="202" t="s">
        <v>930</v>
      </c>
      <c r="E702" s="202" t="s">
        <v>535</v>
      </c>
      <c r="F702" s="265">
        <v>6162.4</v>
      </c>
      <c r="G702" s="265">
        <v>0</v>
      </c>
      <c r="H702" s="265">
        <v>6162.4</v>
      </c>
      <c r="I702" s="265">
        <v>0</v>
      </c>
      <c r="J702" s="265">
        <f t="shared" si="236"/>
        <v>0</v>
      </c>
      <c r="K702" s="265">
        <f t="shared" si="237"/>
        <v>0</v>
      </c>
      <c r="L702" s="265">
        <v>6162.4</v>
      </c>
      <c r="M702" s="226">
        <v>0</v>
      </c>
      <c r="N702" s="265">
        <v>6162.4</v>
      </c>
      <c r="O702" s="226">
        <v>0</v>
      </c>
      <c r="P702" s="265">
        <f t="shared" si="238"/>
        <v>0</v>
      </c>
      <c r="Q702" s="271">
        <f t="shared" si="239"/>
        <v>0</v>
      </c>
    </row>
    <row r="703" spans="1:17" x14ac:dyDescent="0.2">
      <c r="A703" s="264" t="s">
        <v>534</v>
      </c>
      <c r="B703" s="202" t="s">
        <v>512</v>
      </c>
      <c r="C703" s="202" t="s">
        <v>512</v>
      </c>
      <c r="D703" s="202" t="s">
        <v>930</v>
      </c>
      <c r="E703" s="202" t="s">
        <v>529</v>
      </c>
      <c r="F703" s="265">
        <v>6162.4</v>
      </c>
      <c r="G703" s="265">
        <v>0</v>
      </c>
      <c r="H703" s="265">
        <v>6162.4</v>
      </c>
      <c r="I703" s="265">
        <v>0</v>
      </c>
      <c r="J703" s="265">
        <f t="shared" si="236"/>
        <v>0</v>
      </c>
      <c r="K703" s="265">
        <f t="shared" si="237"/>
        <v>0</v>
      </c>
      <c r="L703" s="265">
        <v>6162.4</v>
      </c>
      <c r="M703" s="226">
        <v>0</v>
      </c>
      <c r="N703" s="265">
        <v>6162.4</v>
      </c>
      <c r="O703" s="226">
        <v>0</v>
      </c>
      <c r="P703" s="265">
        <f t="shared" si="238"/>
        <v>0</v>
      </c>
      <c r="Q703" s="271">
        <f t="shared" si="239"/>
        <v>0</v>
      </c>
    </row>
    <row r="704" spans="1:17" x14ac:dyDescent="0.2">
      <c r="A704" s="264" t="s">
        <v>615</v>
      </c>
      <c r="B704" s="202" t="s">
        <v>512</v>
      </c>
      <c r="C704" s="202" t="s">
        <v>512</v>
      </c>
      <c r="D704" s="202" t="s">
        <v>930</v>
      </c>
      <c r="E704" s="202" t="s">
        <v>509</v>
      </c>
      <c r="F704" s="265">
        <v>18.100000000000001</v>
      </c>
      <c r="G704" s="265">
        <v>0</v>
      </c>
      <c r="H704" s="265">
        <v>18.100000000000001</v>
      </c>
      <c r="I704" s="265">
        <v>0</v>
      </c>
      <c r="J704" s="265">
        <f t="shared" si="236"/>
        <v>0</v>
      </c>
      <c r="K704" s="265">
        <f t="shared" si="237"/>
        <v>0</v>
      </c>
      <c r="L704" s="265">
        <v>18.100000000000001</v>
      </c>
      <c r="M704" s="226">
        <v>0</v>
      </c>
      <c r="N704" s="265">
        <v>18.100000000000001</v>
      </c>
      <c r="O704" s="226">
        <v>0</v>
      </c>
      <c r="P704" s="265">
        <f t="shared" si="238"/>
        <v>0</v>
      </c>
      <c r="Q704" s="271">
        <f t="shared" si="239"/>
        <v>0</v>
      </c>
    </row>
    <row r="705" spans="1:17" x14ac:dyDescent="0.2">
      <c r="A705" s="264" t="s">
        <v>614</v>
      </c>
      <c r="B705" s="202" t="s">
        <v>512</v>
      </c>
      <c r="C705" s="202" t="s">
        <v>512</v>
      </c>
      <c r="D705" s="202" t="s">
        <v>930</v>
      </c>
      <c r="E705" s="202" t="s">
        <v>613</v>
      </c>
      <c r="F705" s="265">
        <v>18.100000000000001</v>
      </c>
      <c r="G705" s="265">
        <v>0</v>
      </c>
      <c r="H705" s="265">
        <v>18.100000000000001</v>
      </c>
      <c r="I705" s="265">
        <v>0</v>
      </c>
      <c r="J705" s="265">
        <f t="shared" si="236"/>
        <v>0</v>
      </c>
      <c r="K705" s="265">
        <f t="shared" si="237"/>
        <v>0</v>
      </c>
      <c r="L705" s="265">
        <v>18.100000000000001</v>
      </c>
      <c r="M705" s="226">
        <v>0</v>
      </c>
      <c r="N705" s="265">
        <v>18.100000000000001</v>
      </c>
      <c r="O705" s="226">
        <v>0</v>
      </c>
      <c r="P705" s="265">
        <f t="shared" si="238"/>
        <v>0</v>
      </c>
      <c r="Q705" s="271">
        <f t="shared" si="239"/>
        <v>0</v>
      </c>
    </row>
    <row r="706" spans="1:17" ht="22.5" x14ac:dyDescent="0.2">
      <c r="A706" s="264" t="s">
        <v>929</v>
      </c>
      <c r="B706" s="202" t="s">
        <v>512</v>
      </c>
      <c r="C706" s="202" t="s">
        <v>512</v>
      </c>
      <c r="D706" s="202" t="s">
        <v>928</v>
      </c>
      <c r="E706" s="202"/>
      <c r="F706" s="265">
        <v>49400.800000000003</v>
      </c>
      <c r="G706" s="265">
        <v>0</v>
      </c>
      <c r="H706" s="265">
        <v>49400.800000000003</v>
      </c>
      <c r="I706" s="265">
        <v>0</v>
      </c>
      <c r="J706" s="265">
        <f t="shared" si="236"/>
        <v>0</v>
      </c>
      <c r="K706" s="265">
        <f t="shared" si="237"/>
        <v>0</v>
      </c>
      <c r="L706" s="265">
        <v>49400.800000000003</v>
      </c>
      <c r="M706" s="226">
        <v>0</v>
      </c>
      <c r="N706" s="265">
        <v>49400.800000000003</v>
      </c>
      <c r="O706" s="226">
        <v>0</v>
      </c>
      <c r="P706" s="265">
        <f t="shared" si="238"/>
        <v>0</v>
      </c>
      <c r="Q706" s="271">
        <f t="shared" si="239"/>
        <v>0</v>
      </c>
    </row>
    <row r="707" spans="1:17" ht="33.75" x14ac:dyDescent="0.2">
      <c r="A707" s="264" t="s">
        <v>1348</v>
      </c>
      <c r="B707" s="202" t="s">
        <v>512</v>
      </c>
      <c r="C707" s="202" t="s">
        <v>512</v>
      </c>
      <c r="D707" s="202" t="s">
        <v>928</v>
      </c>
      <c r="E707" s="202" t="s">
        <v>556</v>
      </c>
      <c r="F707" s="265">
        <v>43427.8</v>
      </c>
      <c r="G707" s="265">
        <v>0</v>
      </c>
      <c r="H707" s="265">
        <v>43427.8</v>
      </c>
      <c r="I707" s="265">
        <v>0</v>
      </c>
      <c r="J707" s="265">
        <f t="shared" si="236"/>
        <v>0</v>
      </c>
      <c r="K707" s="265">
        <f t="shared" si="237"/>
        <v>0</v>
      </c>
      <c r="L707" s="265">
        <v>43427.8</v>
      </c>
      <c r="M707" s="226">
        <v>0</v>
      </c>
      <c r="N707" s="265">
        <v>43427.8</v>
      </c>
      <c r="O707" s="226">
        <v>0</v>
      </c>
      <c r="P707" s="265">
        <f t="shared" si="238"/>
        <v>0</v>
      </c>
      <c r="Q707" s="271">
        <f t="shared" si="239"/>
        <v>0</v>
      </c>
    </row>
    <row r="708" spans="1:17" x14ac:dyDescent="0.2">
      <c r="A708" s="264" t="s">
        <v>555</v>
      </c>
      <c r="B708" s="202" t="s">
        <v>512</v>
      </c>
      <c r="C708" s="202" t="s">
        <v>512</v>
      </c>
      <c r="D708" s="202" t="s">
        <v>928</v>
      </c>
      <c r="E708" s="202" t="s">
        <v>554</v>
      </c>
      <c r="F708" s="265">
        <v>43427.8</v>
      </c>
      <c r="G708" s="265">
        <v>0</v>
      </c>
      <c r="H708" s="265">
        <v>43427.8</v>
      </c>
      <c r="I708" s="265">
        <v>0</v>
      </c>
      <c r="J708" s="265">
        <f t="shared" si="236"/>
        <v>0</v>
      </c>
      <c r="K708" s="265">
        <f t="shared" si="237"/>
        <v>0</v>
      </c>
      <c r="L708" s="265">
        <v>43427.8</v>
      </c>
      <c r="M708" s="226">
        <v>0</v>
      </c>
      <c r="N708" s="265">
        <v>43427.8</v>
      </c>
      <c r="O708" s="226">
        <v>0</v>
      </c>
      <c r="P708" s="265">
        <f t="shared" si="238"/>
        <v>0</v>
      </c>
      <c r="Q708" s="271">
        <f t="shared" si="239"/>
        <v>0</v>
      </c>
    </row>
    <row r="709" spans="1:17" x14ac:dyDescent="0.2">
      <c r="A709" s="264" t="s">
        <v>1347</v>
      </c>
      <c r="B709" s="202" t="s">
        <v>512</v>
      </c>
      <c r="C709" s="202" t="s">
        <v>512</v>
      </c>
      <c r="D709" s="202" t="s">
        <v>928</v>
      </c>
      <c r="E709" s="202" t="s">
        <v>535</v>
      </c>
      <c r="F709" s="265">
        <v>5421</v>
      </c>
      <c r="G709" s="265">
        <v>0</v>
      </c>
      <c r="H709" s="265">
        <v>5421</v>
      </c>
      <c r="I709" s="265">
        <v>0</v>
      </c>
      <c r="J709" s="265">
        <f t="shared" si="236"/>
        <v>0</v>
      </c>
      <c r="K709" s="265">
        <f t="shared" si="237"/>
        <v>0</v>
      </c>
      <c r="L709" s="265">
        <v>5421</v>
      </c>
      <c r="M709" s="226">
        <v>0</v>
      </c>
      <c r="N709" s="265">
        <v>5421</v>
      </c>
      <c r="O709" s="226">
        <v>0</v>
      </c>
      <c r="P709" s="265">
        <f t="shared" si="238"/>
        <v>0</v>
      </c>
      <c r="Q709" s="271">
        <f t="shared" si="239"/>
        <v>0</v>
      </c>
    </row>
    <row r="710" spans="1:17" x14ac:dyDescent="0.2">
      <c r="A710" s="264" t="s">
        <v>534</v>
      </c>
      <c r="B710" s="202" t="s">
        <v>512</v>
      </c>
      <c r="C710" s="202" t="s">
        <v>512</v>
      </c>
      <c r="D710" s="202" t="s">
        <v>928</v>
      </c>
      <c r="E710" s="202" t="s">
        <v>529</v>
      </c>
      <c r="F710" s="265">
        <v>5421</v>
      </c>
      <c r="G710" s="265">
        <v>0</v>
      </c>
      <c r="H710" s="265">
        <v>5421</v>
      </c>
      <c r="I710" s="265">
        <v>0</v>
      </c>
      <c r="J710" s="265">
        <f t="shared" si="236"/>
        <v>0</v>
      </c>
      <c r="K710" s="265">
        <f t="shared" si="237"/>
        <v>0</v>
      </c>
      <c r="L710" s="265">
        <v>5421</v>
      </c>
      <c r="M710" s="226">
        <v>0</v>
      </c>
      <c r="N710" s="265">
        <v>5421</v>
      </c>
      <c r="O710" s="226">
        <v>0</v>
      </c>
      <c r="P710" s="265">
        <f t="shared" si="238"/>
        <v>0</v>
      </c>
      <c r="Q710" s="271">
        <f t="shared" si="239"/>
        <v>0</v>
      </c>
    </row>
    <row r="711" spans="1:17" x14ac:dyDescent="0.2">
      <c r="A711" s="264" t="s">
        <v>615</v>
      </c>
      <c r="B711" s="202" t="s">
        <v>512</v>
      </c>
      <c r="C711" s="202" t="s">
        <v>512</v>
      </c>
      <c r="D711" s="202" t="s">
        <v>928</v>
      </c>
      <c r="E711" s="202" t="s">
        <v>509</v>
      </c>
      <c r="F711" s="265">
        <v>552</v>
      </c>
      <c r="G711" s="265">
        <v>0</v>
      </c>
      <c r="H711" s="265">
        <v>552</v>
      </c>
      <c r="I711" s="265">
        <v>0</v>
      </c>
      <c r="J711" s="265">
        <f t="shared" si="236"/>
        <v>0</v>
      </c>
      <c r="K711" s="265">
        <f t="shared" si="237"/>
        <v>0</v>
      </c>
      <c r="L711" s="265">
        <v>552</v>
      </c>
      <c r="M711" s="226">
        <v>0</v>
      </c>
      <c r="N711" s="265">
        <v>552</v>
      </c>
      <c r="O711" s="226">
        <v>0</v>
      </c>
      <c r="P711" s="265">
        <f t="shared" si="238"/>
        <v>0</v>
      </c>
      <c r="Q711" s="271">
        <f t="shared" si="239"/>
        <v>0</v>
      </c>
    </row>
    <row r="712" spans="1:17" x14ac:dyDescent="0.2">
      <c r="A712" s="264" t="s">
        <v>614</v>
      </c>
      <c r="B712" s="202" t="s">
        <v>512</v>
      </c>
      <c r="C712" s="202" t="s">
        <v>512</v>
      </c>
      <c r="D712" s="202" t="s">
        <v>928</v>
      </c>
      <c r="E712" s="202" t="s">
        <v>613</v>
      </c>
      <c r="F712" s="265">
        <v>552</v>
      </c>
      <c r="G712" s="265">
        <v>0</v>
      </c>
      <c r="H712" s="265">
        <v>552</v>
      </c>
      <c r="I712" s="265">
        <v>0</v>
      </c>
      <c r="J712" s="265">
        <f t="shared" si="236"/>
        <v>0</v>
      </c>
      <c r="K712" s="265">
        <f t="shared" si="237"/>
        <v>0</v>
      </c>
      <c r="L712" s="265">
        <v>552</v>
      </c>
      <c r="M712" s="226">
        <v>0</v>
      </c>
      <c r="N712" s="265">
        <v>552</v>
      </c>
      <c r="O712" s="226">
        <v>0</v>
      </c>
      <c r="P712" s="265">
        <f t="shared" si="238"/>
        <v>0</v>
      </c>
      <c r="Q712" s="271">
        <f t="shared" si="239"/>
        <v>0</v>
      </c>
    </row>
    <row r="713" spans="1:17" ht="22.5" x14ac:dyDescent="0.2">
      <c r="A713" s="264" t="s">
        <v>927</v>
      </c>
      <c r="B713" s="202" t="s">
        <v>512</v>
      </c>
      <c r="C713" s="202" t="s">
        <v>512</v>
      </c>
      <c r="D713" s="202" t="s">
        <v>926</v>
      </c>
      <c r="E713" s="202"/>
      <c r="F713" s="265">
        <v>52504</v>
      </c>
      <c r="G713" s="265">
        <v>0</v>
      </c>
      <c r="H713" s="265">
        <v>52504</v>
      </c>
      <c r="I713" s="265">
        <v>0</v>
      </c>
      <c r="J713" s="265">
        <f t="shared" si="236"/>
        <v>0</v>
      </c>
      <c r="K713" s="265">
        <f t="shared" si="237"/>
        <v>0</v>
      </c>
      <c r="L713" s="265">
        <v>52504</v>
      </c>
      <c r="M713" s="226">
        <v>0</v>
      </c>
      <c r="N713" s="265">
        <v>52504</v>
      </c>
      <c r="O713" s="226">
        <v>0</v>
      </c>
      <c r="P713" s="265">
        <f t="shared" si="238"/>
        <v>0</v>
      </c>
      <c r="Q713" s="271">
        <f t="shared" si="239"/>
        <v>0</v>
      </c>
    </row>
    <row r="714" spans="1:17" ht="33.75" x14ac:dyDescent="0.2">
      <c r="A714" s="264" t="s">
        <v>1348</v>
      </c>
      <c r="B714" s="202" t="s">
        <v>512</v>
      </c>
      <c r="C714" s="202" t="s">
        <v>512</v>
      </c>
      <c r="D714" s="202" t="s">
        <v>926</v>
      </c>
      <c r="E714" s="202" t="s">
        <v>556</v>
      </c>
      <c r="F714" s="265">
        <v>47186.400000000001</v>
      </c>
      <c r="G714" s="265">
        <v>0</v>
      </c>
      <c r="H714" s="265">
        <v>47186.400000000001</v>
      </c>
      <c r="I714" s="265">
        <v>0</v>
      </c>
      <c r="J714" s="265">
        <f t="shared" si="236"/>
        <v>0</v>
      </c>
      <c r="K714" s="265">
        <f t="shared" si="237"/>
        <v>0</v>
      </c>
      <c r="L714" s="265">
        <v>47186.400000000001</v>
      </c>
      <c r="M714" s="226">
        <v>0</v>
      </c>
      <c r="N714" s="265">
        <v>47186.400000000001</v>
      </c>
      <c r="O714" s="226">
        <v>0</v>
      </c>
      <c r="P714" s="265">
        <f t="shared" si="238"/>
        <v>0</v>
      </c>
      <c r="Q714" s="271">
        <f t="shared" si="239"/>
        <v>0</v>
      </c>
    </row>
    <row r="715" spans="1:17" x14ac:dyDescent="0.2">
      <c r="A715" s="264" t="s">
        <v>555</v>
      </c>
      <c r="B715" s="202" t="s">
        <v>512</v>
      </c>
      <c r="C715" s="202" t="s">
        <v>512</v>
      </c>
      <c r="D715" s="202" t="s">
        <v>926</v>
      </c>
      <c r="E715" s="202" t="s">
        <v>554</v>
      </c>
      <c r="F715" s="265">
        <v>47186.400000000001</v>
      </c>
      <c r="G715" s="265">
        <v>0</v>
      </c>
      <c r="H715" s="265">
        <v>47186.400000000001</v>
      </c>
      <c r="I715" s="265">
        <v>0</v>
      </c>
      <c r="J715" s="265">
        <f t="shared" si="236"/>
        <v>0</v>
      </c>
      <c r="K715" s="265">
        <f t="shared" si="237"/>
        <v>0</v>
      </c>
      <c r="L715" s="265">
        <v>47186.400000000001</v>
      </c>
      <c r="M715" s="226">
        <v>0</v>
      </c>
      <c r="N715" s="265">
        <v>47186.400000000001</v>
      </c>
      <c r="O715" s="226">
        <v>0</v>
      </c>
      <c r="P715" s="265">
        <f t="shared" si="238"/>
        <v>0</v>
      </c>
      <c r="Q715" s="271">
        <f t="shared" si="239"/>
        <v>0</v>
      </c>
    </row>
    <row r="716" spans="1:17" x14ac:dyDescent="0.2">
      <c r="A716" s="264" t="s">
        <v>1347</v>
      </c>
      <c r="B716" s="202" t="s">
        <v>512</v>
      </c>
      <c r="C716" s="202" t="s">
        <v>512</v>
      </c>
      <c r="D716" s="202" t="s">
        <v>926</v>
      </c>
      <c r="E716" s="202" t="s">
        <v>535</v>
      </c>
      <c r="F716" s="265">
        <v>5234.7</v>
      </c>
      <c r="G716" s="265">
        <v>0</v>
      </c>
      <c r="H716" s="265">
        <v>5234.7</v>
      </c>
      <c r="I716" s="265">
        <v>0</v>
      </c>
      <c r="J716" s="265">
        <f t="shared" si="236"/>
        <v>0</v>
      </c>
      <c r="K716" s="265">
        <f t="shared" si="237"/>
        <v>0</v>
      </c>
      <c r="L716" s="265">
        <v>5234.7</v>
      </c>
      <c r="M716" s="226">
        <v>0</v>
      </c>
      <c r="N716" s="265">
        <v>5234.7</v>
      </c>
      <c r="O716" s="226">
        <v>0</v>
      </c>
      <c r="P716" s="265">
        <f t="shared" si="238"/>
        <v>0</v>
      </c>
      <c r="Q716" s="271">
        <f t="shared" si="239"/>
        <v>0</v>
      </c>
    </row>
    <row r="717" spans="1:17" x14ac:dyDescent="0.2">
      <c r="A717" s="264" t="s">
        <v>534</v>
      </c>
      <c r="B717" s="202" t="s">
        <v>512</v>
      </c>
      <c r="C717" s="202" t="s">
        <v>512</v>
      </c>
      <c r="D717" s="202" t="s">
        <v>926</v>
      </c>
      <c r="E717" s="202" t="s">
        <v>529</v>
      </c>
      <c r="F717" s="265">
        <v>5234.7</v>
      </c>
      <c r="G717" s="265">
        <v>0</v>
      </c>
      <c r="H717" s="265">
        <v>5234.7</v>
      </c>
      <c r="I717" s="265">
        <v>0</v>
      </c>
      <c r="J717" s="265">
        <f t="shared" si="236"/>
        <v>0</v>
      </c>
      <c r="K717" s="265">
        <f t="shared" si="237"/>
        <v>0</v>
      </c>
      <c r="L717" s="265">
        <v>5234.7</v>
      </c>
      <c r="M717" s="226">
        <v>0</v>
      </c>
      <c r="N717" s="265">
        <v>5234.7</v>
      </c>
      <c r="O717" s="226">
        <v>0</v>
      </c>
      <c r="P717" s="265">
        <f t="shared" si="238"/>
        <v>0</v>
      </c>
      <c r="Q717" s="271">
        <f t="shared" si="239"/>
        <v>0</v>
      </c>
    </row>
    <row r="718" spans="1:17" x14ac:dyDescent="0.2">
      <c r="A718" s="264" t="s">
        <v>615</v>
      </c>
      <c r="B718" s="202" t="s">
        <v>512</v>
      </c>
      <c r="C718" s="202" t="s">
        <v>512</v>
      </c>
      <c r="D718" s="202" t="s">
        <v>926</v>
      </c>
      <c r="E718" s="202" t="s">
        <v>509</v>
      </c>
      <c r="F718" s="265">
        <v>82.9</v>
      </c>
      <c r="G718" s="265">
        <v>0</v>
      </c>
      <c r="H718" s="265">
        <v>82.9</v>
      </c>
      <c r="I718" s="265">
        <v>0</v>
      </c>
      <c r="J718" s="265">
        <f t="shared" si="236"/>
        <v>0</v>
      </c>
      <c r="K718" s="265">
        <f t="shared" si="237"/>
        <v>0</v>
      </c>
      <c r="L718" s="265">
        <v>82.9</v>
      </c>
      <c r="M718" s="226">
        <v>0</v>
      </c>
      <c r="N718" s="265">
        <v>82.9</v>
      </c>
      <c r="O718" s="226">
        <v>0</v>
      </c>
      <c r="P718" s="265">
        <f t="shared" si="238"/>
        <v>0</v>
      </c>
      <c r="Q718" s="271">
        <f t="shared" si="239"/>
        <v>0</v>
      </c>
    </row>
    <row r="719" spans="1:17" x14ac:dyDescent="0.2">
      <c r="A719" s="264" t="s">
        <v>614</v>
      </c>
      <c r="B719" s="202" t="s">
        <v>512</v>
      </c>
      <c r="C719" s="202" t="s">
        <v>512</v>
      </c>
      <c r="D719" s="202" t="s">
        <v>926</v>
      </c>
      <c r="E719" s="202" t="s">
        <v>613</v>
      </c>
      <c r="F719" s="265">
        <v>82.9</v>
      </c>
      <c r="G719" s="265">
        <v>0</v>
      </c>
      <c r="H719" s="265">
        <v>82.9</v>
      </c>
      <c r="I719" s="265">
        <v>0</v>
      </c>
      <c r="J719" s="265">
        <f t="shared" si="236"/>
        <v>0</v>
      </c>
      <c r="K719" s="265">
        <f t="shared" si="237"/>
        <v>0</v>
      </c>
      <c r="L719" s="265">
        <v>82.9</v>
      </c>
      <c r="M719" s="226">
        <v>0</v>
      </c>
      <c r="N719" s="265">
        <v>82.9</v>
      </c>
      <c r="O719" s="226">
        <v>0</v>
      </c>
      <c r="P719" s="265">
        <f t="shared" si="238"/>
        <v>0</v>
      </c>
      <c r="Q719" s="271">
        <f t="shared" si="239"/>
        <v>0</v>
      </c>
    </row>
    <row r="720" spans="1:17" s="97" customFormat="1" x14ac:dyDescent="0.2">
      <c r="A720" s="262" t="s">
        <v>925</v>
      </c>
      <c r="B720" s="199" t="s">
        <v>747</v>
      </c>
      <c r="C720" s="199"/>
      <c r="D720" s="199"/>
      <c r="E720" s="199"/>
      <c r="F720" s="263">
        <v>15050</v>
      </c>
      <c r="G720" s="263">
        <v>0</v>
      </c>
      <c r="H720" s="263">
        <f>H728+H721</f>
        <v>245733.8</v>
      </c>
      <c r="I720" s="263">
        <f>I728+I721</f>
        <v>0</v>
      </c>
      <c r="J720" s="282">
        <f t="shared" si="236"/>
        <v>230683.8</v>
      </c>
      <c r="K720" s="263">
        <f t="shared" si="237"/>
        <v>0</v>
      </c>
      <c r="L720" s="263">
        <v>15650</v>
      </c>
      <c r="M720" s="205">
        <v>0</v>
      </c>
      <c r="N720" s="263">
        <f>N728+N721</f>
        <v>15650</v>
      </c>
      <c r="O720" s="205">
        <f>O728+O721</f>
        <v>0</v>
      </c>
      <c r="P720" s="282">
        <f t="shared" si="238"/>
        <v>0</v>
      </c>
      <c r="Q720" s="272">
        <f t="shared" si="239"/>
        <v>0</v>
      </c>
    </row>
    <row r="721" spans="1:17" s="97" customFormat="1" x14ac:dyDescent="0.2">
      <c r="A721" s="202" t="s">
        <v>1595</v>
      </c>
      <c r="B721" s="202" t="s">
        <v>747</v>
      </c>
      <c r="C721" s="202" t="s">
        <v>502</v>
      </c>
      <c r="D721" s="202"/>
      <c r="E721" s="202"/>
      <c r="F721" s="265">
        <f t="shared" ref="F721:F726" si="240">F722</f>
        <v>0</v>
      </c>
      <c r="G721" s="265">
        <f t="shared" ref="G721:I726" si="241">G722</f>
        <v>0</v>
      </c>
      <c r="H721" s="265">
        <f t="shared" si="241"/>
        <v>230683.8</v>
      </c>
      <c r="I721" s="265">
        <f t="shared" si="241"/>
        <v>0</v>
      </c>
      <c r="J721" s="281">
        <f t="shared" ref="J721:J727" si="242">H721-F721</f>
        <v>230683.8</v>
      </c>
      <c r="K721" s="265">
        <f t="shared" ref="K721:K727" si="243">I721-G721</f>
        <v>0</v>
      </c>
      <c r="L721" s="265">
        <f t="shared" ref="L721:L726" si="244">L722</f>
        <v>0</v>
      </c>
      <c r="M721" s="226">
        <f t="shared" ref="M721:M726" si="245">M722</f>
        <v>0</v>
      </c>
      <c r="N721" s="265">
        <f t="shared" ref="N721:N726" si="246">N722</f>
        <v>0</v>
      </c>
      <c r="O721" s="226">
        <f t="shared" ref="O721:O726" si="247">O722</f>
        <v>0</v>
      </c>
      <c r="P721" s="281">
        <f t="shared" ref="P721:P727" si="248">N721-L721</f>
        <v>0</v>
      </c>
      <c r="Q721" s="271">
        <f t="shared" ref="Q721:Q727" si="249">O721-M721</f>
        <v>0</v>
      </c>
    </row>
    <row r="722" spans="1:17" s="97" customFormat="1" x14ac:dyDescent="0.2">
      <c r="A722" s="202" t="s">
        <v>943</v>
      </c>
      <c r="B722" s="202" t="s">
        <v>747</v>
      </c>
      <c r="C722" s="202" t="s">
        <v>502</v>
      </c>
      <c r="D722" s="202" t="s">
        <v>942</v>
      </c>
      <c r="E722" s="202"/>
      <c r="F722" s="265">
        <f t="shared" si="240"/>
        <v>0</v>
      </c>
      <c r="G722" s="265">
        <f t="shared" si="241"/>
        <v>0</v>
      </c>
      <c r="H722" s="265">
        <f t="shared" si="241"/>
        <v>230683.8</v>
      </c>
      <c r="I722" s="265">
        <f t="shared" si="241"/>
        <v>0</v>
      </c>
      <c r="J722" s="281">
        <f t="shared" si="242"/>
        <v>230683.8</v>
      </c>
      <c r="K722" s="265">
        <f t="shared" si="243"/>
        <v>0</v>
      </c>
      <c r="L722" s="265">
        <f t="shared" si="244"/>
        <v>0</v>
      </c>
      <c r="M722" s="226">
        <f t="shared" si="245"/>
        <v>0</v>
      </c>
      <c r="N722" s="265">
        <f t="shared" si="246"/>
        <v>0</v>
      </c>
      <c r="O722" s="226">
        <f t="shared" si="247"/>
        <v>0</v>
      </c>
      <c r="P722" s="281">
        <f t="shared" si="248"/>
        <v>0</v>
      </c>
      <c r="Q722" s="271">
        <f t="shared" si="249"/>
        <v>0</v>
      </c>
    </row>
    <row r="723" spans="1:17" s="97" customFormat="1" x14ac:dyDescent="0.2">
      <c r="A723" s="202" t="s">
        <v>1596</v>
      </c>
      <c r="B723" s="202" t="s">
        <v>747</v>
      </c>
      <c r="C723" s="202" t="s">
        <v>502</v>
      </c>
      <c r="D723" s="202" t="s">
        <v>1599</v>
      </c>
      <c r="E723" s="202"/>
      <c r="F723" s="265">
        <f t="shared" si="240"/>
        <v>0</v>
      </c>
      <c r="G723" s="265">
        <f t="shared" si="241"/>
        <v>0</v>
      </c>
      <c r="H723" s="265">
        <f t="shared" si="241"/>
        <v>230683.8</v>
      </c>
      <c r="I723" s="265">
        <f t="shared" si="241"/>
        <v>0</v>
      </c>
      <c r="J723" s="281">
        <f t="shared" si="242"/>
        <v>230683.8</v>
      </c>
      <c r="K723" s="265">
        <f t="shared" si="243"/>
        <v>0</v>
      </c>
      <c r="L723" s="265">
        <f t="shared" si="244"/>
        <v>0</v>
      </c>
      <c r="M723" s="226">
        <f t="shared" si="245"/>
        <v>0</v>
      </c>
      <c r="N723" s="265">
        <f t="shared" si="246"/>
        <v>0</v>
      </c>
      <c r="O723" s="226">
        <f t="shared" si="247"/>
        <v>0</v>
      </c>
      <c r="P723" s="281">
        <f t="shared" si="248"/>
        <v>0</v>
      </c>
      <c r="Q723" s="271">
        <f t="shared" si="249"/>
        <v>0</v>
      </c>
    </row>
    <row r="724" spans="1:17" s="97" customFormat="1" ht="33.75" x14ac:dyDescent="0.2">
      <c r="A724" s="202" t="s">
        <v>1597</v>
      </c>
      <c r="B724" s="202" t="s">
        <v>747</v>
      </c>
      <c r="C724" s="202" t="s">
        <v>502</v>
      </c>
      <c r="D724" s="202" t="s">
        <v>1600</v>
      </c>
      <c r="E724" s="202"/>
      <c r="F724" s="265">
        <f t="shared" si="240"/>
        <v>0</v>
      </c>
      <c r="G724" s="265">
        <f t="shared" si="241"/>
        <v>0</v>
      </c>
      <c r="H724" s="265">
        <f t="shared" si="241"/>
        <v>230683.8</v>
      </c>
      <c r="I724" s="265">
        <f t="shared" si="241"/>
        <v>0</v>
      </c>
      <c r="J724" s="281">
        <f t="shared" si="242"/>
        <v>230683.8</v>
      </c>
      <c r="K724" s="265">
        <f t="shared" si="243"/>
        <v>0</v>
      </c>
      <c r="L724" s="265">
        <f t="shared" si="244"/>
        <v>0</v>
      </c>
      <c r="M724" s="226">
        <f t="shared" si="245"/>
        <v>0</v>
      </c>
      <c r="N724" s="265">
        <f t="shared" si="246"/>
        <v>0</v>
      </c>
      <c r="O724" s="226">
        <f t="shared" si="247"/>
        <v>0</v>
      </c>
      <c r="P724" s="281">
        <f t="shared" si="248"/>
        <v>0</v>
      </c>
      <c r="Q724" s="271">
        <f t="shared" si="249"/>
        <v>0</v>
      </c>
    </row>
    <row r="725" spans="1:17" s="97" customFormat="1" x14ac:dyDescent="0.2">
      <c r="A725" s="202" t="s">
        <v>1598</v>
      </c>
      <c r="B725" s="202" t="s">
        <v>747</v>
      </c>
      <c r="C725" s="202" t="s">
        <v>502</v>
      </c>
      <c r="D725" s="202" t="s">
        <v>1601</v>
      </c>
      <c r="E725" s="202"/>
      <c r="F725" s="265">
        <f t="shared" si="240"/>
        <v>0</v>
      </c>
      <c r="G725" s="265">
        <f t="shared" si="241"/>
        <v>0</v>
      </c>
      <c r="H725" s="265">
        <f t="shared" si="241"/>
        <v>230683.8</v>
      </c>
      <c r="I725" s="265">
        <f t="shared" si="241"/>
        <v>0</v>
      </c>
      <c r="J725" s="281">
        <f t="shared" si="242"/>
        <v>230683.8</v>
      </c>
      <c r="K725" s="265">
        <f t="shared" si="243"/>
        <v>0</v>
      </c>
      <c r="L725" s="265">
        <f t="shared" si="244"/>
        <v>0</v>
      </c>
      <c r="M725" s="226">
        <f t="shared" si="245"/>
        <v>0</v>
      </c>
      <c r="N725" s="265">
        <f t="shared" si="246"/>
        <v>0</v>
      </c>
      <c r="O725" s="226">
        <f t="shared" si="247"/>
        <v>0</v>
      </c>
      <c r="P725" s="281">
        <f t="shared" si="248"/>
        <v>0</v>
      </c>
      <c r="Q725" s="271">
        <f t="shared" si="249"/>
        <v>0</v>
      </c>
    </row>
    <row r="726" spans="1:17" s="97" customFormat="1" x14ac:dyDescent="0.2">
      <c r="A726" s="202" t="s">
        <v>1355</v>
      </c>
      <c r="B726" s="202" t="s">
        <v>747</v>
      </c>
      <c r="C726" s="202" t="s">
        <v>502</v>
      </c>
      <c r="D726" s="202" t="s">
        <v>1601</v>
      </c>
      <c r="E726" s="202" t="s">
        <v>824</v>
      </c>
      <c r="F726" s="265">
        <f t="shared" si="240"/>
        <v>0</v>
      </c>
      <c r="G726" s="265">
        <f t="shared" si="241"/>
        <v>0</v>
      </c>
      <c r="H726" s="265">
        <f t="shared" si="241"/>
        <v>230683.8</v>
      </c>
      <c r="I726" s="265">
        <f t="shared" si="241"/>
        <v>0</v>
      </c>
      <c r="J726" s="281">
        <f t="shared" si="242"/>
        <v>230683.8</v>
      </c>
      <c r="K726" s="265">
        <f t="shared" si="243"/>
        <v>0</v>
      </c>
      <c r="L726" s="265">
        <f t="shared" si="244"/>
        <v>0</v>
      </c>
      <c r="M726" s="226">
        <f t="shared" si="245"/>
        <v>0</v>
      </c>
      <c r="N726" s="265">
        <f t="shared" si="246"/>
        <v>0</v>
      </c>
      <c r="O726" s="226">
        <f t="shared" si="247"/>
        <v>0</v>
      </c>
      <c r="P726" s="281">
        <f t="shared" si="248"/>
        <v>0</v>
      </c>
      <c r="Q726" s="271">
        <f t="shared" si="249"/>
        <v>0</v>
      </c>
    </row>
    <row r="727" spans="1:17" s="97" customFormat="1" x14ac:dyDescent="0.2">
      <c r="A727" s="202" t="s">
        <v>823</v>
      </c>
      <c r="B727" s="202" t="s">
        <v>747</v>
      </c>
      <c r="C727" s="202" t="s">
        <v>502</v>
      </c>
      <c r="D727" s="202" t="s">
        <v>1601</v>
      </c>
      <c r="E727" s="202" t="s">
        <v>821</v>
      </c>
      <c r="F727" s="265">
        <v>0</v>
      </c>
      <c r="G727" s="265">
        <v>0</v>
      </c>
      <c r="H727" s="265">
        <f>'Ведомственная 2021-2022'!H668</f>
        <v>230683.8</v>
      </c>
      <c r="I727" s="265">
        <v>0</v>
      </c>
      <c r="J727" s="281">
        <f t="shared" si="242"/>
        <v>230683.8</v>
      </c>
      <c r="K727" s="265">
        <f t="shared" si="243"/>
        <v>0</v>
      </c>
      <c r="L727" s="265">
        <v>0</v>
      </c>
      <c r="M727" s="226">
        <v>0</v>
      </c>
      <c r="N727" s="265">
        <v>0</v>
      </c>
      <c r="O727" s="226">
        <v>0</v>
      </c>
      <c r="P727" s="281">
        <f t="shared" si="248"/>
        <v>0</v>
      </c>
      <c r="Q727" s="271">
        <f t="shared" si="249"/>
        <v>0</v>
      </c>
    </row>
    <row r="728" spans="1:17" x14ac:dyDescent="0.2">
      <c r="A728" s="264" t="s">
        <v>924</v>
      </c>
      <c r="B728" s="202" t="s">
        <v>747</v>
      </c>
      <c r="C728" s="202" t="s">
        <v>531</v>
      </c>
      <c r="D728" s="202"/>
      <c r="E728" s="202"/>
      <c r="F728" s="265">
        <v>15050</v>
      </c>
      <c r="G728" s="265">
        <v>0</v>
      </c>
      <c r="H728" s="265">
        <f t="shared" ref="H728:I728" si="250">H729</f>
        <v>15050</v>
      </c>
      <c r="I728" s="265">
        <f t="shared" si="250"/>
        <v>0</v>
      </c>
      <c r="J728" s="281">
        <f t="shared" si="236"/>
        <v>0</v>
      </c>
      <c r="K728" s="265">
        <f t="shared" si="237"/>
        <v>0</v>
      </c>
      <c r="L728" s="265">
        <v>15650</v>
      </c>
      <c r="M728" s="226">
        <v>0</v>
      </c>
      <c r="N728" s="265">
        <f>N729</f>
        <v>15650</v>
      </c>
      <c r="O728" s="226">
        <v>0</v>
      </c>
      <c r="P728" s="281">
        <f t="shared" si="238"/>
        <v>0</v>
      </c>
      <c r="Q728" s="271">
        <f t="shared" si="239"/>
        <v>0</v>
      </c>
    </row>
    <row r="729" spans="1:17" x14ac:dyDescent="0.2">
      <c r="A729" s="264" t="s">
        <v>923</v>
      </c>
      <c r="B729" s="202" t="s">
        <v>747</v>
      </c>
      <c r="C729" s="202" t="s">
        <v>531</v>
      </c>
      <c r="D729" s="202" t="s">
        <v>922</v>
      </c>
      <c r="E729" s="202"/>
      <c r="F729" s="265">
        <v>15050</v>
      </c>
      <c r="G729" s="265">
        <v>0</v>
      </c>
      <c r="H729" s="265">
        <f>H730+H742</f>
        <v>15050</v>
      </c>
      <c r="I729" s="265">
        <f>I730+I742</f>
        <v>0</v>
      </c>
      <c r="J729" s="281">
        <f t="shared" si="236"/>
        <v>0</v>
      </c>
      <c r="K729" s="265">
        <f t="shared" si="237"/>
        <v>0</v>
      </c>
      <c r="L729" s="265">
        <v>15650</v>
      </c>
      <c r="M729" s="226">
        <v>0</v>
      </c>
      <c r="N729" s="265">
        <f>N730+N742</f>
        <v>15650</v>
      </c>
      <c r="O729" s="226">
        <f>O730+O742</f>
        <v>0</v>
      </c>
      <c r="P729" s="281">
        <f t="shared" si="238"/>
        <v>0</v>
      </c>
      <c r="Q729" s="271">
        <f t="shared" si="239"/>
        <v>0</v>
      </c>
    </row>
    <row r="730" spans="1:17" x14ac:dyDescent="0.2">
      <c r="A730" s="264" t="s">
        <v>921</v>
      </c>
      <c r="B730" s="202" t="s">
        <v>747</v>
      </c>
      <c r="C730" s="202" t="s">
        <v>531</v>
      </c>
      <c r="D730" s="202" t="s">
        <v>920</v>
      </c>
      <c r="E730" s="202"/>
      <c r="F730" s="265">
        <v>14050</v>
      </c>
      <c r="G730" s="265">
        <v>0</v>
      </c>
      <c r="H730" s="265">
        <f>H738+H731</f>
        <v>14050</v>
      </c>
      <c r="I730" s="265">
        <f>I738+I731</f>
        <v>0</v>
      </c>
      <c r="J730" s="281">
        <f t="shared" si="236"/>
        <v>0</v>
      </c>
      <c r="K730" s="265">
        <f t="shared" si="237"/>
        <v>0</v>
      </c>
      <c r="L730" s="265">
        <v>14150</v>
      </c>
      <c r="M730" s="226">
        <v>0</v>
      </c>
      <c r="N730" s="265">
        <f>N738+N731</f>
        <v>14150</v>
      </c>
      <c r="O730" s="226">
        <f>O738+O731</f>
        <v>0</v>
      </c>
      <c r="P730" s="281">
        <f t="shared" si="238"/>
        <v>0</v>
      </c>
      <c r="Q730" s="271">
        <f t="shared" si="239"/>
        <v>0</v>
      </c>
    </row>
    <row r="731" spans="1:17" s="242" customFormat="1" ht="22.5" x14ac:dyDescent="0.2">
      <c r="A731" s="202" t="s">
        <v>1015</v>
      </c>
      <c r="B731" s="202" t="s">
        <v>747</v>
      </c>
      <c r="C731" s="202" t="s">
        <v>531</v>
      </c>
      <c r="D731" s="202" t="s">
        <v>1014</v>
      </c>
      <c r="E731" s="202"/>
      <c r="F731" s="265">
        <v>14000</v>
      </c>
      <c r="G731" s="265">
        <v>0</v>
      </c>
      <c r="H731" s="265">
        <f>H732+H735</f>
        <v>14000</v>
      </c>
      <c r="I731" s="265">
        <f>I732+I735</f>
        <v>0</v>
      </c>
      <c r="J731" s="281">
        <f t="shared" ref="J731:J734" si="251">H731-F731</f>
        <v>0</v>
      </c>
      <c r="K731" s="265">
        <f t="shared" ref="K731:K734" si="252">I731-G731</f>
        <v>0</v>
      </c>
      <c r="L731" s="265">
        <v>14000</v>
      </c>
      <c r="M731" s="226">
        <v>0</v>
      </c>
      <c r="N731" s="265">
        <f>N732+N735</f>
        <v>14000</v>
      </c>
      <c r="O731" s="226">
        <f>O732+O735</f>
        <v>0</v>
      </c>
      <c r="P731" s="281">
        <f t="shared" ref="P731:P736" si="253">N731-L731</f>
        <v>0</v>
      </c>
      <c r="Q731" s="271">
        <f t="shared" ref="Q731:Q736" si="254">O731-M731</f>
        <v>0</v>
      </c>
    </row>
    <row r="732" spans="1:17" s="242" customFormat="1" x14ac:dyDescent="0.2">
      <c r="A732" s="202" t="s">
        <v>917</v>
      </c>
      <c r="B732" s="202" t="s">
        <v>747</v>
      </c>
      <c r="C732" s="202" t="s">
        <v>531</v>
      </c>
      <c r="D732" s="202" t="s">
        <v>1377</v>
      </c>
      <c r="E732" s="202"/>
      <c r="F732" s="265">
        <v>4000</v>
      </c>
      <c r="G732" s="265">
        <v>0</v>
      </c>
      <c r="H732" s="265">
        <f t="shared" ref="H732:I733" si="255">H733</f>
        <v>4000</v>
      </c>
      <c r="I732" s="265">
        <f t="shared" si="255"/>
        <v>0</v>
      </c>
      <c r="J732" s="281">
        <f t="shared" si="251"/>
        <v>0</v>
      </c>
      <c r="K732" s="265">
        <f t="shared" si="252"/>
        <v>0</v>
      </c>
      <c r="L732" s="265">
        <v>4000</v>
      </c>
      <c r="M732" s="226">
        <v>0</v>
      </c>
      <c r="N732" s="265">
        <f t="shared" ref="N732:O733" si="256">N733</f>
        <v>4000</v>
      </c>
      <c r="O732" s="226">
        <f t="shared" si="256"/>
        <v>0</v>
      </c>
      <c r="P732" s="281">
        <f t="shared" si="253"/>
        <v>0</v>
      </c>
      <c r="Q732" s="271">
        <f t="shared" si="254"/>
        <v>0</v>
      </c>
    </row>
    <row r="733" spans="1:17" s="242" customFormat="1" x14ac:dyDescent="0.2">
      <c r="A733" s="202" t="s">
        <v>1347</v>
      </c>
      <c r="B733" s="202" t="s">
        <v>747</v>
      </c>
      <c r="C733" s="202" t="s">
        <v>531</v>
      </c>
      <c r="D733" s="202" t="s">
        <v>1377</v>
      </c>
      <c r="E733" s="202">
        <v>200</v>
      </c>
      <c r="F733" s="265">
        <v>4000</v>
      </c>
      <c r="G733" s="265">
        <v>0</v>
      </c>
      <c r="H733" s="265">
        <f t="shared" si="255"/>
        <v>4000</v>
      </c>
      <c r="I733" s="265">
        <f t="shared" si="255"/>
        <v>0</v>
      </c>
      <c r="J733" s="281">
        <f t="shared" si="251"/>
        <v>0</v>
      </c>
      <c r="K733" s="265">
        <f t="shared" si="252"/>
        <v>0</v>
      </c>
      <c r="L733" s="265">
        <v>4000</v>
      </c>
      <c r="M733" s="226">
        <v>0</v>
      </c>
      <c r="N733" s="265">
        <f t="shared" si="256"/>
        <v>4000</v>
      </c>
      <c r="O733" s="226">
        <f t="shared" si="256"/>
        <v>0</v>
      </c>
      <c r="P733" s="281">
        <f t="shared" si="253"/>
        <v>0</v>
      </c>
      <c r="Q733" s="271">
        <f t="shared" si="254"/>
        <v>0</v>
      </c>
    </row>
    <row r="734" spans="1:17" s="242" customFormat="1" x14ac:dyDescent="0.2">
      <c r="A734" s="202" t="s">
        <v>534</v>
      </c>
      <c r="B734" s="202" t="s">
        <v>747</v>
      </c>
      <c r="C734" s="202" t="s">
        <v>531</v>
      </c>
      <c r="D734" s="202" t="s">
        <v>1377</v>
      </c>
      <c r="E734" s="202">
        <v>240</v>
      </c>
      <c r="F734" s="265">
        <v>4000</v>
      </c>
      <c r="G734" s="265">
        <v>0</v>
      </c>
      <c r="H734" s="265">
        <f>'Ведомственная 2021-2022'!H675</f>
        <v>4000</v>
      </c>
      <c r="I734" s="265">
        <v>0</v>
      </c>
      <c r="J734" s="281">
        <f t="shared" si="251"/>
        <v>0</v>
      </c>
      <c r="K734" s="265">
        <f t="shared" si="252"/>
        <v>0</v>
      </c>
      <c r="L734" s="265">
        <v>4000</v>
      </c>
      <c r="M734" s="226">
        <v>0</v>
      </c>
      <c r="N734" s="265">
        <f>'Ведомственная 2021-2022'!K675</f>
        <v>4000</v>
      </c>
      <c r="O734" s="226">
        <v>0</v>
      </c>
      <c r="P734" s="281">
        <f t="shared" si="253"/>
        <v>0</v>
      </c>
      <c r="Q734" s="271">
        <f t="shared" si="254"/>
        <v>0</v>
      </c>
    </row>
    <row r="735" spans="1:17" s="242" customFormat="1" ht="22.5" x14ac:dyDescent="0.2">
      <c r="A735" s="202" t="s">
        <v>915</v>
      </c>
      <c r="B735" s="202" t="s">
        <v>747</v>
      </c>
      <c r="C735" s="202" t="s">
        <v>531</v>
      </c>
      <c r="D735" s="202" t="s">
        <v>1386</v>
      </c>
      <c r="E735" s="202"/>
      <c r="F735" s="265">
        <v>10000</v>
      </c>
      <c r="G735" s="265">
        <v>0</v>
      </c>
      <c r="H735" s="265">
        <f t="shared" ref="H735:I736" si="257">H736</f>
        <v>10000</v>
      </c>
      <c r="I735" s="265">
        <f t="shared" si="257"/>
        <v>0</v>
      </c>
      <c r="J735" s="281">
        <f t="shared" ref="J735:J737" si="258">H735-F735</f>
        <v>0</v>
      </c>
      <c r="K735" s="265">
        <f t="shared" ref="K735:K737" si="259">I735-G735</f>
        <v>0</v>
      </c>
      <c r="L735" s="265">
        <v>10000</v>
      </c>
      <c r="M735" s="226">
        <v>0</v>
      </c>
      <c r="N735" s="265">
        <f t="shared" ref="N735:N736" si="260">N736</f>
        <v>10000</v>
      </c>
      <c r="O735" s="226">
        <f t="shared" ref="O735:O736" si="261">O736</f>
        <v>0</v>
      </c>
      <c r="P735" s="281">
        <f t="shared" si="253"/>
        <v>0</v>
      </c>
      <c r="Q735" s="271">
        <f t="shared" si="254"/>
        <v>0</v>
      </c>
    </row>
    <row r="736" spans="1:17" s="242" customFormat="1" x14ac:dyDescent="0.2">
      <c r="A736" s="202" t="s">
        <v>1347</v>
      </c>
      <c r="B736" s="202" t="s">
        <v>747</v>
      </c>
      <c r="C736" s="202" t="s">
        <v>531</v>
      </c>
      <c r="D736" s="202" t="s">
        <v>1386</v>
      </c>
      <c r="E736" s="202">
        <v>200</v>
      </c>
      <c r="F736" s="265">
        <v>10000</v>
      </c>
      <c r="G736" s="265">
        <v>0</v>
      </c>
      <c r="H736" s="265">
        <f t="shared" si="257"/>
        <v>10000</v>
      </c>
      <c r="I736" s="265">
        <f t="shared" si="257"/>
        <v>0</v>
      </c>
      <c r="J736" s="281">
        <f t="shared" si="258"/>
        <v>0</v>
      </c>
      <c r="K736" s="265">
        <f t="shared" si="259"/>
        <v>0</v>
      </c>
      <c r="L736" s="265">
        <v>10000</v>
      </c>
      <c r="M736" s="226">
        <v>0</v>
      </c>
      <c r="N736" s="265">
        <f t="shared" si="260"/>
        <v>10000</v>
      </c>
      <c r="O736" s="226">
        <f t="shared" si="261"/>
        <v>0</v>
      </c>
      <c r="P736" s="281">
        <f t="shared" si="253"/>
        <v>0</v>
      </c>
      <c r="Q736" s="271">
        <f t="shared" si="254"/>
        <v>0</v>
      </c>
    </row>
    <row r="737" spans="1:17" s="242" customFormat="1" x14ac:dyDescent="0.2">
      <c r="A737" s="202" t="s">
        <v>534</v>
      </c>
      <c r="B737" s="202" t="s">
        <v>747</v>
      </c>
      <c r="C737" s="202" t="s">
        <v>531</v>
      </c>
      <c r="D737" s="202" t="s">
        <v>1386</v>
      </c>
      <c r="E737" s="202">
        <v>240</v>
      </c>
      <c r="F737" s="265">
        <v>10000</v>
      </c>
      <c r="G737" s="265">
        <v>0</v>
      </c>
      <c r="H737" s="265">
        <f>'Ведомственная 2021-2022'!H678</f>
        <v>10000</v>
      </c>
      <c r="I737" s="265">
        <v>0</v>
      </c>
      <c r="J737" s="281">
        <f t="shared" si="258"/>
        <v>0</v>
      </c>
      <c r="K737" s="265">
        <f t="shared" si="259"/>
        <v>0</v>
      </c>
      <c r="L737" s="265">
        <v>10000</v>
      </c>
      <c r="M737" s="226">
        <v>0</v>
      </c>
      <c r="N737" s="265">
        <f>'Ведомственная 2021-2022'!K678</f>
        <v>10000</v>
      </c>
      <c r="O737" s="226">
        <v>0</v>
      </c>
      <c r="P737" s="281">
        <f t="shared" ref="P737" si="262">N737-L737</f>
        <v>0</v>
      </c>
      <c r="Q737" s="271">
        <f t="shared" ref="Q737" si="263">O737-M737</f>
        <v>0</v>
      </c>
    </row>
    <row r="738" spans="1:17" x14ac:dyDescent="0.2">
      <c r="A738" s="264" t="s">
        <v>919</v>
      </c>
      <c r="B738" s="202" t="s">
        <v>747</v>
      </c>
      <c r="C738" s="202" t="s">
        <v>531</v>
      </c>
      <c r="D738" s="202" t="s">
        <v>918</v>
      </c>
      <c r="E738" s="202"/>
      <c r="F738" s="265">
        <v>50</v>
      </c>
      <c r="G738" s="265">
        <v>0</v>
      </c>
      <c r="H738" s="265">
        <f t="shared" ref="H738:I740" si="264">H739</f>
        <v>50</v>
      </c>
      <c r="I738" s="265">
        <f t="shared" si="264"/>
        <v>0</v>
      </c>
      <c r="J738" s="281">
        <f t="shared" si="236"/>
        <v>0</v>
      </c>
      <c r="K738" s="265">
        <f t="shared" si="237"/>
        <v>0</v>
      </c>
      <c r="L738" s="265">
        <v>150</v>
      </c>
      <c r="M738" s="226">
        <v>0</v>
      </c>
      <c r="N738" s="265">
        <f>N739</f>
        <v>150</v>
      </c>
      <c r="O738" s="226">
        <f>O739</f>
        <v>0</v>
      </c>
      <c r="P738" s="281">
        <f t="shared" si="238"/>
        <v>0</v>
      </c>
      <c r="Q738" s="271">
        <f t="shared" si="239"/>
        <v>0</v>
      </c>
    </row>
    <row r="739" spans="1:17" x14ac:dyDescent="0.2">
      <c r="A739" s="264" t="s">
        <v>917</v>
      </c>
      <c r="B739" s="202" t="s">
        <v>747</v>
      </c>
      <c r="C739" s="202" t="s">
        <v>531</v>
      </c>
      <c r="D739" s="202" t="s">
        <v>916</v>
      </c>
      <c r="E739" s="202"/>
      <c r="F739" s="265">
        <v>50</v>
      </c>
      <c r="G739" s="265">
        <v>0</v>
      </c>
      <c r="H739" s="265">
        <f t="shared" si="264"/>
        <v>50</v>
      </c>
      <c r="I739" s="265">
        <f t="shared" si="264"/>
        <v>0</v>
      </c>
      <c r="J739" s="281">
        <f t="shared" si="236"/>
        <v>0</v>
      </c>
      <c r="K739" s="265">
        <f t="shared" si="237"/>
        <v>0</v>
      </c>
      <c r="L739" s="265">
        <v>150</v>
      </c>
      <c r="M739" s="226">
        <v>0</v>
      </c>
      <c r="N739" s="265">
        <f>N740</f>
        <v>150</v>
      </c>
      <c r="O739" s="226">
        <v>0</v>
      </c>
      <c r="P739" s="281">
        <f t="shared" si="238"/>
        <v>0</v>
      </c>
      <c r="Q739" s="271">
        <f t="shared" si="239"/>
        <v>0</v>
      </c>
    </row>
    <row r="740" spans="1:17" x14ac:dyDescent="0.2">
      <c r="A740" s="264" t="s">
        <v>1347</v>
      </c>
      <c r="B740" s="202" t="s">
        <v>747</v>
      </c>
      <c r="C740" s="202" t="s">
        <v>531</v>
      </c>
      <c r="D740" s="202" t="s">
        <v>916</v>
      </c>
      <c r="E740" s="202" t="s">
        <v>535</v>
      </c>
      <c r="F740" s="265">
        <v>50</v>
      </c>
      <c r="G740" s="265">
        <v>0</v>
      </c>
      <c r="H740" s="265">
        <f t="shared" si="264"/>
        <v>50</v>
      </c>
      <c r="I740" s="265">
        <f t="shared" si="264"/>
        <v>0</v>
      </c>
      <c r="J740" s="281">
        <f t="shared" si="236"/>
        <v>0</v>
      </c>
      <c r="K740" s="265">
        <f t="shared" si="237"/>
        <v>0</v>
      </c>
      <c r="L740" s="265">
        <v>150</v>
      </c>
      <c r="M740" s="226">
        <v>0</v>
      </c>
      <c r="N740" s="265">
        <f>N741</f>
        <v>150</v>
      </c>
      <c r="O740" s="226">
        <v>0</v>
      </c>
      <c r="P740" s="281">
        <f t="shared" si="238"/>
        <v>0</v>
      </c>
      <c r="Q740" s="271">
        <f t="shared" si="239"/>
        <v>0</v>
      </c>
    </row>
    <row r="741" spans="1:17" x14ac:dyDescent="0.2">
      <c r="A741" s="264" t="s">
        <v>534</v>
      </c>
      <c r="B741" s="202" t="s">
        <v>747</v>
      </c>
      <c r="C741" s="202" t="s">
        <v>531</v>
      </c>
      <c r="D741" s="202" t="s">
        <v>916</v>
      </c>
      <c r="E741" s="202" t="s">
        <v>529</v>
      </c>
      <c r="F741" s="265">
        <v>50</v>
      </c>
      <c r="G741" s="265">
        <v>0</v>
      </c>
      <c r="H741" s="265">
        <f>'Ведомственная 2021-2022'!H682</f>
        <v>50</v>
      </c>
      <c r="I741" s="265">
        <v>0</v>
      </c>
      <c r="J741" s="281">
        <f t="shared" si="236"/>
        <v>0</v>
      </c>
      <c r="K741" s="265">
        <f t="shared" si="237"/>
        <v>0</v>
      </c>
      <c r="L741" s="265">
        <v>150</v>
      </c>
      <c r="M741" s="226">
        <v>0</v>
      </c>
      <c r="N741" s="265">
        <f>'Ведомственная 2021-2022'!K682</f>
        <v>150</v>
      </c>
      <c r="O741" s="226">
        <v>0</v>
      </c>
      <c r="P741" s="281">
        <f t="shared" si="238"/>
        <v>0</v>
      </c>
      <c r="Q741" s="271">
        <f t="shared" si="239"/>
        <v>0</v>
      </c>
    </row>
    <row r="742" spans="1:17" s="242" customFormat="1" x14ac:dyDescent="0.2">
      <c r="A742" s="202" t="s">
        <v>1380</v>
      </c>
      <c r="B742" s="202" t="s">
        <v>747</v>
      </c>
      <c r="C742" s="202" t="s">
        <v>531</v>
      </c>
      <c r="D742" s="202" t="s">
        <v>1383</v>
      </c>
      <c r="E742" s="202"/>
      <c r="F742" s="265">
        <v>1000</v>
      </c>
      <c r="G742" s="265">
        <v>0</v>
      </c>
      <c r="H742" s="265">
        <f t="shared" ref="H742:I745" si="265">H743</f>
        <v>1000</v>
      </c>
      <c r="I742" s="265">
        <f t="shared" si="265"/>
        <v>0</v>
      </c>
      <c r="J742" s="265">
        <f t="shared" ref="J742:J746" si="266">H742-F742</f>
        <v>0</v>
      </c>
      <c r="K742" s="265">
        <f t="shared" ref="K742:K746" si="267">I742-G742</f>
        <v>0</v>
      </c>
      <c r="L742" s="265">
        <v>1500</v>
      </c>
      <c r="M742" s="226">
        <v>0</v>
      </c>
      <c r="N742" s="265">
        <f t="shared" ref="N742:O745" si="268">N743</f>
        <v>1500</v>
      </c>
      <c r="O742" s="226">
        <f t="shared" si="268"/>
        <v>0</v>
      </c>
      <c r="P742" s="265">
        <f t="shared" ref="P742:P746" si="269">N742-L742</f>
        <v>0</v>
      </c>
      <c r="Q742" s="271">
        <f t="shared" ref="Q742:Q746" si="270">O742-M742</f>
        <v>0</v>
      </c>
    </row>
    <row r="743" spans="1:17" s="242" customFormat="1" x14ac:dyDescent="0.2">
      <c r="A743" s="202" t="s">
        <v>1381</v>
      </c>
      <c r="B743" s="202" t="s">
        <v>747</v>
      </c>
      <c r="C743" s="202" t="s">
        <v>531</v>
      </c>
      <c r="D743" s="202" t="s">
        <v>1384</v>
      </c>
      <c r="E743" s="202"/>
      <c r="F743" s="265">
        <v>1000</v>
      </c>
      <c r="G743" s="265">
        <v>0</v>
      </c>
      <c r="H743" s="265">
        <f t="shared" si="265"/>
        <v>1000</v>
      </c>
      <c r="I743" s="265">
        <f t="shared" si="265"/>
        <v>0</v>
      </c>
      <c r="J743" s="265">
        <f t="shared" si="266"/>
        <v>0</v>
      </c>
      <c r="K743" s="265">
        <f t="shared" si="267"/>
        <v>0</v>
      </c>
      <c r="L743" s="265">
        <v>1500</v>
      </c>
      <c r="M743" s="226">
        <v>0</v>
      </c>
      <c r="N743" s="265">
        <f t="shared" si="268"/>
        <v>1500</v>
      </c>
      <c r="O743" s="226">
        <f t="shared" si="268"/>
        <v>0</v>
      </c>
      <c r="P743" s="265">
        <f t="shared" si="269"/>
        <v>0</v>
      </c>
      <c r="Q743" s="271">
        <f t="shared" si="270"/>
        <v>0</v>
      </c>
    </row>
    <row r="744" spans="1:17" s="242" customFormat="1" ht="22.5" x14ac:dyDescent="0.2">
      <c r="A744" s="202" t="s">
        <v>1382</v>
      </c>
      <c r="B744" s="202" t="s">
        <v>747</v>
      </c>
      <c r="C744" s="202" t="s">
        <v>531</v>
      </c>
      <c r="D744" s="202" t="s">
        <v>1385</v>
      </c>
      <c r="E744" s="202"/>
      <c r="F744" s="265">
        <v>1000</v>
      </c>
      <c r="G744" s="265">
        <v>0</v>
      </c>
      <c r="H744" s="265">
        <f t="shared" si="265"/>
        <v>1000</v>
      </c>
      <c r="I744" s="265">
        <f t="shared" si="265"/>
        <v>0</v>
      </c>
      <c r="J744" s="265">
        <f t="shared" si="266"/>
        <v>0</v>
      </c>
      <c r="K744" s="265">
        <f t="shared" si="267"/>
        <v>0</v>
      </c>
      <c r="L744" s="265">
        <v>1500</v>
      </c>
      <c r="M744" s="226">
        <v>0</v>
      </c>
      <c r="N744" s="265">
        <f t="shared" si="268"/>
        <v>1500</v>
      </c>
      <c r="O744" s="226">
        <f t="shared" si="268"/>
        <v>0</v>
      </c>
      <c r="P744" s="265">
        <f t="shared" si="269"/>
        <v>0</v>
      </c>
      <c r="Q744" s="271">
        <f t="shared" si="270"/>
        <v>0</v>
      </c>
    </row>
    <row r="745" spans="1:17" s="242" customFormat="1" x14ac:dyDescent="0.2">
      <c r="A745" s="202" t="s">
        <v>1347</v>
      </c>
      <c r="B745" s="202" t="s">
        <v>747</v>
      </c>
      <c r="C745" s="202" t="s">
        <v>531</v>
      </c>
      <c r="D745" s="202" t="s">
        <v>1385</v>
      </c>
      <c r="E745" s="202" t="s">
        <v>535</v>
      </c>
      <c r="F745" s="265">
        <v>1000</v>
      </c>
      <c r="G745" s="265">
        <v>0</v>
      </c>
      <c r="H745" s="265">
        <f t="shared" si="265"/>
        <v>1000</v>
      </c>
      <c r="I745" s="265">
        <f t="shared" si="265"/>
        <v>0</v>
      </c>
      <c r="J745" s="265">
        <f t="shared" si="266"/>
        <v>0</v>
      </c>
      <c r="K745" s="265">
        <f t="shared" si="267"/>
        <v>0</v>
      </c>
      <c r="L745" s="265">
        <v>1500</v>
      </c>
      <c r="M745" s="226">
        <v>0</v>
      </c>
      <c r="N745" s="265">
        <f t="shared" si="268"/>
        <v>1500</v>
      </c>
      <c r="O745" s="226">
        <f t="shared" si="268"/>
        <v>0</v>
      </c>
      <c r="P745" s="265">
        <f t="shared" si="269"/>
        <v>0</v>
      </c>
      <c r="Q745" s="271">
        <f t="shared" si="270"/>
        <v>0</v>
      </c>
    </row>
    <row r="746" spans="1:17" s="242" customFormat="1" x14ac:dyDescent="0.2">
      <c r="A746" s="202" t="s">
        <v>534</v>
      </c>
      <c r="B746" s="202" t="s">
        <v>747</v>
      </c>
      <c r="C746" s="202" t="s">
        <v>531</v>
      </c>
      <c r="D746" s="202" t="s">
        <v>1385</v>
      </c>
      <c r="E746" s="202" t="s">
        <v>529</v>
      </c>
      <c r="F746" s="265">
        <v>1000</v>
      </c>
      <c r="G746" s="265">
        <v>0</v>
      </c>
      <c r="H746" s="265">
        <f>'Ведомственная 2021-2022'!H687</f>
        <v>1000</v>
      </c>
      <c r="I746" s="265">
        <v>0</v>
      </c>
      <c r="J746" s="265">
        <f t="shared" si="266"/>
        <v>0</v>
      </c>
      <c r="K746" s="265">
        <f t="shared" si="267"/>
        <v>0</v>
      </c>
      <c r="L746" s="265">
        <v>1500</v>
      </c>
      <c r="M746" s="226">
        <v>0</v>
      </c>
      <c r="N746" s="265">
        <f>'Ведомственная 2021-2022'!K687</f>
        <v>1500</v>
      </c>
      <c r="O746" s="226">
        <v>0</v>
      </c>
      <c r="P746" s="265">
        <f t="shared" si="269"/>
        <v>0</v>
      </c>
      <c r="Q746" s="271">
        <f t="shared" si="270"/>
        <v>0</v>
      </c>
    </row>
    <row r="747" spans="1:17" s="97" customFormat="1" x14ac:dyDescent="0.2">
      <c r="A747" s="262" t="s">
        <v>612</v>
      </c>
      <c r="B747" s="199" t="s">
        <v>609</v>
      </c>
      <c r="C747" s="199"/>
      <c r="D747" s="199"/>
      <c r="E747" s="199"/>
      <c r="F747" s="263">
        <f>F748+F785+F849+F877+F884+F907</f>
        <v>8147680.8999999994</v>
      </c>
      <c r="G747" s="263">
        <f>G748+G785+G849+G877+G884+G907</f>
        <v>4144175</v>
      </c>
      <c r="H747" s="263">
        <f>H748+H785+H849+H877+H884+H907</f>
        <v>7138869.1999999993</v>
      </c>
      <c r="I747" s="263">
        <f>I748+I785+I849+I877+I884+I907</f>
        <v>4204546</v>
      </c>
      <c r="J747" s="282">
        <f t="shared" si="236"/>
        <v>-1008811.7000000002</v>
      </c>
      <c r="K747" s="282">
        <f t="shared" si="237"/>
        <v>60371</v>
      </c>
      <c r="L747" s="263">
        <f>L748+L785+L849+L877+L884+L907-0.1</f>
        <v>8205090.0999999996</v>
      </c>
      <c r="M747" s="205">
        <f>M748+M785+M849+M877+M884+M907</f>
        <v>4144891</v>
      </c>
      <c r="N747" s="263">
        <f>N748+N785+N849+N877+N884+N907-0.1</f>
        <v>9428323.4999999981</v>
      </c>
      <c r="O747" s="205">
        <f>O748+O785+O849+O877+O884+O907</f>
        <v>4205262</v>
      </c>
      <c r="P747" s="282">
        <f t="shared" si="238"/>
        <v>1223233.3999999985</v>
      </c>
      <c r="Q747" s="291">
        <f t="shared" si="239"/>
        <v>60371</v>
      </c>
    </row>
    <row r="748" spans="1:17" x14ac:dyDescent="0.2">
      <c r="A748" s="264" t="s">
        <v>728</v>
      </c>
      <c r="B748" s="202" t="s">
        <v>609</v>
      </c>
      <c r="C748" s="202" t="s">
        <v>498</v>
      </c>
      <c r="D748" s="202"/>
      <c r="E748" s="202"/>
      <c r="F748" s="265">
        <v>2597067.6999999997</v>
      </c>
      <c r="G748" s="265">
        <v>1531764</v>
      </c>
      <c r="H748" s="265">
        <f>H749+H767+H776</f>
        <v>2285754.2999999998</v>
      </c>
      <c r="I748" s="265">
        <f>I749+I767+I776</f>
        <v>1531764</v>
      </c>
      <c r="J748" s="281">
        <f t="shared" si="236"/>
        <v>-311313.39999999991</v>
      </c>
      <c r="K748" s="265">
        <f t="shared" si="237"/>
        <v>0</v>
      </c>
      <c r="L748" s="265">
        <v>2571392.7999999998</v>
      </c>
      <c r="M748" s="226">
        <v>1531764</v>
      </c>
      <c r="N748" s="265">
        <f>N749+N767+N776</f>
        <v>2821833.2</v>
      </c>
      <c r="O748" s="226">
        <v>1531764</v>
      </c>
      <c r="P748" s="281">
        <f t="shared" si="238"/>
        <v>250440.40000000037</v>
      </c>
      <c r="Q748" s="271">
        <f t="shared" si="239"/>
        <v>0</v>
      </c>
    </row>
    <row r="749" spans="1:17" x14ac:dyDescent="0.2">
      <c r="A749" s="264" t="s">
        <v>666</v>
      </c>
      <c r="B749" s="202" t="s">
        <v>609</v>
      </c>
      <c r="C749" s="202" t="s">
        <v>498</v>
      </c>
      <c r="D749" s="202" t="s">
        <v>665</v>
      </c>
      <c r="E749" s="202"/>
      <c r="F749" s="265">
        <v>2003181.4</v>
      </c>
      <c r="G749" s="265">
        <v>1531764</v>
      </c>
      <c r="H749" s="265">
        <v>2003181.4</v>
      </c>
      <c r="I749" s="265">
        <v>1531764</v>
      </c>
      <c r="J749" s="265">
        <f t="shared" si="236"/>
        <v>0</v>
      </c>
      <c r="K749" s="265">
        <f t="shared" si="237"/>
        <v>0</v>
      </c>
      <c r="L749" s="265">
        <v>2001310.1</v>
      </c>
      <c r="M749" s="226">
        <v>1531764</v>
      </c>
      <c r="N749" s="265">
        <f>N750</f>
        <v>2001310.1</v>
      </c>
      <c r="O749" s="226">
        <v>1531764</v>
      </c>
      <c r="P749" s="281">
        <f t="shared" si="238"/>
        <v>0</v>
      </c>
      <c r="Q749" s="271">
        <f t="shared" si="239"/>
        <v>0</v>
      </c>
    </row>
    <row r="750" spans="1:17" x14ac:dyDescent="0.2">
      <c r="A750" s="264" t="s">
        <v>664</v>
      </c>
      <c r="B750" s="202" t="s">
        <v>609</v>
      </c>
      <c r="C750" s="202" t="s">
        <v>498</v>
      </c>
      <c r="D750" s="202" t="s">
        <v>663</v>
      </c>
      <c r="E750" s="202"/>
      <c r="F750" s="265">
        <v>2003181.4</v>
      </c>
      <c r="G750" s="265">
        <v>1531764</v>
      </c>
      <c r="H750" s="265">
        <v>2003181.4</v>
      </c>
      <c r="I750" s="265">
        <v>1531764</v>
      </c>
      <c r="J750" s="265">
        <f t="shared" si="236"/>
        <v>0</v>
      </c>
      <c r="K750" s="265">
        <f t="shared" si="237"/>
        <v>0</v>
      </c>
      <c r="L750" s="265">
        <v>2001310.1</v>
      </c>
      <c r="M750" s="226">
        <v>1531764</v>
      </c>
      <c r="N750" s="265">
        <f>N751</f>
        <v>2001310.1</v>
      </c>
      <c r="O750" s="226">
        <f>O751</f>
        <v>1531764</v>
      </c>
      <c r="P750" s="281">
        <f t="shared" si="238"/>
        <v>0</v>
      </c>
      <c r="Q750" s="271">
        <f t="shared" si="239"/>
        <v>0</v>
      </c>
    </row>
    <row r="751" spans="1:17" ht="22.5" x14ac:dyDescent="0.2">
      <c r="A751" s="264" t="s">
        <v>662</v>
      </c>
      <c r="B751" s="202" t="s">
        <v>609</v>
      </c>
      <c r="C751" s="202" t="s">
        <v>498</v>
      </c>
      <c r="D751" s="202" t="s">
        <v>661</v>
      </c>
      <c r="E751" s="202"/>
      <c r="F751" s="265">
        <v>2003181.4</v>
      </c>
      <c r="G751" s="265">
        <v>1531764</v>
      </c>
      <c r="H751" s="265">
        <v>2003181.4</v>
      </c>
      <c r="I751" s="265">
        <v>1531764</v>
      </c>
      <c r="J751" s="265">
        <f t="shared" si="236"/>
        <v>0</v>
      </c>
      <c r="K751" s="265">
        <f t="shared" si="237"/>
        <v>0</v>
      </c>
      <c r="L751" s="265">
        <v>2001310.1</v>
      </c>
      <c r="M751" s="226">
        <v>1531764</v>
      </c>
      <c r="N751" s="265">
        <f>N752+N756+N760+N763</f>
        <v>2001310.1</v>
      </c>
      <c r="O751" s="226">
        <v>1531764</v>
      </c>
      <c r="P751" s="281">
        <f t="shared" si="238"/>
        <v>0</v>
      </c>
      <c r="Q751" s="271">
        <f t="shared" si="239"/>
        <v>0</v>
      </c>
    </row>
    <row r="752" spans="1:17" ht="22.5" x14ac:dyDescent="0.2">
      <c r="A752" s="264" t="s">
        <v>727</v>
      </c>
      <c r="B752" s="202" t="s">
        <v>609</v>
      </c>
      <c r="C752" s="202" t="s">
        <v>498</v>
      </c>
      <c r="D752" s="202" t="s">
        <v>726</v>
      </c>
      <c r="E752" s="202"/>
      <c r="F752" s="265">
        <v>425821.8</v>
      </c>
      <c r="G752" s="265">
        <v>0</v>
      </c>
      <c r="H752" s="265">
        <v>425821.8</v>
      </c>
      <c r="I752" s="265">
        <v>0</v>
      </c>
      <c r="J752" s="265">
        <f t="shared" si="236"/>
        <v>0</v>
      </c>
      <c r="K752" s="265">
        <f t="shared" si="237"/>
        <v>0</v>
      </c>
      <c r="L752" s="265">
        <v>423950.50000000006</v>
      </c>
      <c r="M752" s="226">
        <v>0</v>
      </c>
      <c r="N752" s="265">
        <f>N753</f>
        <v>423950.50000000006</v>
      </c>
      <c r="O752" s="226">
        <v>0</v>
      </c>
      <c r="P752" s="281">
        <f t="shared" si="238"/>
        <v>0</v>
      </c>
      <c r="Q752" s="271">
        <f t="shared" si="239"/>
        <v>0</v>
      </c>
    </row>
    <row r="753" spans="1:17" x14ac:dyDescent="0.2">
      <c r="A753" s="264" t="s">
        <v>547</v>
      </c>
      <c r="B753" s="202" t="s">
        <v>609</v>
      </c>
      <c r="C753" s="202" t="s">
        <v>498</v>
      </c>
      <c r="D753" s="202" t="s">
        <v>726</v>
      </c>
      <c r="E753" s="202" t="s">
        <v>519</v>
      </c>
      <c r="F753" s="265">
        <v>425821.8</v>
      </c>
      <c r="G753" s="265">
        <v>0</v>
      </c>
      <c r="H753" s="265">
        <v>425821.8</v>
      </c>
      <c r="I753" s="265">
        <v>0</v>
      </c>
      <c r="J753" s="265">
        <f t="shared" si="236"/>
        <v>0</v>
      </c>
      <c r="K753" s="265">
        <f t="shared" si="237"/>
        <v>0</v>
      </c>
      <c r="L753" s="265">
        <v>423950.50000000006</v>
      </c>
      <c r="M753" s="226">
        <v>0</v>
      </c>
      <c r="N753" s="265">
        <f>N754+N755</f>
        <v>423950.50000000006</v>
      </c>
      <c r="O753" s="226">
        <v>0</v>
      </c>
      <c r="P753" s="281">
        <f t="shared" si="238"/>
        <v>0</v>
      </c>
      <c r="Q753" s="271">
        <f t="shared" si="239"/>
        <v>0</v>
      </c>
    </row>
    <row r="754" spans="1:17" x14ac:dyDescent="0.2">
      <c r="A754" s="264" t="s">
        <v>571</v>
      </c>
      <c r="B754" s="202" t="s">
        <v>609</v>
      </c>
      <c r="C754" s="202" t="s">
        <v>498</v>
      </c>
      <c r="D754" s="202" t="s">
        <v>726</v>
      </c>
      <c r="E754" s="202" t="s">
        <v>522</v>
      </c>
      <c r="F754" s="265">
        <v>370180.9</v>
      </c>
      <c r="G754" s="265">
        <v>0</v>
      </c>
      <c r="H754" s="265">
        <v>370180.9</v>
      </c>
      <c r="I754" s="265">
        <v>0</v>
      </c>
      <c r="J754" s="265">
        <f t="shared" si="236"/>
        <v>0</v>
      </c>
      <c r="K754" s="265">
        <f t="shared" si="237"/>
        <v>0</v>
      </c>
      <c r="L754" s="265">
        <v>368309.60000000003</v>
      </c>
      <c r="M754" s="226">
        <v>0</v>
      </c>
      <c r="N754" s="265">
        <f>'Ведомственная 2021-2022'!K1014</f>
        <v>368309.60000000003</v>
      </c>
      <c r="O754" s="226">
        <v>0</v>
      </c>
      <c r="P754" s="281">
        <f t="shared" si="238"/>
        <v>0</v>
      </c>
      <c r="Q754" s="271">
        <f t="shared" si="239"/>
        <v>0</v>
      </c>
    </row>
    <row r="755" spans="1:17" x14ac:dyDescent="0.2">
      <c r="A755" s="264" t="s">
        <v>546</v>
      </c>
      <c r="B755" s="202" t="s">
        <v>609</v>
      </c>
      <c r="C755" s="202" t="s">
        <v>498</v>
      </c>
      <c r="D755" s="202" t="s">
        <v>726</v>
      </c>
      <c r="E755" s="202" t="s">
        <v>544</v>
      </c>
      <c r="F755" s="265">
        <v>55640.9</v>
      </c>
      <c r="G755" s="265">
        <v>0</v>
      </c>
      <c r="H755" s="265">
        <v>55640.9</v>
      </c>
      <c r="I755" s="265">
        <v>0</v>
      </c>
      <c r="J755" s="265">
        <f t="shared" si="236"/>
        <v>0</v>
      </c>
      <c r="K755" s="265">
        <f t="shared" si="237"/>
        <v>0</v>
      </c>
      <c r="L755" s="265">
        <v>55640.9</v>
      </c>
      <c r="M755" s="226">
        <v>0</v>
      </c>
      <c r="N755" s="265">
        <v>55640.9</v>
      </c>
      <c r="O755" s="226">
        <v>0</v>
      </c>
      <c r="P755" s="265">
        <f t="shared" si="238"/>
        <v>0</v>
      </c>
      <c r="Q755" s="271">
        <f t="shared" si="239"/>
        <v>0</v>
      </c>
    </row>
    <row r="756" spans="1:17" ht="56.25" x14ac:dyDescent="0.2">
      <c r="A756" s="264" t="s">
        <v>725</v>
      </c>
      <c r="B756" s="202" t="s">
        <v>609</v>
      </c>
      <c r="C756" s="202" t="s">
        <v>498</v>
      </c>
      <c r="D756" s="202" t="s">
        <v>724</v>
      </c>
      <c r="E756" s="202"/>
      <c r="F756" s="265">
        <v>1501775</v>
      </c>
      <c r="G756" s="265">
        <v>1501775</v>
      </c>
      <c r="H756" s="265">
        <f>H757</f>
        <v>1501775</v>
      </c>
      <c r="I756" s="265">
        <f>I757</f>
        <v>1501775</v>
      </c>
      <c r="J756" s="265">
        <f t="shared" si="236"/>
        <v>0</v>
      </c>
      <c r="K756" s="265">
        <f t="shared" si="237"/>
        <v>0</v>
      </c>
      <c r="L756" s="265">
        <v>1501775</v>
      </c>
      <c r="M756" s="226">
        <v>1501775</v>
      </c>
      <c r="N756" s="265">
        <f>N757</f>
        <v>1501775</v>
      </c>
      <c r="O756" s="226">
        <f>O757</f>
        <v>1501775</v>
      </c>
      <c r="P756" s="265">
        <f t="shared" si="238"/>
        <v>0</v>
      </c>
      <c r="Q756" s="271">
        <f t="shared" si="239"/>
        <v>0</v>
      </c>
    </row>
    <row r="757" spans="1:17" x14ac:dyDescent="0.2">
      <c r="A757" s="264" t="s">
        <v>547</v>
      </c>
      <c r="B757" s="202" t="s">
        <v>609</v>
      </c>
      <c r="C757" s="202" t="s">
        <v>498</v>
      </c>
      <c r="D757" s="202" t="s">
        <v>724</v>
      </c>
      <c r="E757" s="202" t="s">
        <v>519</v>
      </c>
      <c r="F757" s="265">
        <v>1501775</v>
      </c>
      <c r="G757" s="265">
        <v>1501775</v>
      </c>
      <c r="H757" s="265">
        <f>H758+H759</f>
        <v>1501775</v>
      </c>
      <c r="I757" s="265">
        <f>I758+I759</f>
        <v>1501775</v>
      </c>
      <c r="J757" s="265">
        <f t="shared" ref="J757:K839" si="271">H757-F757</f>
        <v>0</v>
      </c>
      <c r="K757" s="265">
        <f t="shared" ref="K757:K839" si="272">I757-G757</f>
        <v>0</v>
      </c>
      <c r="L757" s="265">
        <v>1501775</v>
      </c>
      <c r="M757" s="226">
        <v>1501775</v>
      </c>
      <c r="N757" s="265">
        <f>N758+N759</f>
        <v>1501775</v>
      </c>
      <c r="O757" s="226">
        <f>O758+O759</f>
        <v>1501775</v>
      </c>
      <c r="P757" s="265">
        <f t="shared" ref="P757:P839" si="273">N757-L757</f>
        <v>0</v>
      </c>
      <c r="Q757" s="271">
        <f t="shared" ref="Q757:Q839" si="274">O757-M757</f>
        <v>0</v>
      </c>
    </row>
    <row r="758" spans="1:17" x14ac:dyDescent="0.2">
      <c r="A758" s="264" t="s">
        <v>571</v>
      </c>
      <c r="B758" s="202" t="s">
        <v>609</v>
      </c>
      <c r="C758" s="202" t="s">
        <v>498</v>
      </c>
      <c r="D758" s="202" t="s">
        <v>724</v>
      </c>
      <c r="E758" s="202" t="s">
        <v>522</v>
      </c>
      <c r="F758" s="265">
        <v>1314562</v>
      </c>
      <c r="G758" s="265">
        <v>1314562</v>
      </c>
      <c r="H758" s="265">
        <f>'Ведомственная 2021-2022'!H1018</f>
        <v>1314562</v>
      </c>
      <c r="I758" s="265">
        <f>H758</f>
        <v>1314562</v>
      </c>
      <c r="J758" s="265">
        <f t="shared" si="271"/>
        <v>0</v>
      </c>
      <c r="K758" s="265">
        <f t="shared" si="272"/>
        <v>0</v>
      </c>
      <c r="L758" s="265">
        <v>1314562</v>
      </c>
      <c r="M758" s="226">
        <v>1314562</v>
      </c>
      <c r="N758" s="265">
        <f>'Ведомственная 2021-2022'!K1018</f>
        <v>1314562</v>
      </c>
      <c r="O758" s="226">
        <f>N758</f>
        <v>1314562</v>
      </c>
      <c r="P758" s="265">
        <f t="shared" si="273"/>
        <v>0</v>
      </c>
      <c r="Q758" s="271">
        <f t="shared" si="274"/>
        <v>0</v>
      </c>
    </row>
    <row r="759" spans="1:17" x14ac:dyDescent="0.2">
      <c r="A759" s="264" t="s">
        <v>546</v>
      </c>
      <c r="B759" s="202" t="s">
        <v>609</v>
      </c>
      <c r="C759" s="202" t="s">
        <v>498</v>
      </c>
      <c r="D759" s="202" t="s">
        <v>724</v>
      </c>
      <c r="E759" s="202" t="s">
        <v>544</v>
      </c>
      <c r="F759" s="265">
        <v>187213</v>
      </c>
      <c r="G759" s="265">
        <v>187213</v>
      </c>
      <c r="H759" s="265">
        <f>'Ведомственная 2021-2022'!H1019</f>
        <v>187213</v>
      </c>
      <c r="I759" s="265">
        <f>H759</f>
        <v>187213</v>
      </c>
      <c r="J759" s="281">
        <f t="shared" si="271"/>
        <v>0</v>
      </c>
      <c r="K759" s="281">
        <f t="shared" si="272"/>
        <v>0</v>
      </c>
      <c r="L759" s="265">
        <v>187213</v>
      </c>
      <c r="M759" s="226">
        <v>187213</v>
      </c>
      <c r="N759" s="265">
        <f>'Ведомственная 2021-2022'!K1019</f>
        <v>187213</v>
      </c>
      <c r="O759" s="226">
        <f>N759</f>
        <v>187213</v>
      </c>
      <c r="P759" s="281">
        <f t="shared" si="273"/>
        <v>0</v>
      </c>
      <c r="Q759" s="292">
        <f t="shared" si="274"/>
        <v>0</v>
      </c>
    </row>
    <row r="760" spans="1:17" ht="45" x14ac:dyDescent="0.2">
      <c r="A760" s="264" t="s">
        <v>723</v>
      </c>
      <c r="B760" s="202" t="s">
        <v>609</v>
      </c>
      <c r="C760" s="202" t="s">
        <v>498</v>
      </c>
      <c r="D760" s="202" t="s">
        <v>722</v>
      </c>
      <c r="E760" s="202"/>
      <c r="F760" s="265">
        <v>29989</v>
      </c>
      <c r="G760" s="265">
        <v>29989</v>
      </c>
      <c r="H760" s="265">
        <v>29989</v>
      </c>
      <c r="I760" s="265">
        <v>29989</v>
      </c>
      <c r="J760" s="265">
        <f t="shared" si="271"/>
        <v>0</v>
      </c>
      <c r="K760" s="265">
        <f t="shared" si="272"/>
        <v>0</v>
      </c>
      <c r="L760" s="265">
        <v>29989</v>
      </c>
      <c r="M760" s="226">
        <v>29989</v>
      </c>
      <c r="N760" s="265">
        <v>29989</v>
      </c>
      <c r="O760" s="226">
        <v>29989</v>
      </c>
      <c r="P760" s="265">
        <f t="shared" si="273"/>
        <v>0</v>
      </c>
      <c r="Q760" s="271">
        <f t="shared" si="274"/>
        <v>0</v>
      </c>
    </row>
    <row r="761" spans="1:17" x14ac:dyDescent="0.2">
      <c r="A761" s="264" t="s">
        <v>547</v>
      </c>
      <c r="B761" s="202" t="s">
        <v>609</v>
      </c>
      <c r="C761" s="202" t="s">
        <v>498</v>
      </c>
      <c r="D761" s="202" t="s">
        <v>722</v>
      </c>
      <c r="E761" s="202" t="s">
        <v>519</v>
      </c>
      <c r="F761" s="265">
        <v>29989</v>
      </c>
      <c r="G761" s="265">
        <v>29989</v>
      </c>
      <c r="H761" s="265">
        <v>29989</v>
      </c>
      <c r="I761" s="265">
        <v>29989</v>
      </c>
      <c r="J761" s="265">
        <f t="shared" si="271"/>
        <v>0</v>
      </c>
      <c r="K761" s="265">
        <f t="shared" si="272"/>
        <v>0</v>
      </c>
      <c r="L761" s="265">
        <v>29989</v>
      </c>
      <c r="M761" s="226">
        <v>29989</v>
      </c>
      <c r="N761" s="265">
        <v>29989</v>
      </c>
      <c r="O761" s="226">
        <v>29989</v>
      </c>
      <c r="P761" s="265">
        <f t="shared" si="273"/>
        <v>0</v>
      </c>
      <c r="Q761" s="271">
        <f t="shared" si="274"/>
        <v>0</v>
      </c>
    </row>
    <row r="762" spans="1:17" ht="22.5" x14ac:dyDescent="0.2">
      <c r="A762" s="264" t="s">
        <v>705</v>
      </c>
      <c r="B762" s="202" t="s">
        <v>609</v>
      </c>
      <c r="C762" s="202" t="s">
        <v>498</v>
      </c>
      <c r="D762" s="202" t="s">
        <v>722</v>
      </c>
      <c r="E762" s="202" t="s">
        <v>703</v>
      </c>
      <c r="F762" s="265">
        <v>29989</v>
      </c>
      <c r="G762" s="265">
        <v>29989</v>
      </c>
      <c r="H762" s="265">
        <v>29989</v>
      </c>
      <c r="I762" s="265">
        <v>29989</v>
      </c>
      <c r="J762" s="265">
        <f t="shared" si="271"/>
        <v>0</v>
      </c>
      <c r="K762" s="265">
        <f t="shared" si="272"/>
        <v>0</v>
      </c>
      <c r="L762" s="265">
        <v>29989</v>
      </c>
      <c r="M762" s="226">
        <v>29989</v>
      </c>
      <c r="N762" s="265">
        <v>29989</v>
      </c>
      <c r="O762" s="226">
        <v>29989</v>
      </c>
      <c r="P762" s="265">
        <f t="shared" si="273"/>
        <v>0</v>
      </c>
      <c r="Q762" s="271">
        <f t="shared" si="274"/>
        <v>0</v>
      </c>
    </row>
    <row r="763" spans="1:17" ht="62.25" customHeight="1" x14ac:dyDescent="0.2">
      <c r="A763" s="264" t="s">
        <v>721</v>
      </c>
      <c r="B763" s="202" t="s">
        <v>609</v>
      </c>
      <c r="C763" s="202" t="s">
        <v>498</v>
      </c>
      <c r="D763" s="202" t="s">
        <v>720</v>
      </c>
      <c r="E763" s="202"/>
      <c r="F763" s="265">
        <v>45595.6</v>
      </c>
      <c r="G763" s="265">
        <v>0</v>
      </c>
      <c r="H763" s="265">
        <v>45595.6</v>
      </c>
      <c r="I763" s="265">
        <v>0</v>
      </c>
      <c r="J763" s="265">
        <f t="shared" si="271"/>
        <v>0</v>
      </c>
      <c r="K763" s="265">
        <f t="shared" si="272"/>
        <v>0</v>
      </c>
      <c r="L763" s="265">
        <v>45595.6</v>
      </c>
      <c r="M763" s="226">
        <v>0</v>
      </c>
      <c r="N763" s="265">
        <v>45595.6</v>
      </c>
      <c r="O763" s="226">
        <v>0</v>
      </c>
      <c r="P763" s="265">
        <f t="shared" si="273"/>
        <v>0</v>
      </c>
      <c r="Q763" s="271">
        <f t="shared" si="274"/>
        <v>0</v>
      </c>
    </row>
    <row r="764" spans="1:17" ht="29.25" customHeight="1" x14ac:dyDescent="0.2">
      <c r="A764" s="264" t="s">
        <v>547</v>
      </c>
      <c r="B764" s="202" t="s">
        <v>609</v>
      </c>
      <c r="C764" s="202" t="s">
        <v>498</v>
      </c>
      <c r="D764" s="202" t="s">
        <v>720</v>
      </c>
      <c r="E764" s="202" t="s">
        <v>519</v>
      </c>
      <c r="F764" s="265">
        <v>45595.6</v>
      </c>
      <c r="G764" s="265">
        <v>0</v>
      </c>
      <c r="H764" s="265">
        <v>45595.6</v>
      </c>
      <c r="I764" s="265">
        <v>0</v>
      </c>
      <c r="J764" s="265">
        <f t="shared" si="271"/>
        <v>0</v>
      </c>
      <c r="K764" s="265">
        <f t="shared" si="272"/>
        <v>0</v>
      </c>
      <c r="L764" s="265">
        <v>45595.6</v>
      </c>
      <c r="M764" s="226">
        <v>0</v>
      </c>
      <c r="N764" s="265">
        <v>45595.6</v>
      </c>
      <c r="O764" s="226">
        <v>0</v>
      </c>
      <c r="P764" s="265">
        <f t="shared" si="273"/>
        <v>0</v>
      </c>
      <c r="Q764" s="271">
        <f t="shared" si="274"/>
        <v>0</v>
      </c>
    </row>
    <row r="765" spans="1:17" x14ac:dyDescent="0.2">
      <c r="A765" s="264" t="s">
        <v>571</v>
      </c>
      <c r="B765" s="202" t="s">
        <v>609</v>
      </c>
      <c r="C765" s="202" t="s">
        <v>498</v>
      </c>
      <c r="D765" s="202" t="s">
        <v>720</v>
      </c>
      <c r="E765" s="202" t="s">
        <v>522</v>
      </c>
      <c r="F765" s="265">
        <v>40178</v>
      </c>
      <c r="G765" s="265">
        <v>0</v>
      </c>
      <c r="H765" s="265">
        <v>40178</v>
      </c>
      <c r="I765" s="265">
        <v>0</v>
      </c>
      <c r="J765" s="265">
        <f t="shared" si="271"/>
        <v>0</v>
      </c>
      <c r="K765" s="265">
        <f t="shared" si="272"/>
        <v>0</v>
      </c>
      <c r="L765" s="265">
        <v>40178</v>
      </c>
      <c r="M765" s="226">
        <v>0</v>
      </c>
      <c r="N765" s="265">
        <v>40178</v>
      </c>
      <c r="O765" s="226">
        <v>0</v>
      </c>
      <c r="P765" s="265">
        <f t="shared" si="273"/>
        <v>0</v>
      </c>
      <c r="Q765" s="271">
        <f t="shared" si="274"/>
        <v>0</v>
      </c>
    </row>
    <row r="766" spans="1:17" x14ac:dyDescent="0.2">
      <c r="A766" s="264" t="s">
        <v>546</v>
      </c>
      <c r="B766" s="202" t="s">
        <v>609</v>
      </c>
      <c r="C766" s="202" t="s">
        <v>498</v>
      </c>
      <c r="D766" s="202" t="s">
        <v>720</v>
      </c>
      <c r="E766" s="202" t="s">
        <v>544</v>
      </c>
      <c r="F766" s="265">
        <v>5417.6</v>
      </c>
      <c r="G766" s="265">
        <v>0</v>
      </c>
      <c r="H766" s="265">
        <v>5417.6</v>
      </c>
      <c r="I766" s="265">
        <v>0</v>
      </c>
      <c r="J766" s="265">
        <f t="shared" si="271"/>
        <v>0</v>
      </c>
      <c r="K766" s="265">
        <f t="shared" si="272"/>
        <v>0</v>
      </c>
      <c r="L766" s="265">
        <v>5417.6</v>
      </c>
      <c r="M766" s="226">
        <v>0</v>
      </c>
      <c r="N766" s="265">
        <v>5417.6</v>
      </c>
      <c r="O766" s="226">
        <v>0</v>
      </c>
      <c r="P766" s="265">
        <f t="shared" si="273"/>
        <v>0</v>
      </c>
      <c r="Q766" s="271">
        <f t="shared" si="274"/>
        <v>0</v>
      </c>
    </row>
    <row r="767" spans="1:17" x14ac:dyDescent="0.2">
      <c r="A767" s="264" t="s">
        <v>568</v>
      </c>
      <c r="B767" s="202" t="s">
        <v>609</v>
      </c>
      <c r="C767" s="202" t="s">
        <v>498</v>
      </c>
      <c r="D767" s="202" t="s">
        <v>567</v>
      </c>
      <c r="E767" s="202"/>
      <c r="F767" s="265">
        <v>3400</v>
      </c>
      <c r="G767" s="265">
        <v>0</v>
      </c>
      <c r="H767" s="265">
        <f>H768</f>
        <v>3400</v>
      </c>
      <c r="I767" s="265">
        <v>0</v>
      </c>
      <c r="J767" s="265">
        <f t="shared" si="271"/>
        <v>0</v>
      </c>
      <c r="K767" s="265">
        <f t="shared" si="272"/>
        <v>0</v>
      </c>
      <c r="L767" s="265">
        <v>800</v>
      </c>
      <c r="M767" s="226">
        <v>0</v>
      </c>
      <c r="N767" s="265">
        <v>800</v>
      </c>
      <c r="O767" s="226">
        <v>0</v>
      </c>
      <c r="P767" s="265">
        <f t="shared" si="273"/>
        <v>0</v>
      </c>
      <c r="Q767" s="271">
        <f t="shared" si="274"/>
        <v>0</v>
      </c>
    </row>
    <row r="768" spans="1:17" x14ac:dyDescent="0.2">
      <c r="A768" s="264" t="s">
        <v>566</v>
      </c>
      <c r="B768" s="202" t="s">
        <v>609</v>
      </c>
      <c r="C768" s="202" t="s">
        <v>498</v>
      </c>
      <c r="D768" s="202" t="s">
        <v>565</v>
      </c>
      <c r="E768" s="202"/>
      <c r="F768" s="265">
        <v>3400</v>
      </c>
      <c r="G768" s="265">
        <v>0</v>
      </c>
      <c r="H768" s="265">
        <f>H769</f>
        <v>3400</v>
      </c>
      <c r="I768" s="265">
        <v>0</v>
      </c>
      <c r="J768" s="265">
        <f t="shared" si="271"/>
        <v>0</v>
      </c>
      <c r="K768" s="265">
        <f t="shared" si="272"/>
        <v>0</v>
      </c>
      <c r="L768" s="265">
        <v>800</v>
      </c>
      <c r="M768" s="226">
        <v>0</v>
      </c>
      <c r="N768" s="265">
        <v>800</v>
      </c>
      <c r="O768" s="226">
        <v>0</v>
      </c>
      <c r="P768" s="265">
        <f t="shared" si="273"/>
        <v>0</v>
      </c>
      <c r="Q768" s="271">
        <f t="shared" si="274"/>
        <v>0</v>
      </c>
    </row>
    <row r="769" spans="1:17" ht="22.5" x14ac:dyDescent="0.2">
      <c r="A769" s="202" t="s">
        <v>1387</v>
      </c>
      <c r="B769" s="202" t="s">
        <v>609</v>
      </c>
      <c r="C769" s="202" t="s">
        <v>498</v>
      </c>
      <c r="D769" s="202" t="s">
        <v>578</v>
      </c>
      <c r="E769" s="202"/>
      <c r="F769" s="265">
        <v>3400</v>
      </c>
      <c r="G769" s="265">
        <v>0</v>
      </c>
      <c r="H769" s="265">
        <f>H770+H773</f>
        <v>3400</v>
      </c>
      <c r="I769" s="265">
        <v>0</v>
      </c>
      <c r="J769" s="265">
        <f t="shared" si="271"/>
        <v>0</v>
      </c>
      <c r="K769" s="265">
        <f t="shared" si="272"/>
        <v>0</v>
      </c>
      <c r="L769" s="265">
        <v>800</v>
      </c>
      <c r="M769" s="226">
        <v>0</v>
      </c>
      <c r="N769" s="265">
        <v>800</v>
      </c>
      <c r="O769" s="226">
        <v>0</v>
      </c>
      <c r="P769" s="265">
        <f t="shared" si="273"/>
        <v>0</v>
      </c>
      <c r="Q769" s="271">
        <f t="shared" si="274"/>
        <v>0</v>
      </c>
    </row>
    <row r="770" spans="1:17" ht="22.5" x14ac:dyDescent="0.2">
      <c r="A770" s="264" t="s">
        <v>914</v>
      </c>
      <c r="B770" s="202" t="s">
        <v>609</v>
      </c>
      <c r="C770" s="202" t="s">
        <v>498</v>
      </c>
      <c r="D770" s="202" t="s">
        <v>913</v>
      </c>
      <c r="E770" s="202"/>
      <c r="F770" s="265">
        <v>800</v>
      </c>
      <c r="G770" s="265">
        <v>0</v>
      </c>
      <c r="H770" s="265">
        <v>800</v>
      </c>
      <c r="I770" s="265">
        <v>0</v>
      </c>
      <c r="J770" s="265">
        <f t="shared" si="271"/>
        <v>0</v>
      </c>
      <c r="K770" s="265">
        <f t="shared" si="272"/>
        <v>0</v>
      </c>
      <c r="L770" s="265">
        <v>800</v>
      </c>
      <c r="M770" s="226">
        <v>0</v>
      </c>
      <c r="N770" s="265">
        <v>800</v>
      </c>
      <c r="O770" s="226">
        <v>0</v>
      </c>
      <c r="P770" s="265">
        <f t="shared" si="273"/>
        <v>0</v>
      </c>
      <c r="Q770" s="271">
        <f t="shared" si="274"/>
        <v>0</v>
      </c>
    </row>
    <row r="771" spans="1:17" x14ac:dyDescent="0.2">
      <c r="A771" s="264" t="s">
        <v>1347</v>
      </c>
      <c r="B771" s="202" t="s">
        <v>609</v>
      </c>
      <c r="C771" s="202" t="s">
        <v>498</v>
      </c>
      <c r="D771" s="202" t="s">
        <v>913</v>
      </c>
      <c r="E771" s="202" t="s">
        <v>535</v>
      </c>
      <c r="F771" s="265">
        <v>800</v>
      </c>
      <c r="G771" s="265">
        <v>0</v>
      </c>
      <c r="H771" s="265">
        <v>800</v>
      </c>
      <c r="I771" s="265">
        <v>0</v>
      </c>
      <c r="J771" s="265">
        <f t="shared" si="271"/>
        <v>0</v>
      </c>
      <c r="K771" s="265">
        <f t="shared" si="272"/>
        <v>0</v>
      </c>
      <c r="L771" s="265">
        <v>800</v>
      </c>
      <c r="M771" s="226">
        <v>0</v>
      </c>
      <c r="N771" s="265">
        <v>800</v>
      </c>
      <c r="O771" s="226">
        <v>0</v>
      </c>
      <c r="P771" s="265">
        <f t="shared" si="273"/>
        <v>0</v>
      </c>
      <c r="Q771" s="271">
        <f t="shared" si="274"/>
        <v>0</v>
      </c>
    </row>
    <row r="772" spans="1:17" x14ac:dyDescent="0.2">
      <c r="A772" s="264" t="s">
        <v>534</v>
      </c>
      <c r="B772" s="202" t="s">
        <v>609</v>
      </c>
      <c r="C772" s="202" t="s">
        <v>498</v>
      </c>
      <c r="D772" s="202" t="s">
        <v>913</v>
      </c>
      <c r="E772" s="202" t="s">
        <v>529</v>
      </c>
      <c r="F772" s="265">
        <v>800</v>
      </c>
      <c r="G772" s="265">
        <v>0</v>
      </c>
      <c r="H772" s="265">
        <v>800</v>
      </c>
      <c r="I772" s="265">
        <v>0</v>
      </c>
      <c r="J772" s="265">
        <f t="shared" si="271"/>
        <v>0</v>
      </c>
      <c r="K772" s="265">
        <f t="shared" si="272"/>
        <v>0</v>
      </c>
      <c r="L772" s="265">
        <v>800</v>
      </c>
      <c r="M772" s="226">
        <v>0</v>
      </c>
      <c r="N772" s="265">
        <v>800</v>
      </c>
      <c r="O772" s="226">
        <v>0</v>
      </c>
      <c r="P772" s="265">
        <f t="shared" si="273"/>
        <v>0</v>
      </c>
      <c r="Q772" s="271">
        <f t="shared" si="274"/>
        <v>0</v>
      </c>
    </row>
    <row r="773" spans="1:17" ht="51.75" customHeight="1" x14ac:dyDescent="0.2">
      <c r="A773" s="264" t="s">
        <v>719</v>
      </c>
      <c r="B773" s="202" t="s">
        <v>609</v>
      </c>
      <c r="C773" s="202" t="s">
        <v>498</v>
      </c>
      <c r="D773" s="202" t="s">
        <v>718</v>
      </c>
      <c r="E773" s="202"/>
      <c r="F773" s="265">
        <v>2600</v>
      </c>
      <c r="G773" s="265">
        <v>0</v>
      </c>
      <c r="H773" s="265">
        <f>H774</f>
        <v>2600</v>
      </c>
      <c r="I773" s="265">
        <v>0</v>
      </c>
      <c r="J773" s="265">
        <f t="shared" si="271"/>
        <v>0</v>
      </c>
      <c r="K773" s="265">
        <f t="shared" si="272"/>
        <v>0</v>
      </c>
      <c r="L773" s="265">
        <v>0</v>
      </c>
      <c r="M773" s="226">
        <v>0</v>
      </c>
      <c r="N773" s="265">
        <v>0</v>
      </c>
      <c r="O773" s="226">
        <v>0</v>
      </c>
      <c r="P773" s="265">
        <f t="shared" si="273"/>
        <v>0</v>
      </c>
      <c r="Q773" s="271">
        <f t="shared" si="274"/>
        <v>0</v>
      </c>
    </row>
    <row r="774" spans="1:17" ht="25.5" customHeight="1" x14ac:dyDescent="0.2">
      <c r="A774" s="264" t="s">
        <v>547</v>
      </c>
      <c r="B774" s="202" t="s">
        <v>609</v>
      </c>
      <c r="C774" s="202" t="s">
        <v>498</v>
      </c>
      <c r="D774" s="202" t="s">
        <v>718</v>
      </c>
      <c r="E774" s="202" t="s">
        <v>519</v>
      </c>
      <c r="F774" s="265">
        <v>2600</v>
      </c>
      <c r="G774" s="265">
        <v>0</v>
      </c>
      <c r="H774" s="265">
        <f>H775</f>
        <v>2600</v>
      </c>
      <c r="I774" s="265">
        <v>0</v>
      </c>
      <c r="J774" s="265">
        <f t="shared" si="271"/>
        <v>0</v>
      </c>
      <c r="K774" s="265">
        <f t="shared" si="272"/>
        <v>0</v>
      </c>
      <c r="L774" s="265">
        <v>0</v>
      </c>
      <c r="M774" s="226">
        <v>0</v>
      </c>
      <c r="N774" s="265">
        <v>0</v>
      </c>
      <c r="O774" s="226">
        <v>0</v>
      </c>
      <c r="P774" s="265">
        <f t="shared" si="273"/>
        <v>0</v>
      </c>
      <c r="Q774" s="271">
        <f t="shared" si="274"/>
        <v>0</v>
      </c>
    </row>
    <row r="775" spans="1:17" x14ac:dyDescent="0.2">
      <c r="A775" s="264" t="s">
        <v>571</v>
      </c>
      <c r="B775" s="202" t="s">
        <v>609</v>
      </c>
      <c r="C775" s="202" t="s">
        <v>498</v>
      </c>
      <c r="D775" s="202" t="s">
        <v>718</v>
      </c>
      <c r="E775" s="202" t="s">
        <v>522</v>
      </c>
      <c r="F775" s="265">
        <v>2600</v>
      </c>
      <c r="G775" s="265">
        <v>0</v>
      </c>
      <c r="H775" s="265">
        <f>'Ведомственная 2021-2022'!H1032</f>
        <v>2600</v>
      </c>
      <c r="I775" s="265">
        <v>0</v>
      </c>
      <c r="J775" s="265">
        <f t="shared" si="271"/>
        <v>0</v>
      </c>
      <c r="K775" s="265">
        <f t="shared" si="272"/>
        <v>0</v>
      </c>
      <c r="L775" s="265">
        <v>0</v>
      </c>
      <c r="M775" s="226">
        <v>0</v>
      </c>
      <c r="N775" s="265">
        <v>0</v>
      </c>
      <c r="O775" s="226">
        <v>0</v>
      </c>
      <c r="P775" s="265">
        <f t="shared" si="273"/>
        <v>0</v>
      </c>
      <c r="Q775" s="271">
        <f t="shared" si="274"/>
        <v>0</v>
      </c>
    </row>
    <row r="776" spans="1:17" x14ac:dyDescent="0.2">
      <c r="A776" s="264" t="s">
        <v>908</v>
      </c>
      <c r="B776" s="202" t="s">
        <v>609</v>
      </c>
      <c r="C776" s="202" t="s">
        <v>498</v>
      </c>
      <c r="D776" s="202" t="s">
        <v>907</v>
      </c>
      <c r="E776" s="202"/>
      <c r="F776" s="265">
        <v>590486.29999999993</v>
      </c>
      <c r="G776" s="265">
        <v>0</v>
      </c>
      <c r="H776" s="265">
        <f>H777</f>
        <v>279172.89999999991</v>
      </c>
      <c r="I776" s="265">
        <v>0</v>
      </c>
      <c r="J776" s="281">
        <f t="shared" si="271"/>
        <v>-311313.40000000002</v>
      </c>
      <c r="K776" s="265">
        <f t="shared" si="272"/>
        <v>0</v>
      </c>
      <c r="L776" s="265">
        <v>569282.69999999995</v>
      </c>
      <c r="M776" s="226">
        <v>0</v>
      </c>
      <c r="N776" s="265">
        <f>N777</f>
        <v>819723.10000000009</v>
      </c>
      <c r="O776" s="226">
        <v>0</v>
      </c>
      <c r="P776" s="265">
        <f t="shared" si="273"/>
        <v>250440.40000000014</v>
      </c>
      <c r="Q776" s="271">
        <f t="shared" si="274"/>
        <v>0</v>
      </c>
    </row>
    <row r="777" spans="1:17" x14ac:dyDescent="0.2">
      <c r="A777" s="264" t="s">
        <v>906</v>
      </c>
      <c r="B777" s="202" t="s">
        <v>609</v>
      </c>
      <c r="C777" s="202" t="s">
        <v>498</v>
      </c>
      <c r="D777" s="202" t="s">
        <v>905</v>
      </c>
      <c r="E777" s="202"/>
      <c r="F777" s="265">
        <v>590486.29999999993</v>
      </c>
      <c r="G777" s="265">
        <v>0</v>
      </c>
      <c r="H777" s="265">
        <f>H778+H782</f>
        <v>279172.89999999991</v>
      </c>
      <c r="I777" s="265">
        <v>0</v>
      </c>
      <c r="J777" s="281">
        <f t="shared" si="271"/>
        <v>-311313.40000000002</v>
      </c>
      <c r="K777" s="265">
        <f t="shared" si="272"/>
        <v>0</v>
      </c>
      <c r="L777" s="265">
        <v>569282.69999999995</v>
      </c>
      <c r="M777" s="226">
        <v>0</v>
      </c>
      <c r="N777" s="265">
        <f>N778+N782</f>
        <v>819723.10000000009</v>
      </c>
      <c r="O777" s="226">
        <v>0</v>
      </c>
      <c r="P777" s="265">
        <f t="shared" si="273"/>
        <v>250440.40000000014</v>
      </c>
      <c r="Q777" s="271">
        <f t="shared" si="274"/>
        <v>0</v>
      </c>
    </row>
    <row r="778" spans="1:17" x14ac:dyDescent="0.2">
      <c r="A778" s="264" t="s">
        <v>912</v>
      </c>
      <c r="B778" s="202" t="s">
        <v>609</v>
      </c>
      <c r="C778" s="202" t="s">
        <v>498</v>
      </c>
      <c r="D778" s="202" t="s">
        <v>911</v>
      </c>
      <c r="E778" s="202"/>
      <c r="F778" s="265">
        <v>340613.99999999994</v>
      </c>
      <c r="G778" s="265">
        <v>0</v>
      </c>
      <c r="H778" s="265">
        <f>H779</f>
        <v>179172.89999999994</v>
      </c>
      <c r="I778" s="265">
        <v>0</v>
      </c>
      <c r="J778" s="281">
        <f t="shared" si="271"/>
        <v>-161441.1</v>
      </c>
      <c r="K778" s="265">
        <f t="shared" si="272"/>
        <v>0</v>
      </c>
      <c r="L778" s="265">
        <v>556394.69999999995</v>
      </c>
      <c r="M778" s="226">
        <v>0</v>
      </c>
      <c r="N778" s="265">
        <f>N779</f>
        <v>561962.80000000005</v>
      </c>
      <c r="O778" s="226">
        <v>0</v>
      </c>
      <c r="P778" s="265">
        <f t="shared" si="273"/>
        <v>5568.1000000000931</v>
      </c>
      <c r="Q778" s="271">
        <f t="shared" si="274"/>
        <v>0</v>
      </c>
    </row>
    <row r="779" spans="1:17" x14ac:dyDescent="0.2">
      <c r="A779" s="264" t="s">
        <v>910</v>
      </c>
      <c r="B779" s="202" t="s">
        <v>609</v>
      </c>
      <c r="C779" s="202" t="s">
        <v>498</v>
      </c>
      <c r="D779" s="202" t="s">
        <v>909</v>
      </c>
      <c r="E779" s="202"/>
      <c r="F779" s="265">
        <v>340613.99999999994</v>
      </c>
      <c r="G779" s="265">
        <v>0</v>
      </c>
      <c r="H779" s="265">
        <f>H780</f>
        <v>179172.89999999994</v>
      </c>
      <c r="I779" s="265">
        <v>0</v>
      </c>
      <c r="J779" s="281">
        <f t="shared" si="271"/>
        <v>-161441.1</v>
      </c>
      <c r="K779" s="265">
        <f t="shared" si="272"/>
        <v>0</v>
      </c>
      <c r="L779" s="265">
        <v>556394.69999999995</v>
      </c>
      <c r="M779" s="226">
        <v>0</v>
      </c>
      <c r="N779" s="265">
        <f>N780</f>
        <v>561962.80000000005</v>
      </c>
      <c r="O779" s="226">
        <v>0</v>
      </c>
      <c r="P779" s="265">
        <f t="shared" si="273"/>
        <v>5568.1000000000931</v>
      </c>
      <c r="Q779" s="271">
        <f t="shared" si="274"/>
        <v>0</v>
      </c>
    </row>
    <row r="780" spans="1:17" x14ac:dyDescent="0.2">
      <c r="A780" s="264" t="s">
        <v>1355</v>
      </c>
      <c r="B780" s="202" t="s">
        <v>609</v>
      </c>
      <c r="C780" s="202" t="s">
        <v>498</v>
      </c>
      <c r="D780" s="202" t="s">
        <v>909</v>
      </c>
      <c r="E780" s="202" t="s">
        <v>824</v>
      </c>
      <c r="F780" s="265">
        <v>340613.99999999994</v>
      </c>
      <c r="G780" s="265">
        <v>0</v>
      </c>
      <c r="H780" s="265">
        <f>H781</f>
        <v>179172.89999999994</v>
      </c>
      <c r="I780" s="265">
        <v>0</v>
      </c>
      <c r="J780" s="281">
        <f t="shared" si="271"/>
        <v>-161441.1</v>
      </c>
      <c r="K780" s="265">
        <f t="shared" si="272"/>
        <v>0</v>
      </c>
      <c r="L780" s="265">
        <v>556394.69999999995</v>
      </c>
      <c r="M780" s="226">
        <v>0</v>
      </c>
      <c r="N780" s="265">
        <f>N781</f>
        <v>561962.80000000005</v>
      </c>
      <c r="O780" s="226">
        <v>0</v>
      </c>
      <c r="P780" s="265">
        <f t="shared" si="273"/>
        <v>5568.1000000000931</v>
      </c>
      <c r="Q780" s="271">
        <f t="shared" si="274"/>
        <v>0</v>
      </c>
    </row>
    <row r="781" spans="1:17" x14ac:dyDescent="0.2">
      <c r="A781" s="264" t="s">
        <v>823</v>
      </c>
      <c r="B781" s="202" t="s">
        <v>609</v>
      </c>
      <c r="C781" s="202" t="s">
        <v>498</v>
      </c>
      <c r="D781" s="202" t="s">
        <v>909</v>
      </c>
      <c r="E781" s="202" t="s">
        <v>821</v>
      </c>
      <c r="F781" s="265">
        <v>340613.99999999994</v>
      </c>
      <c r="G781" s="265">
        <v>0</v>
      </c>
      <c r="H781" s="265">
        <f>'Ведомственная 2021-2022'!H701</f>
        <v>179172.89999999994</v>
      </c>
      <c r="I781" s="265">
        <v>0</v>
      </c>
      <c r="J781" s="281">
        <f t="shared" si="271"/>
        <v>-161441.1</v>
      </c>
      <c r="K781" s="265">
        <f t="shared" si="272"/>
        <v>0</v>
      </c>
      <c r="L781" s="265">
        <v>556394.69999999995</v>
      </c>
      <c r="M781" s="226">
        <v>0</v>
      </c>
      <c r="N781" s="265">
        <f>'Ведомственная 2021-2022'!K701</f>
        <v>561962.80000000005</v>
      </c>
      <c r="O781" s="226">
        <v>0</v>
      </c>
      <c r="P781" s="265">
        <f t="shared" si="273"/>
        <v>5568.1000000000931</v>
      </c>
      <c r="Q781" s="271">
        <f t="shared" si="274"/>
        <v>0</v>
      </c>
    </row>
    <row r="782" spans="1:17" s="296" customFormat="1" ht="22.5" x14ac:dyDescent="0.2">
      <c r="A782" s="298" t="s">
        <v>1408</v>
      </c>
      <c r="B782" s="298" t="s">
        <v>609</v>
      </c>
      <c r="C782" s="298" t="s">
        <v>498</v>
      </c>
      <c r="D782" s="298" t="s">
        <v>1409</v>
      </c>
      <c r="E782" s="298"/>
      <c r="F782" s="265">
        <v>249872.3</v>
      </c>
      <c r="G782" s="265">
        <v>0</v>
      </c>
      <c r="H782" s="265">
        <f t="shared" ref="H782:I783" si="275">H783</f>
        <v>100000</v>
      </c>
      <c r="I782" s="265">
        <f t="shared" si="275"/>
        <v>0</v>
      </c>
      <c r="J782" s="281">
        <f t="shared" ref="J782:J784" si="276">H782-F782</f>
        <v>-149872.29999999999</v>
      </c>
      <c r="K782" s="265">
        <f t="shared" ref="K782:K784" si="277">I782-G782</f>
        <v>0</v>
      </c>
      <c r="L782" s="265">
        <v>12888</v>
      </c>
      <c r="M782" s="226">
        <v>0</v>
      </c>
      <c r="N782" s="265">
        <f t="shared" ref="N782:O783" si="278">N783</f>
        <v>257760.3</v>
      </c>
      <c r="O782" s="226">
        <f t="shared" si="278"/>
        <v>0</v>
      </c>
      <c r="P782" s="265">
        <f t="shared" ref="P782:P784" si="279">N782-L782</f>
        <v>244872.3</v>
      </c>
      <c r="Q782" s="271">
        <f t="shared" ref="Q782:Q784" si="280">O782-M782</f>
        <v>0</v>
      </c>
    </row>
    <row r="783" spans="1:17" s="296" customFormat="1" x14ac:dyDescent="0.2">
      <c r="A783" s="298" t="s">
        <v>1355</v>
      </c>
      <c r="B783" s="298" t="s">
        <v>609</v>
      </c>
      <c r="C783" s="298" t="s">
        <v>498</v>
      </c>
      <c r="D783" s="298" t="s">
        <v>1409</v>
      </c>
      <c r="E783" s="298" t="s">
        <v>824</v>
      </c>
      <c r="F783" s="265">
        <v>249872.3</v>
      </c>
      <c r="G783" s="265">
        <v>0</v>
      </c>
      <c r="H783" s="265">
        <f t="shared" si="275"/>
        <v>100000</v>
      </c>
      <c r="I783" s="265">
        <f t="shared" si="275"/>
        <v>0</v>
      </c>
      <c r="J783" s="281">
        <f t="shared" si="276"/>
        <v>-149872.29999999999</v>
      </c>
      <c r="K783" s="265">
        <f t="shared" si="277"/>
        <v>0</v>
      </c>
      <c r="L783" s="265">
        <v>12888</v>
      </c>
      <c r="M783" s="226">
        <v>0</v>
      </c>
      <c r="N783" s="265">
        <f t="shared" si="278"/>
        <v>257760.3</v>
      </c>
      <c r="O783" s="226">
        <f t="shared" si="278"/>
        <v>0</v>
      </c>
      <c r="P783" s="265">
        <f t="shared" si="279"/>
        <v>244872.3</v>
      </c>
      <c r="Q783" s="271">
        <f t="shared" si="280"/>
        <v>0</v>
      </c>
    </row>
    <row r="784" spans="1:17" s="296" customFormat="1" x14ac:dyDescent="0.2">
      <c r="A784" s="298" t="s">
        <v>823</v>
      </c>
      <c r="B784" s="298" t="s">
        <v>609</v>
      </c>
      <c r="C784" s="298" t="s">
        <v>498</v>
      </c>
      <c r="D784" s="298" t="s">
        <v>1409</v>
      </c>
      <c r="E784" s="298" t="s">
        <v>821</v>
      </c>
      <c r="F784" s="265">
        <v>249872.3</v>
      </c>
      <c r="G784" s="265">
        <v>0</v>
      </c>
      <c r="H784" s="265">
        <f>'Ведомственная 2021-2022'!H704</f>
        <v>100000</v>
      </c>
      <c r="I784" s="265">
        <v>0</v>
      </c>
      <c r="J784" s="281">
        <f t="shared" si="276"/>
        <v>-149872.29999999999</v>
      </c>
      <c r="K784" s="265">
        <f t="shared" si="277"/>
        <v>0</v>
      </c>
      <c r="L784" s="265">
        <v>12888</v>
      </c>
      <c r="M784" s="226">
        <v>0</v>
      </c>
      <c r="N784" s="265">
        <f>'Ведомственная 2021-2022'!K704</f>
        <v>257760.3</v>
      </c>
      <c r="O784" s="226">
        <v>0</v>
      </c>
      <c r="P784" s="265">
        <f t="shared" si="279"/>
        <v>244872.3</v>
      </c>
      <c r="Q784" s="271">
        <f t="shared" si="280"/>
        <v>0</v>
      </c>
    </row>
    <row r="785" spans="1:17" x14ac:dyDescent="0.2">
      <c r="A785" s="264" t="s">
        <v>717</v>
      </c>
      <c r="B785" s="202" t="s">
        <v>609</v>
      </c>
      <c r="C785" s="202" t="s">
        <v>502</v>
      </c>
      <c r="D785" s="202"/>
      <c r="E785" s="202"/>
      <c r="F785" s="265">
        <f>F786+F839</f>
        <v>5039872.5</v>
      </c>
      <c r="G785" s="265">
        <f>G786+G839</f>
        <v>2612411</v>
      </c>
      <c r="H785" s="265">
        <f>H786+H839</f>
        <v>4342374.1999999993</v>
      </c>
      <c r="I785" s="265">
        <f>I786+I839</f>
        <v>2672782</v>
      </c>
      <c r="J785" s="281">
        <f t="shared" si="271"/>
        <v>-697498.30000000075</v>
      </c>
      <c r="K785" s="281">
        <f t="shared" si="271"/>
        <v>60371</v>
      </c>
      <c r="L785" s="265">
        <f>L786+L839</f>
        <v>5103499.1999999993</v>
      </c>
      <c r="M785" s="226">
        <f>M786+M839</f>
        <v>2613127</v>
      </c>
      <c r="N785" s="265">
        <f>N786+N839</f>
        <v>6076292.1999999993</v>
      </c>
      <c r="O785" s="226">
        <f>O786+O839</f>
        <v>2673498</v>
      </c>
      <c r="P785" s="281">
        <f t="shared" si="273"/>
        <v>972793</v>
      </c>
      <c r="Q785" s="292">
        <f t="shared" si="274"/>
        <v>60371</v>
      </c>
    </row>
    <row r="786" spans="1:17" x14ac:dyDescent="0.2">
      <c r="A786" s="264" t="s">
        <v>666</v>
      </c>
      <c r="B786" s="202" t="s">
        <v>609</v>
      </c>
      <c r="C786" s="202" t="s">
        <v>502</v>
      </c>
      <c r="D786" s="202" t="s">
        <v>665</v>
      </c>
      <c r="E786" s="202"/>
      <c r="F786" s="265">
        <f>F787</f>
        <v>3224812.0999999996</v>
      </c>
      <c r="G786" s="265">
        <f>G787</f>
        <v>2612411</v>
      </c>
      <c r="H786" s="265">
        <f>H787</f>
        <v>3389808.0999999996</v>
      </c>
      <c r="I786" s="265">
        <f>I787</f>
        <v>2672782</v>
      </c>
      <c r="J786" s="281">
        <f t="shared" si="271"/>
        <v>164996</v>
      </c>
      <c r="K786" s="281">
        <f t="shared" si="271"/>
        <v>60371</v>
      </c>
      <c r="L786" s="265">
        <f>L787</f>
        <v>3102152.0999999996</v>
      </c>
      <c r="M786" s="226">
        <f>M787</f>
        <v>2613127</v>
      </c>
      <c r="N786" s="265">
        <f>N787</f>
        <v>3267148.0999999996</v>
      </c>
      <c r="O786" s="226">
        <f>O787</f>
        <v>2673498</v>
      </c>
      <c r="P786" s="281">
        <f t="shared" si="273"/>
        <v>164996</v>
      </c>
      <c r="Q786" s="292">
        <f t="shared" si="274"/>
        <v>60371</v>
      </c>
    </row>
    <row r="787" spans="1:17" x14ac:dyDescent="0.2">
      <c r="A787" s="264" t="s">
        <v>688</v>
      </c>
      <c r="B787" s="202" t="s">
        <v>609</v>
      </c>
      <c r="C787" s="202" t="s">
        <v>502</v>
      </c>
      <c r="D787" s="202" t="s">
        <v>687</v>
      </c>
      <c r="E787" s="202"/>
      <c r="F787" s="265">
        <f>F788+F804+F829+F808</f>
        <v>3224812.0999999996</v>
      </c>
      <c r="G787" s="265">
        <f>G788+G804+G808+G829</f>
        <v>2612411</v>
      </c>
      <c r="H787" s="265">
        <f>H788+H804+H829+H808</f>
        <v>3389808.0999999996</v>
      </c>
      <c r="I787" s="265">
        <f>I788+I804+I808+I829</f>
        <v>2672782</v>
      </c>
      <c r="J787" s="281">
        <f t="shared" si="271"/>
        <v>164996</v>
      </c>
      <c r="K787" s="281">
        <f t="shared" si="271"/>
        <v>60371</v>
      </c>
      <c r="L787" s="265">
        <f>L788+L804+L829+L808</f>
        <v>3102152.0999999996</v>
      </c>
      <c r="M787" s="226">
        <f>M788+M804+M808+M829</f>
        <v>2613127</v>
      </c>
      <c r="N787" s="265">
        <f>N788+N804+N829+N808</f>
        <v>3267148.0999999996</v>
      </c>
      <c r="O787" s="226">
        <f>O788+O804+O808+O829</f>
        <v>2673498</v>
      </c>
      <c r="P787" s="281">
        <f t="shared" si="273"/>
        <v>164996</v>
      </c>
      <c r="Q787" s="292">
        <f t="shared" si="274"/>
        <v>60371</v>
      </c>
    </row>
    <row r="788" spans="1:17" x14ac:dyDescent="0.2">
      <c r="A788" s="264" t="s">
        <v>686</v>
      </c>
      <c r="B788" s="202" t="s">
        <v>609</v>
      </c>
      <c r="C788" s="202" t="s">
        <v>502</v>
      </c>
      <c r="D788" s="202" t="s">
        <v>685</v>
      </c>
      <c r="E788" s="202"/>
      <c r="F788" s="265">
        <v>2941723.8</v>
      </c>
      <c r="G788" s="265">
        <v>2457007</v>
      </c>
      <c r="H788" s="265">
        <f>H789+H797+H801+H793</f>
        <v>3036092.8</v>
      </c>
      <c r="I788" s="265">
        <f>I789+I797+I801+I793</f>
        <v>2551376</v>
      </c>
      <c r="J788" s="281">
        <f t="shared" si="271"/>
        <v>94369</v>
      </c>
      <c r="K788" s="281">
        <f t="shared" si="271"/>
        <v>94369</v>
      </c>
      <c r="L788" s="265">
        <v>2941723.8</v>
      </c>
      <c r="M788" s="226">
        <v>2457007</v>
      </c>
      <c r="N788" s="265">
        <f>N789+N797+N801+N793</f>
        <v>3036092.8</v>
      </c>
      <c r="O788" s="226">
        <f>O789+O797+O801+O793</f>
        <v>2551376</v>
      </c>
      <c r="P788" s="281">
        <f t="shared" si="273"/>
        <v>94369</v>
      </c>
      <c r="Q788" s="292">
        <f t="shared" si="274"/>
        <v>94369</v>
      </c>
    </row>
    <row r="789" spans="1:17" ht="27.75" customHeight="1" x14ac:dyDescent="0.2">
      <c r="A789" s="264" t="s">
        <v>684</v>
      </c>
      <c r="B789" s="202" t="s">
        <v>609</v>
      </c>
      <c r="C789" s="202" t="s">
        <v>502</v>
      </c>
      <c r="D789" s="202" t="s">
        <v>683</v>
      </c>
      <c r="E789" s="202"/>
      <c r="F789" s="265">
        <v>484716.79999999999</v>
      </c>
      <c r="G789" s="265">
        <v>0</v>
      </c>
      <c r="H789" s="265">
        <v>484716.79999999999</v>
      </c>
      <c r="I789" s="265">
        <v>0</v>
      </c>
      <c r="J789" s="265">
        <f t="shared" si="271"/>
        <v>0</v>
      </c>
      <c r="K789" s="265">
        <f t="shared" si="272"/>
        <v>0</v>
      </c>
      <c r="L789" s="265">
        <v>484716.79999999999</v>
      </c>
      <c r="M789" s="226">
        <v>0</v>
      </c>
      <c r="N789" s="265">
        <v>484716.79999999999</v>
      </c>
      <c r="O789" s="226">
        <v>0</v>
      </c>
      <c r="P789" s="265">
        <f t="shared" si="273"/>
        <v>0</v>
      </c>
      <c r="Q789" s="271">
        <f t="shared" si="274"/>
        <v>0</v>
      </c>
    </row>
    <row r="790" spans="1:17" ht="27" customHeight="1" x14ac:dyDescent="0.2">
      <c r="A790" s="264" t="s">
        <v>547</v>
      </c>
      <c r="B790" s="202" t="s">
        <v>609</v>
      </c>
      <c r="C790" s="202" t="s">
        <v>502</v>
      </c>
      <c r="D790" s="202" t="s">
        <v>683</v>
      </c>
      <c r="E790" s="202" t="s">
        <v>519</v>
      </c>
      <c r="F790" s="265">
        <v>484716.79999999999</v>
      </c>
      <c r="G790" s="265">
        <v>0</v>
      </c>
      <c r="H790" s="265">
        <v>484716.79999999999</v>
      </c>
      <c r="I790" s="265">
        <v>0</v>
      </c>
      <c r="J790" s="265">
        <f t="shared" si="271"/>
        <v>0</v>
      </c>
      <c r="K790" s="265">
        <f t="shared" si="272"/>
        <v>0</v>
      </c>
      <c r="L790" s="265">
        <v>484716.79999999999</v>
      </c>
      <c r="M790" s="226">
        <v>0</v>
      </c>
      <c r="N790" s="265">
        <v>484716.79999999999</v>
      </c>
      <c r="O790" s="226">
        <v>0</v>
      </c>
      <c r="P790" s="265">
        <f t="shared" si="273"/>
        <v>0</v>
      </c>
      <c r="Q790" s="271">
        <f t="shared" si="274"/>
        <v>0</v>
      </c>
    </row>
    <row r="791" spans="1:17" x14ac:dyDescent="0.2">
      <c r="A791" s="264" t="s">
        <v>571</v>
      </c>
      <c r="B791" s="202" t="s">
        <v>609</v>
      </c>
      <c r="C791" s="202" t="s">
        <v>502</v>
      </c>
      <c r="D791" s="202" t="s">
        <v>683</v>
      </c>
      <c r="E791" s="202" t="s">
        <v>522</v>
      </c>
      <c r="F791" s="265">
        <v>417583.4</v>
      </c>
      <c r="G791" s="265">
        <v>0</v>
      </c>
      <c r="H791" s="265">
        <v>417583.4</v>
      </c>
      <c r="I791" s="265">
        <v>0</v>
      </c>
      <c r="J791" s="265">
        <f t="shared" si="271"/>
        <v>0</v>
      </c>
      <c r="K791" s="265">
        <f t="shared" si="272"/>
        <v>0</v>
      </c>
      <c r="L791" s="265">
        <v>417583.4</v>
      </c>
      <c r="M791" s="226">
        <v>0</v>
      </c>
      <c r="N791" s="265">
        <v>417583.4</v>
      </c>
      <c r="O791" s="226">
        <v>0</v>
      </c>
      <c r="P791" s="265">
        <f t="shared" si="273"/>
        <v>0</v>
      </c>
      <c r="Q791" s="271">
        <f t="shared" si="274"/>
        <v>0</v>
      </c>
    </row>
    <row r="792" spans="1:17" x14ac:dyDescent="0.2">
      <c r="A792" s="264" t="s">
        <v>546</v>
      </c>
      <c r="B792" s="202" t="s">
        <v>609</v>
      </c>
      <c r="C792" s="202" t="s">
        <v>502</v>
      </c>
      <c r="D792" s="202" t="s">
        <v>683</v>
      </c>
      <c r="E792" s="202" t="s">
        <v>544</v>
      </c>
      <c r="F792" s="265">
        <v>67133.399999999994</v>
      </c>
      <c r="G792" s="265">
        <v>0</v>
      </c>
      <c r="H792" s="265">
        <v>67133.399999999994</v>
      </c>
      <c r="I792" s="265">
        <v>0</v>
      </c>
      <c r="J792" s="265">
        <f t="shared" si="271"/>
        <v>0</v>
      </c>
      <c r="K792" s="265">
        <f t="shared" si="272"/>
        <v>0</v>
      </c>
      <c r="L792" s="265">
        <v>67133.399999999994</v>
      </c>
      <c r="M792" s="226">
        <v>0</v>
      </c>
      <c r="N792" s="265">
        <v>67133.399999999994</v>
      </c>
      <c r="O792" s="226">
        <v>0</v>
      </c>
      <c r="P792" s="265">
        <f t="shared" si="273"/>
        <v>0</v>
      </c>
      <c r="Q792" s="271">
        <f t="shared" si="274"/>
        <v>0</v>
      </c>
    </row>
    <row r="793" spans="1:17" s="410" customFormat="1" ht="98.25" customHeight="1" x14ac:dyDescent="0.2">
      <c r="A793" s="298" t="s">
        <v>1602</v>
      </c>
      <c r="B793" s="298" t="s">
        <v>609</v>
      </c>
      <c r="C793" s="298" t="s">
        <v>502</v>
      </c>
      <c r="D793" s="298" t="s">
        <v>1603</v>
      </c>
      <c r="E793" s="298"/>
      <c r="F793" s="265">
        <f>F794</f>
        <v>0</v>
      </c>
      <c r="G793" s="265">
        <f t="shared" ref="G793:I795" si="281">G794</f>
        <v>0</v>
      </c>
      <c r="H793" s="265">
        <f t="shared" si="281"/>
        <v>94369</v>
      </c>
      <c r="I793" s="265">
        <f t="shared" si="281"/>
        <v>94369</v>
      </c>
      <c r="J793" s="265">
        <f t="shared" ref="J793:J796" si="282">H793-F793</f>
        <v>94369</v>
      </c>
      <c r="K793" s="265">
        <f t="shared" ref="K793:K796" si="283">I793-G793</f>
        <v>94369</v>
      </c>
      <c r="L793" s="265">
        <f>L794</f>
        <v>0</v>
      </c>
      <c r="M793" s="226">
        <f t="shared" ref="M793:O794" si="284">M794</f>
        <v>0</v>
      </c>
      <c r="N793" s="265">
        <f t="shared" si="284"/>
        <v>94369</v>
      </c>
      <c r="O793" s="226">
        <f t="shared" si="284"/>
        <v>94369</v>
      </c>
      <c r="P793" s="265">
        <f t="shared" ref="P793:P796" si="285">N793-L793</f>
        <v>94369</v>
      </c>
      <c r="Q793" s="271">
        <f t="shared" ref="Q793:Q796" si="286">O793-M793</f>
        <v>94369</v>
      </c>
    </row>
    <row r="794" spans="1:17" s="410" customFormat="1" ht="30" customHeight="1" x14ac:dyDescent="0.2">
      <c r="A794" s="298" t="s">
        <v>547</v>
      </c>
      <c r="B794" s="298" t="s">
        <v>609</v>
      </c>
      <c r="C794" s="298" t="s">
        <v>502</v>
      </c>
      <c r="D794" s="298" t="s">
        <v>1603</v>
      </c>
      <c r="E794" s="298" t="s">
        <v>519</v>
      </c>
      <c r="F794" s="265">
        <f>F795</f>
        <v>0</v>
      </c>
      <c r="G794" s="265">
        <f t="shared" si="281"/>
        <v>0</v>
      </c>
      <c r="H794" s="265">
        <f>H795+H796</f>
        <v>94369</v>
      </c>
      <c r="I794" s="265">
        <f>I795+I796</f>
        <v>94369</v>
      </c>
      <c r="J794" s="265">
        <f t="shared" si="282"/>
        <v>94369</v>
      </c>
      <c r="K794" s="265">
        <f t="shared" si="283"/>
        <v>94369</v>
      </c>
      <c r="L794" s="265">
        <f>L795</f>
        <v>0</v>
      </c>
      <c r="M794" s="226">
        <f t="shared" si="284"/>
        <v>0</v>
      </c>
      <c r="N794" s="265">
        <f>N795+N796</f>
        <v>94369</v>
      </c>
      <c r="O794" s="226">
        <f>O795+O796</f>
        <v>94369</v>
      </c>
      <c r="P794" s="265">
        <f t="shared" si="285"/>
        <v>94369</v>
      </c>
      <c r="Q794" s="271">
        <f t="shared" si="286"/>
        <v>94369</v>
      </c>
    </row>
    <row r="795" spans="1:17" s="410" customFormat="1" x14ac:dyDescent="0.2">
      <c r="A795" s="298" t="s">
        <v>571</v>
      </c>
      <c r="B795" s="298" t="s">
        <v>609</v>
      </c>
      <c r="C795" s="298" t="s">
        <v>502</v>
      </c>
      <c r="D795" s="298" t="s">
        <v>1603</v>
      </c>
      <c r="E795" s="298" t="s">
        <v>522</v>
      </c>
      <c r="F795" s="265">
        <f>F796</f>
        <v>0</v>
      </c>
      <c r="G795" s="265">
        <f t="shared" si="281"/>
        <v>0</v>
      </c>
      <c r="H795" s="265">
        <f>'Ведомственная 2021-2022'!H1043</f>
        <v>85620</v>
      </c>
      <c r="I795" s="265">
        <f>H795</f>
        <v>85620</v>
      </c>
      <c r="J795" s="265">
        <f t="shared" si="282"/>
        <v>85620</v>
      </c>
      <c r="K795" s="265">
        <f t="shared" si="283"/>
        <v>85620</v>
      </c>
      <c r="L795" s="265">
        <v>0</v>
      </c>
      <c r="M795" s="226">
        <v>0</v>
      </c>
      <c r="N795" s="265">
        <f>'Ведомственная 2021-2022'!K1043</f>
        <v>85620</v>
      </c>
      <c r="O795" s="226">
        <f>N795</f>
        <v>85620</v>
      </c>
      <c r="P795" s="265">
        <f t="shared" si="285"/>
        <v>85620</v>
      </c>
      <c r="Q795" s="271">
        <f t="shared" si="286"/>
        <v>85620</v>
      </c>
    </row>
    <row r="796" spans="1:17" s="410" customFormat="1" x14ac:dyDescent="0.2">
      <c r="A796" s="298" t="s">
        <v>546</v>
      </c>
      <c r="B796" s="298" t="s">
        <v>609</v>
      </c>
      <c r="C796" s="298" t="s">
        <v>502</v>
      </c>
      <c r="D796" s="298" t="s">
        <v>1603</v>
      </c>
      <c r="E796" s="298" t="s">
        <v>544</v>
      </c>
      <c r="F796" s="265">
        <v>0</v>
      </c>
      <c r="G796" s="265">
        <v>0</v>
      </c>
      <c r="H796" s="265">
        <f>'Ведомственная 2021-2022'!H1044</f>
        <v>8749</v>
      </c>
      <c r="I796" s="265">
        <f>H796</f>
        <v>8749</v>
      </c>
      <c r="J796" s="265">
        <f t="shared" si="282"/>
        <v>8749</v>
      </c>
      <c r="K796" s="265">
        <f t="shared" si="283"/>
        <v>8749</v>
      </c>
      <c r="L796" s="265">
        <v>0</v>
      </c>
      <c r="M796" s="226">
        <v>0</v>
      </c>
      <c r="N796" s="265">
        <f>'Ведомственная 2021-2022'!K1044</f>
        <v>8749</v>
      </c>
      <c r="O796" s="226">
        <f>N796</f>
        <v>8749</v>
      </c>
      <c r="P796" s="265">
        <f t="shared" si="285"/>
        <v>8749</v>
      </c>
      <c r="Q796" s="271">
        <f t="shared" si="286"/>
        <v>8749</v>
      </c>
    </row>
    <row r="797" spans="1:17" ht="75.75" customHeight="1" x14ac:dyDescent="0.2">
      <c r="A797" s="264" t="s">
        <v>716</v>
      </c>
      <c r="B797" s="202" t="s">
        <v>609</v>
      </c>
      <c r="C797" s="202" t="s">
        <v>502</v>
      </c>
      <c r="D797" s="202" t="s">
        <v>715</v>
      </c>
      <c r="E797" s="202"/>
      <c r="F797" s="265">
        <v>2296132</v>
      </c>
      <c r="G797" s="265">
        <v>2296132</v>
      </c>
      <c r="H797" s="265">
        <f>H798</f>
        <v>2296132</v>
      </c>
      <c r="I797" s="265">
        <f>I798</f>
        <v>2296132</v>
      </c>
      <c r="J797" s="281">
        <f t="shared" si="271"/>
        <v>0</v>
      </c>
      <c r="K797" s="281">
        <f t="shared" si="272"/>
        <v>0</v>
      </c>
      <c r="L797" s="265">
        <v>2296132</v>
      </c>
      <c r="M797" s="226">
        <v>2296132</v>
      </c>
      <c r="N797" s="265">
        <f>N798</f>
        <v>2296132</v>
      </c>
      <c r="O797" s="226">
        <f>O798</f>
        <v>2296132</v>
      </c>
      <c r="P797" s="281">
        <f t="shared" si="273"/>
        <v>0</v>
      </c>
      <c r="Q797" s="292">
        <f t="shared" si="274"/>
        <v>0</v>
      </c>
    </row>
    <row r="798" spans="1:17" ht="29.25" customHeight="1" x14ac:dyDescent="0.2">
      <c r="A798" s="264" t="s">
        <v>547</v>
      </c>
      <c r="B798" s="202" t="s">
        <v>609</v>
      </c>
      <c r="C798" s="202" t="s">
        <v>502</v>
      </c>
      <c r="D798" s="202" t="s">
        <v>715</v>
      </c>
      <c r="E798" s="202" t="s">
        <v>519</v>
      </c>
      <c r="F798" s="265">
        <v>2296132</v>
      </c>
      <c r="G798" s="265">
        <v>2296132</v>
      </c>
      <c r="H798" s="265">
        <f>H799+H800</f>
        <v>2296132</v>
      </c>
      <c r="I798" s="265">
        <f>I799+I800</f>
        <v>2296132</v>
      </c>
      <c r="J798" s="281">
        <f t="shared" si="271"/>
        <v>0</v>
      </c>
      <c r="K798" s="281">
        <f t="shared" si="272"/>
        <v>0</v>
      </c>
      <c r="L798" s="265">
        <v>2296132</v>
      </c>
      <c r="M798" s="226">
        <v>2296132</v>
      </c>
      <c r="N798" s="265">
        <f>N799+N800</f>
        <v>2296132</v>
      </c>
      <c r="O798" s="226">
        <f>O799+O800</f>
        <v>2296132</v>
      </c>
      <c r="P798" s="281">
        <f t="shared" si="273"/>
        <v>0</v>
      </c>
      <c r="Q798" s="292">
        <f t="shared" si="274"/>
        <v>0</v>
      </c>
    </row>
    <row r="799" spans="1:17" x14ac:dyDescent="0.2">
      <c r="A799" s="264" t="s">
        <v>571</v>
      </c>
      <c r="B799" s="202" t="s">
        <v>609</v>
      </c>
      <c r="C799" s="202" t="s">
        <v>502</v>
      </c>
      <c r="D799" s="202" t="s">
        <v>715</v>
      </c>
      <c r="E799" s="202" t="s">
        <v>522</v>
      </c>
      <c r="F799" s="265">
        <v>2094688</v>
      </c>
      <c r="G799" s="265">
        <v>2094688</v>
      </c>
      <c r="H799" s="265">
        <f>'Ведомственная 2021-2022'!H1047</f>
        <v>2094688</v>
      </c>
      <c r="I799" s="265">
        <f>H799</f>
        <v>2094688</v>
      </c>
      <c r="J799" s="281">
        <f t="shared" si="271"/>
        <v>0</v>
      </c>
      <c r="K799" s="281">
        <f t="shared" si="272"/>
        <v>0</v>
      </c>
      <c r="L799" s="265">
        <v>2094688</v>
      </c>
      <c r="M799" s="226">
        <v>2094688</v>
      </c>
      <c r="N799" s="265">
        <f>'Ведомственная 2021-2022'!K1047</f>
        <v>2094688</v>
      </c>
      <c r="O799" s="226">
        <f>N799</f>
        <v>2094688</v>
      </c>
      <c r="P799" s="281">
        <f t="shared" si="273"/>
        <v>0</v>
      </c>
      <c r="Q799" s="292">
        <f t="shared" si="274"/>
        <v>0</v>
      </c>
    </row>
    <row r="800" spans="1:17" s="296" customFormat="1" x14ac:dyDescent="0.2">
      <c r="A800" s="264" t="s">
        <v>546</v>
      </c>
      <c r="B800" s="202" t="s">
        <v>609</v>
      </c>
      <c r="C800" s="202" t="s">
        <v>502</v>
      </c>
      <c r="D800" s="202" t="s">
        <v>715</v>
      </c>
      <c r="E800" s="202">
        <v>620</v>
      </c>
      <c r="F800" s="265">
        <v>201444</v>
      </c>
      <c r="G800" s="265">
        <v>201444</v>
      </c>
      <c r="H800" s="265">
        <f>'Ведомственная 2021-2022'!H1048</f>
        <v>201444</v>
      </c>
      <c r="I800" s="265">
        <f>H800</f>
        <v>201444</v>
      </c>
      <c r="J800" s="281">
        <f t="shared" si="271"/>
        <v>0</v>
      </c>
      <c r="K800" s="281">
        <f t="shared" si="271"/>
        <v>0</v>
      </c>
      <c r="L800" s="265">
        <v>201444</v>
      </c>
      <c r="M800" s="226">
        <v>201444</v>
      </c>
      <c r="N800" s="265">
        <f>'Ведомственная 2021-2022'!K1048</f>
        <v>201444</v>
      </c>
      <c r="O800" s="226">
        <f>N800</f>
        <v>201444</v>
      </c>
      <c r="P800" s="265">
        <f t="shared" ref="P800" si="287">N800-L800</f>
        <v>0</v>
      </c>
      <c r="Q800" s="271">
        <f t="shared" ref="Q800" si="288">O800-M800</f>
        <v>0</v>
      </c>
    </row>
    <row r="801" spans="1:17" ht="75" customHeight="1" x14ac:dyDescent="0.2">
      <c r="A801" s="264" t="s">
        <v>714</v>
      </c>
      <c r="B801" s="202" t="s">
        <v>609</v>
      </c>
      <c r="C801" s="202" t="s">
        <v>502</v>
      </c>
      <c r="D801" s="202" t="s">
        <v>713</v>
      </c>
      <c r="E801" s="202"/>
      <c r="F801" s="265">
        <v>160875</v>
      </c>
      <c r="G801" s="265">
        <v>160875</v>
      </c>
      <c r="H801" s="265">
        <f t="shared" ref="H801:I802" si="289">H802</f>
        <v>160875</v>
      </c>
      <c r="I801" s="265">
        <f t="shared" si="289"/>
        <v>160875</v>
      </c>
      <c r="J801" s="281">
        <f t="shared" si="271"/>
        <v>0</v>
      </c>
      <c r="K801" s="281">
        <f t="shared" si="272"/>
        <v>0</v>
      </c>
      <c r="L801" s="265">
        <v>160875</v>
      </c>
      <c r="M801" s="226">
        <v>160875</v>
      </c>
      <c r="N801" s="265">
        <f t="shared" ref="N801:O802" si="290">N802</f>
        <v>160875</v>
      </c>
      <c r="O801" s="226">
        <f t="shared" si="290"/>
        <v>160875</v>
      </c>
      <c r="P801" s="281">
        <f t="shared" si="273"/>
        <v>0</v>
      </c>
      <c r="Q801" s="281">
        <f t="shared" si="274"/>
        <v>0</v>
      </c>
    </row>
    <row r="802" spans="1:17" ht="22.5" customHeight="1" x14ac:dyDescent="0.2">
      <c r="A802" s="264" t="s">
        <v>547</v>
      </c>
      <c r="B802" s="202" t="s">
        <v>609</v>
      </c>
      <c r="C802" s="202" t="s">
        <v>502</v>
      </c>
      <c r="D802" s="202" t="s">
        <v>713</v>
      </c>
      <c r="E802" s="202" t="s">
        <v>519</v>
      </c>
      <c r="F802" s="265">
        <v>160875</v>
      </c>
      <c r="G802" s="265">
        <v>160875</v>
      </c>
      <c r="H802" s="265">
        <f t="shared" si="289"/>
        <v>160875</v>
      </c>
      <c r="I802" s="265">
        <f t="shared" si="289"/>
        <v>160875</v>
      </c>
      <c r="J802" s="281">
        <f t="shared" si="271"/>
        <v>0</v>
      </c>
      <c r="K802" s="281">
        <f t="shared" si="272"/>
        <v>0</v>
      </c>
      <c r="L802" s="265">
        <v>160875</v>
      </c>
      <c r="M802" s="226">
        <v>160875</v>
      </c>
      <c r="N802" s="265">
        <f t="shared" si="290"/>
        <v>160875</v>
      </c>
      <c r="O802" s="226">
        <f t="shared" si="290"/>
        <v>160875</v>
      </c>
      <c r="P802" s="281">
        <f t="shared" si="273"/>
        <v>0</v>
      </c>
      <c r="Q802" s="281">
        <f t="shared" si="274"/>
        <v>0</v>
      </c>
    </row>
    <row r="803" spans="1:17" ht="22.5" x14ac:dyDescent="0.2">
      <c r="A803" s="264" t="s">
        <v>705</v>
      </c>
      <c r="B803" s="202" t="s">
        <v>609</v>
      </c>
      <c r="C803" s="202" t="s">
        <v>502</v>
      </c>
      <c r="D803" s="202" t="s">
        <v>713</v>
      </c>
      <c r="E803" s="202" t="s">
        <v>703</v>
      </c>
      <c r="F803" s="265">
        <v>160875</v>
      </c>
      <c r="G803" s="265">
        <v>160875</v>
      </c>
      <c r="H803" s="265">
        <f>'Ведомственная 2021-2022'!H1051</f>
        <v>160875</v>
      </c>
      <c r="I803" s="265">
        <f>H803</f>
        <v>160875</v>
      </c>
      <c r="J803" s="281">
        <f t="shared" si="271"/>
        <v>0</v>
      </c>
      <c r="K803" s="281">
        <f t="shared" si="272"/>
        <v>0</v>
      </c>
      <c r="L803" s="265">
        <v>160875</v>
      </c>
      <c r="M803" s="226">
        <v>160875</v>
      </c>
      <c r="N803" s="265">
        <f>'Ведомственная 2021-2022'!K1051</f>
        <v>160875</v>
      </c>
      <c r="O803" s="226">
        <f>N803</f>
        <v>160875</v>
      </c>
      <c r="P803" s="281">
        <f t="shared" si="273"/>
        <v>0</v>
      </c>
      <c r="Q803" s="281">
        <f t="shared" si="274"/>
        <v>0</v>
      </c>
    </row>
    <row r="804" spans="1:17" ht="22.5" x14ac:dyDescent="0.2">
      <c r="A804" s="264" t="s">
        <v>712</v>
      </c>
      <c r="B804" s="202" t="s">
        <v>609</v>
      </c>
      <c r="C804" s="202" t="s">
        <v>502</v>
      </c>
      <c r="D804" s="202" t="s">
        <v>711</v>
      </c>
      <c r="E804" s="202"/>
      <c r="F804" s="265">
        <v>8310</v>
      </c>
      <c r="G804" s="265">
        <v>8310</v>
      </c>
      <c r="H804" s="265">
        <v>8310</v>
      </c>
      <c r="I804" s="265">
        <v>8310</v>
      </c>
      <c r="J804" s="265">
        <f t="shared" si="271"/>
        <v>0</v>
      </c>
      <c r="K804" s="265">
        <f t="shared" si="272"/>
        <v>0</v>
      </c>
      <c r="L804" s="265">
        <v>9026</v>
      </c>
      <c r="M804" s="226">
        <v>9026</v>
      </c>
      <c r="N804" s="265">
        <v>9026</v>
      </c>
      <c r="O804" s="226">
        <v>9026</v>
      </c>
      <c r="P804" s="265">
        <f t="shared" si="273"/>
        <v>0</v>
      </c>
      <c r="Q804" s="271">
        <f t="shared" si="274"/>
        <v>0</v>
      </c>
    </row>
    <row r="805" spans="1:17" ht="33.75" x14ac:dyDescent="0.2">
      <c r="A805" s="264" t="s">
        <v>710</v>
      </c>
      <c r="B805" s="202" t="s">
        <v>609</v>
      </c>
      <c r="C805" s="202" t="s">
        <v>502</v>
      </c>
      <c r="D805" s="202" t="s">
        <v>709</v>
      </c>
      <c r="E805" s="202"/>
      <c r="F805" s="265">
        <v>8310</v>
      </c>
      <c r="G805" s="265">
        <v>8310</v>
      </c>
      <c r="H805" s="265">
        <v>8310</v>
      </c>
      <c r="I805" s="265">
        <v>8310</v>
      </c>
      <c r="J805" s="265">
        <f t="shared" si="271"/>
        <v>0</v>
      </c>
      <c r="K805" s="265">
        <f t="shared" si="272"/>
        <v>0</v>
      </c>
      <c r="L805" s="265">
        <v>9026</v>
      </c>
      <c r="M805" s="226">
        <v>9026</v>
      </c>
      <c r="N805" s="265">
        <v>9026</v>
      </c>
      <c r="O805" s="226">
        <v>9026</v>
      </c>
      <c r="P805" s="265">
        <f t="shared" si="273"/>
        <v>0</v>
      </c>
      <c r="Q805" s="271">
        <f t="shared" si="274"/>
        <v>0</v>
      </c>
    </row>
    <row r="806" spans="1:17" x14ac:dyDescent="0.2">
      <c r="A806" s="264" t="s">
        <v>547</v>
      </c>
      <c r="B806" s="202" t="s">
        <v>609</v>
      </c>
      <c r="C806" s="202" t="s">
        <v>502</v>
      </c>
      <c r="D806" s="202" t="s">
        <v>709</v>
      </c>
      <c r="E806" s="202" t="s">
        <v>519</v>
      </c>
      <c r="F806" s="265">
        <v>8310</v>
      </c>
      <c r="G806" s="265">
        <v>8310</v>
      </c>
      <c r="H806" s="265">
        <v>8310</v>
      </c>
      <c r="I806" s="265">
        <v>8310</v>
      </c>
      <c r="J806" s="265">
        <f t="shared" si="271"/>
        <v>0</v>
      </c>
      <c r="K806" s="265">
        <f t="shared" si="272"/>
        <v>0</v>
      </c>
      <c r="L806" s="265">
        <v>9026</v>
      </c>
      <c r="M806" s="226">
        <v>9026</v>
      </c>
      <c r="N806" s="265">
        <v>9026</v>
      </c>
      <c r="O806" s="226">
        <v>9026</v>
      </c>
      <c r="P806" s="265">
        <f t="shared" si="273"/>
        <v>0</v>
      </c>
      <c r="Q806" s="271">
        <f t="shared" si="274"/>
        <v>0</v>
      </c>
    </row>
    <row r="807" spans="1:17" x14ac:dyDescent="0.2">
      <c r="A807" s="264" t="s">
        <v>571</v>
      </c>
      <c r="B807" s="202" t="s">
        <v>609</v>
      </c>
      <c r="C807" s="202" t="s">
        <v>502</v>
      </c>
      <c r="D807" s="202" t="s">
        <v>709</v>
      </c>
      <c r="E807" s="202" t="s">
        <v>522</v>
      </c>
      <c r="F807" s="265">
        <v>8310</v>
      </c>
      <c r="G807" s="265">
        <v>8310</v>
      </c>
      <c r="H807" s="265">
        <v>8310</v>
      </c>
      <c r="I807" s="265">
        <v>8310</v>
      </c>
      <c r="J807" s="265">
        <f t="shared" si="271"/>
        <v>0</v>
      </c>
      <c r="K807" s="265">
        <f t="shared" si="272"/>
        <v>0</v>
      </c>
      <c r="L807" s="265">
        <v>9026</v>
      </c>
      <c r="M807" s="226">
        <v>9026</v>
      </c>
      <c r="N807" s="265">
        <v>9026</v>
      </c>
      <c r="O807" s="226">
        <v>9026</v>
      </c>
      <c r="P807" s="265">
        <f t="shared" si="273"/>
        <v>0</v>
      </c>
      <c r="Q807" s="271">
        <f t="shared" si="274"/>
        <v>0</v>
      </c>
    </row>
    <row r="808" spans="1:17" ht="33.75" x14ac:dyDescent="0.2">
      <c r="A808" s="264" t="s">
        <v>708</v>
      </c>
      <c r="B808" s="202" t="s">
        <v>609</v>
      </c>
      <c r="C808" s="202" t="s">
        <v>502</v>
      </c>
      <c r="D808" s="202" t="s">
        <v>707</v>
      </c>
      <c r="E808" s="202"/>
      <c r="F808" s="265">
        <v>147094</v>
      </c>
      <c r="G808" s="265">
        <f>F808</f>
        <v>147094</v>
      </c>
      <c r="H808" s="265">
        <f>H815+H820+H809+H824</f>
        <v>217721</v>
      </c>
      <c r="I808" s="265">
        <f>I815+I820+I809+I824</f>
        <v>113096</v>
      </c>
      <c r="J808" s="281">
        <f t="shared" si="271"/>
        <v>70627</v>
      </c>
      <c r="K808" s="281">
        <f t="shared" si="272"/>
        <v>-33998</v>
      </c>
      <c r="L808" s="265">
        <v>147094</v>
      </c>
      <c r="M808" s="226">
        <f>L808</f>
        <v>147094</v>
      </c>
      <c r="N808" s="265">
        <f>N815+N820+N809+N824</f>
        <v>217721</v>
      </c>
      <c r="O808" s="226">
        <f>O815+O820+O809+O824</f>
        <v>113096</v>
      </c>
      <c r="P808" s="281">
        <f t="shared" si="273"/>
        <v>70627</v>
      </c>
      <c r="Q808" s="281">
        <f t="shared" si="274"/>
        <v>-33998</v>
      </c>
    </row>
    <row r="809" spans="1:17" s="414" customFormat="1" ht="78.75" x14ac:dyDescent="0.2">
      <c r="A809" s="202" t="s">
        <v>1609</v>
      </c>
      <c r="B809" s="202" t="s">
        <v>609</v>
      </c>
      <c r="C809" s="202" t="s">
        <v>502</v>
      </c>
      <c r="D809" s="202" t="s">
        <v>1610</v>
      </c>
      <c r="E809" s="202"/>
      <c r="F809" s="265">
        <f>F810+F812</f>
        <v>0</v>
      </c>
      <c r="G809" s="265">
        <f t="shared" ref="G809:I809" si="291">G810+G812</f>
        <v>0</v>
      </c>
      <c r="H809" s="265">
        <f t="shared" si="291"/>
        <v>112902</v>
      </c>
      <c r="I809" s="265">
        <f t="shared" si="291"/>
        <v>112902</v>
      </c>
      <c r="J809" s="281">
        <f t="shared" ref="J809:J814" si="292">H809-F809</f>
        <v>112902</v>
      </c>
      <c r="K809" s="281">
        <f t="shared" ref="K809:K814" si="293">I809-G809</f>
        <v>112902</v>
      </c>
      <c r="L809" s="265">
        <f t="shared" ref="L809:O809" si="294">L810+L812</f>
        <v>0</v>
      </c>
      <c r="M809" s="226">
        <f t="shared" si="294"/>
        <v>0</v>
      </c>
      <c r="N809" s="265">
        <f t="shared" si="294"/>
        <v>112902</v>
      </c>
      <c r="O809" s="226">
        <f t="shared" si="294"/>
        <v>112902</v>
      </c>
      <c r="P809" s="281">
        <f t="shared" ref="P809:P814" si="295">N809-L809</f>
        <v>112902</v>
      </c>
      <c r="Q809" s="281">
        <f t="shared" ref="Q809:Q814" si="296">O809-M809</f>
        <v>112902</v>
      </c>
    </row>
    <row r="810" spans="1:17" s="414" customFormat="1" x14ac:dyDescent="0.2">
      <c r="A810" s="202" t="s">
        <v>553</v>
      </c>
      <c r="B810" s="202" t="s">
        <v>609</v>
      </c>
      <c r="C810" s="202" t="s">
        <v>502</v>
      </c>
      <c r="D810" s="202" t="s">
        <v>1610</v>
      </c>
      <c r="E810" s="202">
        <v>300</v>
      </c>
      <c r="F810" s="265">
        <f>F811</f>
        <v>0</v>
      </c>
      <c r="G810" s="265">
        <f>G811</f>
        <v>0</v>
      </c>
      <c r="H810" s="265">
        <f>H811</f>
        <v>93759</v>
      </c>
      <c r="I810" s="265">
        <f>H810</f>
        <v>93759</v>
      </c>
      <c r="J810" s="281">
        <f t="shared" si="292"/>
        <v>93759</v>
      </c>
      <c r="K810" s="281">
        <f t="shared" si="293"/>
        <v>93759</v>
      </c>
      <c r="L810" s="265">
        <f>L811</f>
        <v>0</v>
      </c>
      <c r="M810" s="226">
        <f>M811</f>
        <v>0</v>
      </c>
      <c r="N810" s="265">
        <f>N811</f>
        <v>93759</v>
      </c>
      <c r="O810" s="226">
        <f>N810</f>
        <v>93759</v>
      </c>
      <c r="P810" s="281">
        <f t="shared" si="295"/>
        <v>93759</v>
      </c>
      <c r="Q810" s="281">
        <f t="shared" si="296"/>
        <v>93759</v>
      </c>
    </row>
    <row r="811" spans="1:17" s="414" customFormat="1" x14ac:dyDescent="0.2">
      <c r="A811" s="202" t="s">
        <v>832</v>
      </c>
      <c r="B811" s="202" t="s">
        <v>609</v>
      </c>
      <c r="C811" s="202" t="s">
        <v>502</v>
      </c>
      <c r="D811" s="202" t="s">
        <v>1610</v>
      </c>
      <c r="E811" s="202">
        <v>320</v>
      </c>
      <c r="F811" s="265">
        <v>0</v>
      </c>
      <c r="G811" s="265">
        <v>0</v>
      </c>
      <c r="H811" s="265">
        <f>'Ведомственная 2021-2022'!H1059</f>
        <v>93759</v>
      </c>
      <c r="I811" s="265">
        <f>H811</f>
        <v>93759</v>
      </c>
      <c r="J811" s="281">
        <f t="shared" si="292"/>
        <v>93759</v>
      </c>
      <c r="K811" s="281">
        <f t="shared" si="293"/>
        <v>93759</v>
      </c>
      <c r="L811" s="265">
        <v>0</v>
      </c>
      <c r="M811" s="226">
        <v>0</v>
      </c>
      <c r="N811" s="265">
        <f>'Ведомственная 2021-2022'!K1059</f>
        <v>93759</v>
      </c>
      <c r="O811" s="226">
        <f>N811</f>
        <v>93759</v>
      </c>
      <c r="P811" s="281">
        <f t="shared" si="295"/>
        <v>93759</v>
      </c>
      <c r="Q811" s="281">
        <f t="shared" si="296"/>
        <v>93759</v>
      </c>
    </row>
    <row r="812" spans="1:17" s="414" customFormat="1" x14ac:dyDescent="0.2">
      <c r="A812" s="202" t="s">
        <v>547</v>
      </c>
      <c r="B812" s="202" t="s">
        <v>609</v>
      </c>
      <c r="C812" s="202" t="s">
        <v>502</v>
      </c>
      <c r="D812" s="202" t="s">
        <v>1610</v>
      </c>
      <c r="E812" s="202">
        <v>600</v>
      </c>
      <c r="F812" s="265">
        <f>F813+F814</f>
        <v>0</v>
      </c>
      <c r="G812" s="265">
        <f t="shared" ref="G812:I812" si="297">G813+G814</f>
        <v>0</v>
      </c>
      <c r="H812" s="265">
        <f t="shared" si="297"/>
        <v>19143</v>
      </c>
      <c r="I812" s="265">
        <f t="shared" si="297"/>
        <v>19143</v>
      </c>
      <c r="J812" s="281">
        <f t="shared" si="292"/>
        <v>19143</v>
      </c>
      <c r="K812" s="281">
        <f t="shared" si="293"/>
        <v>19143</v>
      </c>
      <c r="L812" s="265">
        <f t="shared" ref="L812:O812" si="298">L813+L814</f>
        <v>0</v>
      </c>
      <c r="M812" s="226">
        <f t="shared" si="298"/>
        <v>0</v>
      </c>
      <c r="N812" s="265">
        <f t="shared" si="298"/>
        <v>19143</v>
      </c>
      <c r="O812" s="226">
        <f t="shared" si="298"/>
        <v>19143</v>
      </c>
      <c r="P812" s="281">
        <f t="shared" si="295"/>
        <v>19143</v>
      </c>
      <c r="Q812" s="281">
        <f t="shared" si="296"/>
        <v>19143</v>
      </c>
    </row>
    <row r="813" spans="1:17" s="414" customFormat="1" x14ac:dyDescent="0.2">
      <c r="A813" s="202" t="s">
        <v>546</v>
      </c>
      <c r="B813" s="202" t="s">
        <v>609</v>
      </c>
      <c r="C813" s="202" t="s">
        <v>502</v>
      </c>
      <c r="D813" s="202" t="s">
        <v>1610</v>
      </c>
      <c r="E813" s="202">
        <v>620</v>
      </c>
      <c r="F813" s="265">
        <v>0</v>
      </c>
      <c r="G813" s="265">
        <v>0</v>
      </c>
      <c r="H813" s="265">
        <f>'Ведомственная 2021-2022'!H1061</f>
        <v>10022</v>
      </c>
      <c r="I813" s="265">
        <f t="shared" ref="I813:I819" si="299">H813</f>
        <v>10022</v>
      </c>
      <c r="J813" s="281">
        <f t="shared" si="292"/>
        <v>10022</v>
      </c>
      <c r="K813" s="281">
        <f t="shared" si="293"/>
        <v>10022</v>
      </c>
      <c r="L813" s="265">
        <v>0</v>
      </c>
      <c r="M813" s="226">
        <v>0</v>
      </c>
      <c r="N813" s="265">
        <f>'Ведомственная 2021-2022'!K1061</f>
        <v>10022</v>
      </c>
      <c r="O813" s="226">
        <f t="shared" ref="O813:O819" si="300">N813</f>
        <v>10022</v>
      </c>
      <c r="P813" s="281">
        <f t="shared" si="295"/>
        <v>10022</v>
      </c>
      <c r="Q813" s="281">
        <f t="shared" si="296"/>
        <v>10022</v>
      </c>
    </row>
    <row r="814" spans="1:17" s="414" customFormat="1" ht="22.5" x14ac:dyDescent="0.2">
      <c r="A814" s="202" t="s">
        <v>705</v>
      </c>
      <c r="B814" s="202" t="s">
        <v>609</v>
      </c>
      <c r="C814" s="202" t="s">
        <v>502</v>
      </c>
      <c r="D814" s="202" t="s">
        <v>1610</v>
      </c>
      <c r="E814" s="202">
        <v>630</v>
      </c>
      <c r="F814" s="265">
        <v>0</v>
      </c>
      <c r="G814" s="265">
        <v>0</v>
      </c>
      <c r="H814" s="265">
        <f>'Ведомственная 2021-2022'!H1062</f>
        <v>9121</v>
      </c>
      <c r="I814" s="265">
        <f t="shared" si="299"/>
        <v>9121</v>
      </c>
      <c r="J814" s="281">
        <f t="shared" si="292"/>
        <v>9121</v>
      </c>
      <c r="K814" s="281">
        <f t="shared" si="293"/>
        <v>9121</v>
      </c>
      <c r="L814" s="265">
        <v>0</v>
      </c>
      <c r="M814" s="226">
        <v>0</v>
      </c>
      <c r="N814" s="265">
        <f>'Ведомственная 2021-2022'!K1062</f>
        <v>9121</v>
      </c>
      <c r="O814" s="226">
        <f t="shared" si="300"/>
        <v>9121</v>
      </c>
      <c r="P814" s="281">
        <f t="shared" si="295"/>
        <v>9121</v>
      </c>
      <c r="Q814" s="281">
        <f t="shared" si="296"/>
        <v>9121</v>
      </c>
    </row>
    <row r="815" spans="1:17" ht="56.25" x14ac:dyDescent="0.2">
      <c r="A815" s="264" t="s">
        <v>706</v>
      </c>
      <c r="B815" s="202" t="s">
        <v>609</v>
      </c>
      <c r="C815" s="202" t="s">
        <v>502</v>
      </c>
      <c r="D815" s="202" t="s">
        <v>704</v>
      </c>
      <c r="E815" s="202"/>
      <c r="F815" s="265">
        <v>146900</v>
      </c>
      <c r="G815" s="265">
        <f>F815</f>
        <v>146900</v>
      </c>
      <c r="H815" s="265">
        <f>H816</f>
        <v>0</v>
      </c>
      <c r="I815" s="265">
        <f t="shared" si="299"/>
        <v>0</v>
      </c>
      <c r="J815" s="281">
        <f t="shared" si="271"/>
        <v>-146900</v>
      </c>
      <c r="K815" s="281">
        <f t="shared" si="272"/>
        <v>-146900</v>
      </c>
      <c r="L815" s="265">
        <v>146900</v>
      </c>
      <c r="M815" s="226">
        <f>L815</f>
        <v>146900</v>
      </c>
      <c r="N815" s="265">
        <f>N816</f>
        <v>0</v>
      </c>
      <c r="O815" s="226">
        <f t="shared" si="300"/>
        <v>0</v>
      </c>
      <c r="P815" s="281">
        <f t="shared" si="273"/>
        <v>-146900</v>
      </c>
      <c r="Q815" s="281">
        <f t="shared" si="274"/>
        <v>-146900</v>
      </c>
    </row>
    <row r="816" spans="1:17" ht="30.75" customHeight="1" x14ac:dyDescent="0.2">
      <c r="A816" s="264" t="s">
        <v>547</v>
      </c>
      <c r="B816" s="202" t="s">
        <v>609</v>
      </c>
      <c r="C816" s="202" t="s">
        <v>502</v>
      </c>
      <c r="D816" s="202" t="s">
        <v>704</v>
      </c>
      <c r="E816" s="202" t="s">
        <v>519</v>
      </c>
      <c r="F816" s="265">
        <v>146900</v>
      </c>
      <c r="G816" s="265">
        <f>F816</f>
        <v>146900</v>
      </c>
      <c r="H816" s="265">
        <f>H817+H818+H819</f>
        <v>0</v>
      </c>
      <c r="I816" s="265">
        <f t="shared" si="299"/>
        <v>0</v>
      </c>
      <c r="J816" s="281">
        <f t="shared" si="271"/>
        <v>-146900</v>
      </c>
      <c r="K816" s="281">
        <f t="shared" si="272"/>
        <v>-146900</v>
      </c>
      <c r="L816" s="265">
        <v>146900</v>
      </c>
      <c r="M816" s="226">
        <f>L816</f>
        <v>146900</v>
      </c>
      <c r="N816" s="265">
        <f>N817+N818+N819</f>
        <v>0</v>
      </c>
      <c r="O816" s="226">
        <f t="shared" si="300"/>
        <v>0</v>
      </c>
      <c r="P816" s="281">
        <f t="shared" si="273"/>
        <v>-146900</v>
      </c>
      <c r="Q816" s="281">
        <f t="shared" si="274"/>
        <v>-146900</v>
      </c>
    </row>
    <row r="817" spans="1:17" x14ac:dyDescent="0.2">
      <c r="A817" s="264" t="s">
        <v>571</v>
      </c>
      <c r="B817" s="202" t="s">
        <v>609</v>
      </c>
      <c r="C817" s="202" t="s">
        <v>502</v>
      </c>
      <c r="D817" s="202" t="s">
        <v>704</v>
      </c>
      <c r="E817" s="202" t="s">
        <v>522</v>
      </c>
      <c r="F817" s="265">
        <v>125210.2</v>
      </c>
      <c r="G817" s="265">
        <v>125210.2</v>
      </c>
      <c r="H817" s="265">
        <f>'Ведомственная 2021-2022'!H1065</f>
        <v>0</v>
      </c>
      <c r="I817" s="265">
        <f t="shared" si="299"/>
        <v>0</v>
      </c>
      <c r="J817" s="281">
        <f t="shared" si="271"/>
        <v>-125210.2</v>
      </c>
      <c r="K817" s="281">
        <f t="shared" si="272"/>
        <v>-125210.2</v>
      </c>
      <c r="L817" s="265">
        <v>125210.2</v>
      </c>
      <c r="M817" s="226">
        <v>125210.2</v>
      </c>
      <c r="N817" s="265">
        <f>'Ведомственная 2021-2022'!K1065</f>
        <v>0</v>
      </c>
      <c r="O817" s="226">
        <f t="shared" si="300"/>
        <v>0</v>
      </c>
      <c r="P817" s="281">
        <f t="shared" si="273"/>
        <v>-125210.2</v>
      </c>
      <c r="Q817" s="281">
        <f t="shared" si="274"/>
        <v>-125210.2</v>
      </c>
    </row>
    <row r="818" spans="1:17" x14ac:dyDescent="0.2">
      <c r="A818" s="264" t="s">
        <v>546</v>
      </c>
      <c r="B818" s="202" t="s">
        <v>609</v>
      </c>
      <c r="C818" s="202" t="s">
        <v>502</v>
      </c>
      <c r="D818" s="202" t="s">
        <v>704</v>
      </c>
      <c r="E818" s="202" t="s">
        <v>544</v>
      </c>
      <c r="F818" s="265">
        <v>13795</v>
      </c>
      <c r="G818" s="265">
        <v>13795</v>
      </c>
      <c r="H818" s="265">
        <f>'Ведомственная 2021-2022'!H1066</f>
        <v>0</v>
      </c>
      <c r="I818" s="265">
        <f t="shared" si="299"/>
        <v>0</v>
      </c>
      <c r="J818" s="281">
        <f t="shared" si="271"/>
        <v>-13795</v>
      </c>
      <c r="K818" s="281">
        <f t="shared" si="272"/>
        <v>-13795</v>
      </c>
      <c r="L818" s="265">
        <v>13795</v>
      </c>
      <c r="M818" s="226">
        <v>13795</v>
      </c>
      <c r="N818" s="265">
        <f>'Ведомственная 2021-2022'!K1066</f>
        <v>0</v>
      </c>
      <c r="O818" s="226">
        <f t="shared" si="300"/>
        <v>0</v>
      </c>
      <c r="P818" s="281">
        <f t="shared" si="273"/>
        <v>-13795</v>
      </c>
      <c r="Q818" s="281">
        <f t="shared" si="274"/>
        <v>-13795</v>
      </c>
    </row>
    <row r="819" spans="1:17" ht="22.5" x14ac:dyDescent="0.2">
      <c r="A819" s="264" t="s">
        <v>705</v>
      </c>
      <c r="B819" s="202" t="s">
        <v>609</v>
      </c>
      <c r="C819" s="202" t="s">
        <v>502</v>
      </c>
      <c r="D819" s="202" t="s">
        <v>704</v>
      </c>
      <c r="E819" s="202" t="s">
        <v>703</v>
      </c>
      <c r="F819" s="265">
        <v>7894.7</v>
      </c>
      <c r="G819" s="265">
        <v>7894.7</v>
      </c>
      <c r="H819" s="265">
        <f>'Ведомственная 2021-2022'!H1067</f>
        <v>0</v>
      </c>
      <c r="I819" s="265">
        <f t="shared" si="299"/>
        <v>0</v>
      </c>
      <c r="J819" s="281">
        <f t="shared" si="271"/>
        <v>-7894.7</v>
      </c>
      <c r="K819" s="281">
        <f t="shared" si="272"/>
        <v>-7894.7</v>
      </c>
      <c r="L819" s="265">
        <v>7894.7</v>
      </c>
      <c r="M819" s="226">
        <v>7894.7</v>
      </c>
      <c r="N819" s="265">
        <f>'Ведомственная 2021-2022'!K1067</f>
        <v>0</v>
      </c>
      <c r="O819" s="226">
        <f t="shared" si="300"/>
        <v>0</v>
      </c>
      <c r="P819" s="281">
        <f t="shared" si="273"/>
        <v>-7894.7</v>
      </c>
      <c r="Q819" s="281">
        <f t="shared" si="274"/>
        <v>-7894.7</v>
      </c>
    </row>
    <row r="820" spans="1:17" ht="33.75" x14ac:dyDescent="0.2">
      <c r="A820" s="264" t="s">
        <v>702</v>
      </c>
      <c r="B820" s="202" t="s">
        <v>609</v>
      </c>
      <c r="C820" s="202" t="s">
        <v>502</v>
      </c>
      <c r="D820" s="202" t="s">
        <v>701</v>
      </c>
      <c r="E820" s="202"/>
      <c r="F820" s="265">
        <v>194</v>
      </c>
      <c r="G820" s="265">
        <v>194</v>
      </c>
      <c r="H820" s="265">
        <v>194</v>
      </c>
      <c r="I820" s="265">
        <v>194</v>
      </c>
      <c r="J820" s="265">
        <f t="shared" si="271"/>
        <v>0</v>
      </c>
      <c r="K820" s="265">
        <f t="shared" si="272"/>
        <v>0</v>
      </c>
      <c r="L820" s="265">
        <v>194</v>
      </c>
      <c r="M820" s="226">
        <v>194</v>
      </c>
      <c r="N820" s="265">
        <v>194</v>
      </c>
      <c r="O820" s="226">
        <v>194</v>
      </c>
      <c r="P820" s="265">
        <f t="shared" si="273"/>
        <v>0</v>
      </c>
      <c r="Q820" s="271">
        <f t="shared" si="274"/>
        <v>0</v>
      </c>
    </row>
    <row r="821" spans="1:17" ht="21.75" customHeight="1" x14ac:dyDescent="0.2">
      <c r="A821" s="264" t="s">
        <v>547</v>
      </c>
      <c r="B821" s="202" t="s">
        <v>609</v>
      </c>
      <c r="C821" s="202" t="s">
        <v>502</v>
      </c>
      <c r="D821" s="202" t="s">
        <v>701</v>
      </c>
      <c r="E821" s="202" t="s">
        <v>519</v>
      </c>
      <c r="F821" s="265">
        <v>194</v>
      </c>
      <c r="G821" s="265">
        <v>194</v>
      </c>
      <c r="H821" s="265">
        <v>194</v>
      </c>
      <c r="I821" s="265">
        <v>194</v>
      </c>
      <c r="J821" s="265">
        <f t="shared" si="271"/>
        <v>0</v>
      </c>
      <c r="K821" s="265">
        <f t="shared" si="272"/>
        <v>0</v>
      </c>
      <c r="L821" s="265">
        <v>194</v>
      </c>
      <c r="M821" s="226">
        <v>194</v>
      </c>
      <c r="N821" s="265">
        <v>194</v>
      </c>
      <c r="O821" s="226">
        <v>194</v>
      </c>
      <c r="P821" s="265">
        <f t="shared" si="273"/>
        <v>0</v>
      </c>
      <c r="Q821" s="271">
        <f t="shared" si="274"/>
        <v>0</v>
      </c>
    </row>
    <row r="822" spans="1:17" x14ac:dyDescent="0.2">
      <c r="A822" s="264" t="s">
        <v>571</v>
      </c>
      <c r="B822" s="202" t="s">
        <v>609</v>
      </c>
      <c r="C822" s="202" t="s">
        <v>502</v>
      </c>
      <c r="D822" s="202" t="s">
        <v>701</v>
      </c>
      <c r="E822" s="202" t="s">
        <v>522</v>
      </c>
      <c r="F822" s="265">
        <v>169</v>
      </c>
      <c r="G822" s="265">
        <v>169</v>
      </c>
      <c r="H822" s="265">
        <v>169</v>
      </c>
      <c r="I822" s="265">
        <v>169</v>
      </c>
      <c r="J822" s="265">
        <f t="shared" si="271"/>
        <v>0</v>
      </c>
      <c r="K822" s="265">
        <f t="shared" si="272"/>
        <v>0</v>
      </c>
      <c r="L822" s="265">
        <v>169</v>
      </c>
      <c r="M822" s="226">
        <v>169</v>
      </c>
      <c r="N822" s="265">
        <v>169</v>
      </c>
      <c r="O822" s="226">
        <v>169</v>
      </c>
      <c r="P822" s="265">
        <f t="shared" si="273"/>
        <v>0</v>
      </c>
      <c r="Q822" s="271">
        <f t="shared" si="274"/>
        <v>0</v>
      </c>
    </row>
    <row r="823" spans="1:17" x14ac:dyDescent="0.2">
      <c r="A823" s="264" t="s">
        <v>546</v>
      </c>
      <c r="B823" s="202" t="s">
        <v>609</v>
      </c>
      <c r="C823" s="202" t="s">
        <v>502</v>
      </c>
      <c r="D823" s="202" t="s">
        <v>701</v>
      </c>
      <c r="E823" s="202" t="s">
        <v>544</v>
      </c>
      <c r="F823" s="265">
        <v>25</v>
      </c>
      <c r="G823" s="265">
        <v>25</v>
      </c>
      <c r="H823" s="265">
        <v>25</v>
      </c>
      <c r="I823" s="265">
        <v>25</v>
      </c>
      <c r="J823" s="265">
        <f t="shared" si="271"/>
        <v>0</v>
      </c>
      <c r="K823" s="265">
        <f t="shared" si="272"/>
        <v>0</v>
      </c>
      <c r="L823" s="265">
        <v>25</v>
      </c>
      <c r="M823" s="226">
        <v>25</v>
      </c>
      <c r="N823" s="265">
        <v>25</v>
      </c>
      <c r="O823" s="226">
        <v>25</v>
      </c>
      <c r="P823" s="265">
        <f t="shared" si="273"/>
        <v>0</v>
      </c>
      <c r="Q823" s="271">
        <f t="shared" si="274"/>
        <v>0</v>
      </c>
    </row>
    <row r="824" spans="1:17" s="414" customFormat="1" ht="22.5" x14ac:dyDescent="0.2">
      <c r="A824" s="202" t="s">
        <v>1536</v>
      </c>
      <c r="B824" s="202" t="s">
        <v>609</v>
      </c>
      <c r="C824" s="202" t="s">
        <v>502</v>
      </c>
      <c r="D824" s="202" t="s">
        <v>1537</v>
      </c>
      <c r="E824" s="202"/>
      <c r="F824" s="265">
        <f>F825+F827</f>
        <v>0</v>
      </c>
      <c r="G824" s="265">
        <f t="shared" ref="G824:I824" si="301">G825+G827</f>
        <v>0</v>
      </c>
      <c r="H824" s="265">
        <f t="shared" si="301"/>
        <v>104625</v>
      </c>
      <c r="I824" s="265">
        <f t="shared" si="301"/>
        <v>0</v>
      </c>
      <c r="J824" s="265">
        <f t="shared" ref="J824:J828" si="302">H824-F824</f>
        <v>104625</v>
      </c>
      <c r="K824" s="265">
        <f t="shared" ref="K824:K828" si="303">I824-G824</f>
        <v>0</v>
      </c>
      <c r="L824" s="265">
        <f t="shared" ref="L824:O824" si="304">L825+L827</f>
        <v>0</v>
      </c>
      <c r="M824" s="226">
        <f t="shared" si="304"/>
        <v>0</v>
      </c>
      <c r="N824" s="265">
        <f t="shared" si="304"/>
        <v>104625</v>
      </c>
      <c r="O824" s="226">
        <f t="shared" si="304"/>
        <v>0</v>
      </c>
      <c r="P824" s="265">
        <f t="shared" ref="P824:P828" si="305">N824-L824</f>
        <v>104625</v>
      </c>
      <c r="Q824" s="271">
        <f t="shared" ref="Q824:Q828" si="306">O824-M824</f>
        <v>0</v>
      </c>
    </row>
    <row r="825" spans="1:17" s="414" customFormat="1" x14ac:dyDescent="0.2">
      <c r="A825" s="202" t="s">
        <v>1347</v>
      </c>
      <c r="B825" s="202" t="s">
        <v>609</v>
      </c>
      <c r="C825" s="202" t="s">
        <v>502</v>
      </c>
      <c r="D825" s="202" t="s">
        <v>1537</v>
      </c>
      <c r="E825" s="202" t="s">
        <v>535</v>
      </c>
      <c r="F825" s="265">
        <f>F826</f>
        <v>0</v>
      </c>
      <c r="G825" s="265">
        <f>G826</f>
        <v>0</v>
      </c>
      <c r="H825" s="265">
        <f>H826</f>
        <v>94232.3</v>
      </c>
      <c r="I825" s="265">
        <f>I826</f>
        <v>0</v>
      </c>
      <c r="J825" s="265">
        <f t="shared" si="302"/>
        <v>94232.3</v>
      </c>
      <c r="K825" s="265">
        <f t="shared" si="303"/>
        <v>0</v>
      </c>
      <c r="L825" s="265">
        <f>L826</f>
        <v>0</v>
      </c>
      <c r="M825" s="226">
        <f>M826</f>
        <v>0</v>
      </c>
      <c r="N825" s="265">
        <f>N826</f>
        <v>94232.3</v>
      </c>
      <c r="O825" s="226">
        <f>O826</f>
        <v>0</v>
      </c>
      <c r="P825" s="265">
        <f t="shared" si="305"/>
        <v>94232.3</v>
      </c>
      <c r="Q825" s="271">
        <f t="shared" si="306"/>
        <v>0</v>
      </c>
    </row>
    <row r="826" spans="1:17" s="414" customFormat="1" x14ac:dyDescent="0.2">
      <c r="A826" s="202" t="s">
        <v>534</v>
      </c>
      <c r="B826" s="202" t="s">
        <v>609</v>
      </c>
      <c r="C826" s="202" t="s">
        <v>502</v>
      </c>
      <c r="D826" s="202" t="s">
        <v>1537</v>
      </c>
      <c r="E826" s="202" t="s">
        <v>529</v>
      </c>
      <c r="F826" s="265">
        <v>0</v>
      </c>
      <c r="G826" s="265">
        <v>0</v>
      </c>
      <c r="H826" s="265">
        <f>'Ведомственная 2021-2022'!H1074</f>
        <v>94232.3</v>
      </c>
      <c r="I826" s="265">
        <v>0</v>
      </c>
      <c r="J826" s="265">
        <f t="shared" si="302"/>
        <v>94232.3</v>
      </c>
      <c r="K826" s="265">
        <f t="shared" si="303"/>
        <v>0</v>
      </c>
      <c r="L826" s="265">
        <v>0</v>
      </c>
      <c r="M826" s="226">
        <v>0</v>
      </c>
      <c r="N826" s="265">
        <f>'Ведомственная 2021-2022'!K1074</f>
        <v>94232.3</v>
      </c>
      <c r="O826" s="226">
        <v>0</v>
      </c>
      <c r="P826" s="265">
        <f t="shared" si="305"/>
        <v>94232.3</v>
      </c>
      <c r="Q826" s="271">
        <f t="shared" si="306"/>
        <v>0</v>
      </c>
    </row>
    <row r="827" spans="1:17" s="414" customFormat="1" x14ac:dyDescent="0.2">
      <c r="A827" s="202" t="s">
        <v>547</v>
      </c>
      <c r="B827" s="202" t="s">
        <v>609</v>
      </c>
      <c r="C827" s="202" t="s">
        <v>502</v>
      </c>
      <c r="D827" s="202" t="s">
        <v>1537</v>
      </c>
      <c r="E827" s="202">
        <v>600</v>
      </c>
      <c r="F827" s="265">
        <f>F828</f>
        <v>0</v>
      </c>
      <c r="G827" s="265">
        <f>G828</f>
        <v>0</v>
      </c>
      <c r="H827" s="265">
        <f>H828</f>
        <v>10392.700000000001</v>
      </c>
      <c r="I827" s="265">
        <f>I828</f>
        <v>0</v>
      </c>
      <c r="J827" s="265">
        <f t="shared" si="302"/>
        <v>10392.700000000001</v>
      </c>
      <c r="K827" s="265">
        <f t="shared" si="303"/>
        <v>0</v>
      </c>
      <c r="L827" s="265">
        <f>L828</f>
        <v>0</v>
      </c>
      <c r="M827" s="226">
        <f>M828</f>
        <v>0</v>
      </c>
      <c r="N827" s="265">
        <f>N828</f>
        <v>10392.700000000001</v>
      </c>
      <c r="O827" s="226">
        <f>O828</f>
        <v>0</v>
      </c>
      <c r="P827" s="265">
        <f t="shared" si="305"/>
        <v>10392.700000000001</v>
      </c>
      <c r="Q827" s="271">
        <f t="shared" si="306"/>
        <v>0</v>
      </c>
    </row>
    <row r="828" spans="1:17" s="414" customFormat="1" x14ac:dyDescent="0.2">
      <c r="A828" s="202" t="s">
        <v>546</v>
      </c>
      <c r="B828" s="202" t="s">
        <v>609</v>
      </c>
      <c r="C828" s="202" t="s">
        <v>502</v>
      </c>
      <c r="D828" s="202" t="s">
        <v>1537</v>
      </c>
      <c r="E828" s="202">
        <v>620</v>
      </c>
      <c r="F828" s="265">
        <v>0</v>
      </c>
      <c r="G828" s="265">
        <v>0</v>
      </c>
      <c r="H828" s="265">
        <f>'Ведомственная 2021-2022'!H1076</f>
        <v>10392.700000000001</v>
      </c>
      <c r="I828" s="265">
        <v>0</v>
      </c>
      <c r="J828" s="265">
        <f t="shared" si="302"/>
        <v>10392.700000000001</v>
      </c>
      <c r="K828" s="265">
        <f t="shared" si="303"/>
        <v>0</v>
      </c>
      <c r="L828" s="265">
        <v>0</v>
      </c>
      <c r="M828" s="226">
        <v>0</v>
      </c>
      <c r="N828" s="265">
        <f>'Ведомственная 2021-2022'!K1076</f>
        <v>10392.700000000001</v>
      </c>
      <c r="O828" s="226">
        <v>0</v>
      </c>
      <c r="P828" s="265">
        <f t="shared" si="305"/>
        <v>10392.700000000001</v>
      </c>
      <c r="Q828" s="271">
        <f t="shared" si="306"/>
        <v>0</v>
      </c>
    </row>
    <row r="829" spans="1:17" x14ac:dyDescent="0.2">
      <c r="A829" s="264" t="s">
        <v>900</v>
      </c>
      <c r="B829" s="202" t="s">
        <v>609</v>
      </c>
      <c r="C829" s="202" t="s">
        <v>502</v>
      </c>
      <c r="D829" s="202" t="s">
        <v>1293</v>
      </c>
      <c r="E829" s="202"/>
      <c r="F829" s="265">
        <v>127684.3</v>
      </c>
      <c r="G829" s="265">
        <v>0</v>
      </c>
      <c r="H829" s="265">
        <f>H830+H836+H833</f>
        <v>127684.3</v>
      </c>
      <c r="I829" s="265">
        <f>I830+I836+I833</f>
        <v>0</v>
      </c>
      <c r="J829" s="281">
        <f t="shared" si="271"/>
        <v>0</v>
      </c>
      <c r="K829" s="265">
        <f t="shared" si="272"/>
        <v>0</v>
      </c>
      <c r="L829" s="265">
        <v>4308.3</v>
      </c>
      <c r="M829" s="226">
        <v>0</v>
      </c>
      <c r="N829" s="265">
        <f>N830+N836+N833</f>
        <v>4308.3</v>
      </c>
      <c r="O829" s="226">
        <f>O830+O836+O833</f>
        <v>0</v>
      </c>
      <c r="P829" s="281">
        <f t="shared" si="273"/>
        <v>0</v>
      </c>
      <c r="Q829" s="271">
        <f t="shared" si="274"/>
        <v>0</v>
      </c>
    </row>
    <row r="830" spans="1:17" ht="33.75" x14ac:dyDescent="0.2">
      <c r="A830" s="264" t="s">
        <v>1326</v>
      </c>
      <c r="B830" s="202" t="s">
        <v>609</v>
      </c>
      <c r="C830" s="202" t="s">
        <v>502</v>
      </c>
      <c r="D830" s="202" t="s">
        <v>1327</v>
      </c>
      <c r="E830" s="202"/>
      <c r="F830" s="265">
        <v>2310.3000000000002</v>
      </c>
      <c r="G830" s="265">
        <v>0</v>
      </c>
      <c r="H830" s="265">
        <f>H831</f>
        <v>2310.3000000000002</v>
      </c>
      <c r="I830" s="265">
        <f>I831</f>
        <v>0</v>
      </c>
      <c r="J830" s="281">
        <f t="shared" si="271"/>
        <v>0</v>
      </c>
      <c r="K830" s="265">
        <f t="shared" si="272"/>
        <v>0</v>
      </c>
      <c r="L830" s="265">
        <v>2308.3000000000002</v>
      </c>
      <c r="M830" s="226">
        <v>0</v>
      </c>
      <c r="N830" s="265">
        <f t="shared" ref="N830:O830" si="307">N831</f>
        <v>2308.3000000000002</v>
      </c>
      <c r="O830" s="226">
        <f t="shared" si="307"/>
        <v>0</v>
      </c>
      <c r="P830" s="281">
        <f t="shared" si="273"/>
        <v>0</v>
      </c>
      <c r="Q830" s="271">
        <f t="shared" si="274"/>
        <v>0</v>
      </c>
    </row>
    <row r="831" spans="1:17" s="304" customFormat="1" x14ac:dyDescent="0.2">
      <c r="A831" s="264" t="s">
        <v>1347</v>
      </c>
      <c r="B831" s="202" t="s">
        <v>609</v>
      </c>
      <c r="C831" s="202" t="s">
        <v>502</v>
      </c>
      <c r="D831" s="202" t="s">
        <v>1327</v>
      </c>
      <c r="E831" s="202" t="s">
        <v>535</v>
      </c>
      <c r="F831" s="265">
        <v>2310.3000000000002</v>
      </c>
      <c r="G831" s="265">
        <v>0</v>
      </c>
      <c r="H831" s="265">
        <f>H832</f>
        <v>2310.3000000000002</v>
      </c>
      <c r="I831" s="265">
        <f>I832</f>
        <v>0</v>
      </c>
      <c r="J831" s="281">
        <f t="shared" ref="J831:J832" si="308">H831-F831</f>
        <v>0</v>
      </c>
      <c r="K831" s="265">
        <f t="shared" ref="K831:K832" si="309">I831-G831</f>
        <v>0</v>
      </c>
      <c r="L831" s="265">
        <v>2308.3000000000002</v>
      </c>
      <c r="M831" s="226">
        <v>0</v>
      </c>
      <c r="N831" s="265">
        <f>N832</f>
        <v>2308.3000000000002</v>
      </c>
      <c r="O831" s="226">
        <f>O832</f>
        <v>0</v>
      </c>
      <c r="P831" s="281">
        <f t="shared" ref="P831:P832" si="310">N831-L831</f>
        <v>0</v>
      </c>
      <c r="Q831" s="271">
        <f t="shared" ref="Q831:Q832" si="311">O831-M831</f>
        <v>0</v>
      </c>
    </row>
    <row r="832" spans="1:17" s="304" customFormat="1" x14ac:dyDescent="0.2">
      <c r="A832" s="264" t="s">
        <v>534</v>
      </c>
      <c r="B832" s="202" t="s">
        <v>609</v>
      </c>
      <c r="C832" s="202" t="s">
        <v>502</v>
      </c>
      <c r="D832" s="202" t="s">
        <v>1327</v>
      </c>
      <c r="E832" s="202" t="s">
        <v>529</v>
      </c>
      <c r="F832" s="265">
        <v>2310.3000000000002</v>
      </c>
      <c r="G832" s="265">
        <v>0</v>
      </c>
      <c r="H832" s="265">
        <f>'Ведомственная 2021-2022'!H1080</f>
        <v>2310.3000000000002</v>
      </c>
      <c r="I832" s="265">
        <v>0</v>
      </c>
      <c r="J832" s="281">
        <f t="shared" si="308"/>
        <v>0</v>
      </c>
      <c r="K832" s="265">
        <f t="shared" si="309"/>
        <v>0</v>
      </c>
      <c r="L832" s="265">
        <v>2308.3000000000002</v>
      </c>
      <c r="M832" s="226">
        <v>0</v>
      </c>
      <c r="N832" s="265">
        <f>'Ведомственная 2021-2022'!K1080</f>
        <v>2308.3000000000002</v>
      </c>
      <c r="O832" s="226">
        <v>0</v>
      </c>
      <c r="P832" s="281">
        <f t="shared" si="310"/>
        <v>0</v>
      </c>
      <c r="Q832" s="271">
        <f t="shared" si="311"/>
        <v>0</v>
      </c>
    </row>
    <row r="833" spans="1:17" s="300" customFormat="1" ht="22.5" x14ac:dyDescent="0.2">
      <c r="A833" s="202" t="s">
        <v>1411</v>
      </c>
      <c r="B833" s="202" t="s">
        <v>609</v>
      </c>
      <c r="C833" s="202" t="s">
        <v>502</v>
      </c>
      <c r="D833" s="202" t="s">
        <v>1429</v>
      </c>
      <c r="E833" s="202"/>
      <c r="F833" s="265">
        <v>123374</v>
      </c>
      <c r="G833" s="265">
        <v>0</v>
      </c>
      <c r="H833" s="265">
        <f t="shared" ref="H833:I834" si="312">H834</f>
        <v>123374</v>
      </c>
      <c r="I833" s="265">
        <f t="shared" si="312"/>
        <v>0</v>
      </c>
      <c r="J833" s="281">
        <f t="shared" si="271"/>
        <v>0</v>
      </c>
      <c r="K833" s="265">
        <f t="shared" si="272"/>
        <v>0</v>
      </c>
      <c r="L833" s="265">
        <v>0</v>
      </c>
      <c r="M833" s="226">
        <v>0</v>
      </c>
      <c r="N833" s="265">
        <f t="shared" ref="N833:N834" si="313">N834</f>
        <v>0</v>
      </c>
      <c r="O833" s="226">
        <f t="shared" ref="O833:O834" si="314">O834</f>
        <v>0</v>
      </c>
      <c r="P833" s="265">
        <f t="shared" ref="P833:P835" si="315">N833-L833</f>
        <v>0</v>
      </c>
      <c r="Q833" s="271">
        <f t="shared" ref="Q833:Q835" si="316">O833-M833</f>
        <v>0</v>
      </c>
    </row>
    <row r="834" spans="1:17" s="300" customFormat="1" x14ac:dyDescent="0.2">
      <c r="A834" s="202" t="s">
        <v>1347</v>
      </c>
      <c r="B834" s="202" t="s">
        <v>609</v>
      </c>
      <c r="C834" s="202" t="s">
        <v>502</v>
      </c>
      <c r="D834" s="202" t="s">
        <v>1429</v>
      </c>
      <c r="E834" s="202" t="s">
        <v>535</v>
      </c>
      <c r="F834" s="265">
        <v>123374</v>
      </c>
      <c r="G834" s="265">
        <v>0</v>
      </c>
      <c r="H834" s="265">
        <f t="shared" si="312"/>
        <v>123374</v>
      </c>
      <c r="I834" s="265">
        <f t="shared" si="312"/>
        <v>0</v>
      </c>
      <c r="J834" s="281">
        <f t="shared" si="271"/>
        <v>0</v>
      </c>
      <c r="K834" s="265">
        <f t="shared" si="272"/>
        <v>0</v>
      </c>
      <c r="L834" s="265">
        <v>0</v>
      </c>
      <c r="M834" s="226">
        <v>0</v>
      </c>
      <c r="N834" s="265">
        <f t="shared" si="313"/>
        <v>0</v>
      </c>
      <c r="O834" s="226">
        <f t="shared" si="314"/>
        <v>0</v>
      </c>
      <c r="P834" s="265">
        <f t="shared" si="315"/>
        <v>0</v>
      </c>
      <c r="Q834" s="271">
        <f t="shared" si="316"/>
        <v>0</v>
      </c>
    </row>
    <row r="835" spans="1:17" s="300" customFormat="1" x14ac:dyDescent="0.2">
      <c r="A835" s="202" t="s">
        <v>534</v>
      </c>
      <c r="B835" s="202" t="s">
        <v>609</v>
      </c>
      <c r="C835" s="202" t="s">
        <v>502</v>
      </c>
      <c r="D835" s="202" t="s">
        <v>1429</v>
      </c>
      <c r="E835" s="202" t="s">
        <v>529</v>
      </c>
      <c r="F835" s="265">
        <v>123374</v>
      </c>
      <c r="G835" s="265">
        <v>0</v>
      </c>
      <c r="H835" s="265">
        <f>'Ведомственная 2021-2022'!H711</f>
        <v>123374</v>
      </c>
      <c r="I835" s="265">
        <v>0</v>
      </c>
      <c r="J835" s="281">
        <f t="shared" si="271"/>
        <v>0</v>
      </c>
      <c r="K835" s="265">
        <f t="shared" si="272"/>
        <v>0</v>
      </c>
      <c r="L835" s="265">
        <v>0</v>
      </c>
      <c r="M835" s="226">
        <v>0</v>
      </c>
      <c r="N835" s="265">
        <v>0</v>
      </c>
      <c r="O835" s="226">
        <v>0</v>
      </c>
      <c r="P835" s="265">
        <f t="shared" si="315"/>
        <v>0</v>
      </c>
      <c r="Q835" s="271">
        <f t="shared" si="316"/>
        <v>0</v>
      </c>
    </row>
    <row r="836" spans="1:17" x14ac:dyDescent="0.2">
      <c r="A836" s="264" t="s">
        <v>1328</v>
      </c>
      <c r="B836" s="202" t="s">
        <v>609</v>
      </c>
      <c r="C836" s="202" t="s">
        <v>502</v>
      </c>
      <c r="D836" s="202" t="s">
        <v>1329</v>
      </c>
      <c r="E836" s="202"/>
      <c r="F836" s="265">
        <v>2000</v>
      </c>
      <c r="G836" s="265">
        <v>0</v>
      </c>
      <c r="H836" s="265">
        <f>H837</f>
        <v>2000</v>
      </c>
      <c r="I836" s="265">
        <f>I837</f>
        <v>0</v>
      </c>
      <c r="J836" s="281">
        <f t="shared" si="271"/>
        <v>0</v>
      </c>
      <c r="K836" s="265">
        <f t="shared" si="272"/>
        <v>0</v>
      </c>
      <c r="L836" s="265">
        <v>2000</v>
      </c>
      <c r="M836" s="226">
        <v>0</v>
      </c>
      <c r="N836" s="265">
        <f>N837</f>
        <v>2000</v>
      </c>
      <c r="O836" s="226">
        <f>O837</f>
        <v>0</v>
      </c>
      <c r="P836" s="281">
        <f t="shared" si="273"/>
        <v>0</v>
      </c>
      <c r="Q836" s="271">
        <f t="shared" si="274"/>
        <v>0</v>
      </c>
    </row>
    <row r="837" spans="1:17" s="304" customFormat="1" x14ac:dyDescent="0.2">
      <c r="A837" s="202" t="s">
        <v>1347</v>
      </c>
      <c r="B837" s="202" t="s">
        <v>609</v>
      </c>
      <c r="C837" s="202" t="s">
        <v>502</v>
      </c>
      <c r="D837" s="202" t="s">
        <v>1329</v>
      </c>
      <c r="E837" s="202" t="s">
        <v>535</v>
      </c>
      <c r="F837" s="265">
        <v>2000</v>
      </c>
      <c r="G837" s="265">
        <v>0</v>
      </c>
      <c r="H837" s="265">
        <f>H838</f>
        <v>2000</v>
      </c>
      <c r="I837" s="265">
        <f>I838</f>
        <v>0</v>
      </c>
      <c r="J837" s="281">
        <f t="shared" ref="J837:J838" si="317">H837-F837</f>
        <v>0</v>
      </c>
      <c r="K837" s="265">
        <f t="shared" ref="K837:K838" si="318">I837-G837</f>
        <v>0</v>
      </c>
      <c r="L837" s="265">
        <v>2000</v>
      </c>
      <c r="M837" s="226">
        <v>0</v>
      </c>
      <c r="N837" s="265">
        <f>N838</f>
        <v>2000</v>
      </c>
      <c r="O837" s="226">
        <f>O838</f>
        <v>0</v>
      </c>
      <c r="P837" s="281">
        <f t="shared" ref="P837:P838" si="319">N837-L837</f>
        <v>0</v>
      </c>
      <c r="Q837" s="271">
        <f t="shared" ref="Q837:Q838" si="320">O837-M837</f>
        <v>0</v>
      </c>
    </row>
    <row r="838" spans="1:17" s="304" customFormat="1" x14ac:dyDescent="0.2">
      <c r="A838" s="202" t="s">
        <v>534</v>
      </c>
      <c r="B838" s="202" t="s">
        <v>609</v>
      </c>
      <c r="C838" s="202" t="s">
        <v>502</v>
      </c>
      <c r="D838" s="202" t="s">
        <v>1329</v>
      </c>
      <c r="E838" s="202" t="s">
        <v>529</v>
      </c>
      <c r="F838" s="265">
        <v>2000</v>
      </c>
      <c r="G838" s="265">
        <v>0</v>
      </c>
      <c r="H838" s="265">
        <f>'Ведомственная 2021-2022'!H1083</f>
        <v>2000</v>
      </c>
      <c r="I838" s="265">
        <v>0</v>
      </c>
      <c r="J838" s="281">
        <f t="shared" si="317"/>
        <v>0</v>
      </c>
      <c r="K838" s="265">
        <f t="shared" si="318"/>
        <v>0</v>
      </c>
      <c r="L838" s="265">
        <v>2000</v>
      </c>
      <c r="M838" s="226">
        <v>0</v>
      </c>
      <c r="N838" s="265">
        <f>'Ведомственная 2021-2022'!K1083</f>
        <v>2000</v>
      </c>
      <c r="O838" s="226">
        <v>0</v>
      </c>
      <c r="P838" s="281">
        <f t="shared" si="319"/>
        <v>0</v>
      </c>
      <c r="Q838" s="271">
        <f t="shared" si="320"/>
        <v>0</v>
      </c>
    </row>
    <row r="839" spans="1:17" x14ac:dyDescent="0.2">
      <c r="A839" s="264" t="s">
        <v>908</v>
      </c>
      <c r="B839" s="202" t="s">
        <v>609</v>
      </c>
      <c r="C839" s="202" t="s">
        <v>502</v>
      </c>
      <c r="D839" s="202" t="s">
        <v>907</v>
      </c>
      <c r="E839" s="202"/>
      <c r="F839" s="265">
        <v>1815060.4000000001</v>
      </c>
      <c r="G839" s="265">
        <v>0</v>
      </c>
      <c r="H839" s="265">
        <f>H840</f>
        <v>952566.1</v>
      </c>
      <c r="I839" s="265">
        <v>0</v>
      </c>
      <c r="J839" s="281">
        <f t="shared" si="271"/>
        <v>-862494.30000000016</v>
      </c>
      <c r="K839" s="265">
        <f t="shared" si="272"/>
        <v>0</v>
      </c>
      <c r="L839" s="265">
        <v>2001347.1</v>
      </c>
      <c r="M839" s="226">
        <v>0</v>
      </c>
      <c r="N839" s="265">
        <f>N840</f>
        <v>2809144.0999999996</v>
      </c>
      <c r="O839" s="226">
        <v>0</v>
      </c>
      <c r="P839" s="265">
        <f t="shared" si="273"/>
        <v>807796.99999999953</v>
      </c>
      <c r="Q839" s="271">
        <f t="shared" si="274"/>
        <v>0</v>
      </c>
    </row>
    <row r="840" spans="1:17" x14ac:dyDescent="0.2">
      <c r="A840" s="264" t="s">
        <v>906</v>
      </c>
      <c r="B840" s="202" t="s">
        <v>609</v>
      </c>
      <c r="C840" s="202" t="s">
        <v>502</v>
      </c>
      <c r="D840" s="202" t="s">
        <v>905</v>
      </c>
      <c r="E840" s="202"/>
      <c r="F840" s="265">
        <v>1815060.4000000001</v>
      </c>
      <c r="G840" s="265">
        <v>0</v>
      </c>
      <c r="H840" s="265">
        <f>H841+H845</f>
        <v>952566.1</v>
      </c>
      <c r="I840" s="265">
        <v>0</v>
      </c>
      <c r="J840" s="281">
        <f t="shared" ref="J840:J908" si="321">H840-F840</f>
        <v>-862494.30000000016</v>
      </c>
      <c r="K840" s="265">
        <f t="shared" ref="K840:K908" si="322">I840-G840</f>
        <v>0</v>
      </c>
      <c r="L840" s="265">
        <v>2001347.1</v>
      </c>
      <c r="M840" s="226">
        <v>0</v>
      </c>
      <c r="N840" s="265">
        <f>N841+N845</f>
        <v>2809144.0999999996</v>
      </c>
      <c r="O840" s="226">
        <v>0</v>
      </c>
      <c r="P840" s="265">
        <f t="shared" ref="P840:P908" si="323">N840-L840</f>
        <v>807796.99999999953</v>
      </c>
      <c r="Q840" s="271">
        <f t="shared" ref="Q840:Q908" si="324">O840-M840</f>
        <v>0</v>
      </c>
    </row>
    <row r="841" spans="1:17" x14ac:dyDescent="0.2">
      <c r="A841" s="264" t="s">
        <v>904</v>
      </c>
      <c r="B841" s="202" t="s">
        <v>609</v>
      </c>
      <c r="C841" s="202" t="s">
        <v>502</v>
      </c>
      <c r="D841" s="202" t="s">
        <v>903</v>
      </c>
      <c r="E841" s="202"/>
      <c r="F841" s="265">
        <v>250204.1</v>
      </c>
      <c r="G841" s="265">
        <v>0</v>
      </c>
      <c r="H841" s="265">
        <f>H842</f>
        <v>250204.1</v>
      </c>
      <c r="I841" s="265">
        <v>0</v>
      </c>
      <c r="J841" s="281">
        <f t="shared" si="321"/>
        <v>0</v>
      </c>
      <c r="K841" s="265">
        <f t="shared" si="322"/>
        <v>0</v>
      </c>
      <c r="L841" s="265">
        <v>525659.29999999993</v>
      </c>
      <c r="M841" s="226">
        <v>0</v>
      </c>
      <c r="N841" s="265">
        <f>N842</f>
        <v>525659.29999999993</v>
      </c>
      <c r="O841" s="226">
        <v>0</v>
      </c>
      <c r="P841" s="265">
        <f t="shared" si="323"/>
        <v>0</v>
      </c>
      <c r="Q841" s="271">
        <f t="shared" si="324"/>
        <v>0</v>
      </c>
    </row>
    <row r="842" spans="1:17" ht="22.5" x14ac:dyDescent="0.2">
      <c r="A842" s="264" t="s">
        <v>902</v>
      </c>
      <c r="B842" s="202" t="s">
        <v>609</v>
      </c>
      <c r="C842" s="202" t="s">
        <v>502</v>
      </c>
      <c r="D842" s="202" t="s">
        <v>901</v>
      </c>
      <c r="E842" s="202"/>
      <c r="F842" s="265">
        <v>250204.1</v>
      </c>
      <c r="G842" s="265">
        <v>0</v>
      </c>
      <c r="H842" s="265">
        <f>H843</f>
        <v>250204.1</v>
      </c>
      <c r="I842" s="265">
        <v>0</v>
      </c>
      <c r="J842" s="281">
        <f t="shared" si="321"/>
        <v>0</v>
      </c>
      <c r="K842" s="265">
        <f t="shared" si="322"/>
        <v>0</v>
      </c>
      <c r="L842" s="265">
        <v>525659.29999999993</v>
      </c>
      <c r="M842" s="226">
        <v>0</v>
      </c>
      <c r="N842" s="265">
        <f>N843</f>
        <v>525659.29999999993</v>
      </c>
      <c r="O842" s="226">
        <v>0</v>
      </c>
      <c r="P842" s="265">
        <f t="shared" si="323"/>
        <v>0</v>
      </c>
      <c r="Q842" s="271">
        <f t="shared" si="324"/>
        <v>0</v>
      </c>
    </row>
    <row r="843" spans="1:17" x14ac:dyDescent="0.2">
      <c r="A843" s="264" t="s">
        <v>1355</v>
      </c>
      <c r="B843" s="202" t="s">
        <v>609</v>
      </c>
      <c r="C843" s="202" t="s">
        <v>502</v>
      </c>
      <c r="D843" s="202" t="s">
        <v>901</v>
      </c>
      <c r="E843" s="202" t="s">
        <v>824</v>
      </c>
      <c r="F843" s="265">
        <v>250204.1</v>
      </c>
      <c r="G843" s="265">
        <v>0</v>
      </c>
      <c r="H843" s="265">
        <f>H844</f>
        <v>250204.1</v>
      </c>
      <c r="I843" s="265">
        <v>0</v>
      </c>
      <c r="J843" s="281">
        <f t="shared" si="321"/>
        <v>0</v>
      </c>
      <c r="K843" s="265">
        <f t="shared" si="322"/>
        <v>0</v>
      </c>
      <c r="L843" s="265">
        <v>525659.29999999993</v>
      </c>
      <c r="M843" s="226">
        <v>0</v>
      </c>
      <c r="N843" s="265">
        <f>N844</f>
        <v>525659.29999999993</v>
      </c>
      <c r="O843" s="226">
        <v>0</v>
      </c>
      <c r="P843" s="265">
        <f t="shared" si="323"/>
        <v>0</v>
      </c>
      <c r="Q843" s="271">
        <f t="shared" si="324"/>
        <v>0</v>
      </c>
    </row>
    <row r="844" spans="1:17" x14ac:dyDescent="0.2">
      <c r="A844" s="264" t="s">
        <v>823</v>
      </c>
      <c r="B844" s="202" t="s">
        <v>609</v>
      </c>
      <c r="C844" s="202" t="s">
        <v>502</v>
      </c>
      <c r="D844" s="202" t="s">
        <v>901</v>
      </c>
      <c r="E844" s="202" t="s">
        <v>821</v>
      </c>
      <c r="F844" s="265">
        <v>250204.1</v>
      </c>
      <c r="G844" s="265">
        <v>0</v>
      </c>
      <c r="H844" s="265">
        <f>'Ведомственная 2021-2022'!H717</f>
        <v>250204.1</v>
      </c>
      <c r="I844" s="265">
        <v>0</v>
      </c>
      <c r="J844" s="281">
        <f t="shared" si="321"/>
        <v>0</v>
      </c>
      <c r="K844" s="265">
        <f t="shared" si="322"/>
        <v>0</v>
      </c>
      <c r="L844" s="265">
        <v>525659.29999999993</v>
      </c>
      <c r="M844" s="226">
        <v>0</v>
      </c>
      <c r="N844" s="265">
        <f>'Ведомственная 2021-2022'!K717</f>
        <v>525659.29999999993</v>
      </c>
      <c r="O844" s="226">
        <v>0</v>
      </c>
      <c r="P844" s="265">
        <f t="shared" si="323"/>
        <v>0</v>
      </c>
      <c r="Q844" s="271">
        <f t="shared" si="324"/>
        <v>0</v>
      </c>
    </row>
    <row r="845" spans="1:17" x14ac:dyDescent="0.2">
      <c r="A845" s="264" t="s">
        <v>900</v>
      </c>
      <c r="B845" s="202" t="s">
        <v>609</v>
      </c>
      <c r="C845" s="202" t="s">
        <v>502</v>
      </c>
      <c r="D845" s="202" t="s">
        <v>899</v>
      </c>
      <c r="E845" s="202"/>
      <c r="F845" s="265">
        <v>1564856.3</v>
      </c>
      <c r="G845" s="265">
        <v>0</v>
      </c>
      <c r="H845" s="265">
        <f>H846</f>
        <v>702362</v>
      </c>
      <c r="I845" s="265">
        <v>0</v>
      </c>
      <c r="J845" s="281">
        <f t="shared" si="321"/>
        <v>-862494.3</v>
      </c>
      <c r="K845" s="265">
        <f t="shared" si="322"/>
        <v>0</v>
      </c>
      <c r="L845" s="265">
        <v>1475687.8</v>
      </c>
      <c r="M845" s="226">
        <v>0</v>
      </c>
      <c r="N845" s="265">
        <f>N846</f>
        <v>2283484.7999999998</v>
      </c>
      <c r="O845" s="226">
        <v>0</v>
      </c>
      <c r="P845" s="265">
        <f t="shared" si="323"/>
        <v>807796.99999999977</v>
      </c>
      <c r="Q845" s="271">
        <f t="shared" si="324"/>
        <v>0</v>
      </c>
    </row>
    <row r="846" spans="1:17" x14ac:dyDescent="0.2">
      <c r="A846" s="264" t="s">
        <v>898</v>
      </c>
      <c r="B846" s="202" t="s">
        <v>609</v>
      </c>
      <c r="C846" s="202" t="s">
        <v>502</v>
      </c>
      <c r="D846" s="202" t="s">
        <v>897</v>
      </c>
      <c r="E846" s="202"/>
      <c r="F846" s="265">
        <v>1564856.3</v>
      </c>
      <c r="G846" s="265">
        <v>0</v>
      </c>
      <c r="H846" s="265">
        <f>H847</f>
        <v>702362</v>
      </c>
      <c r="I846" s="265">
        <v>0</v>
      </c>
      <c r="J846" s="281">
        <f t="shared" si="321"/>
        <v>-862494.3</v>
      </c>
      <c r="K846" s="265">
        <f t="shared" si="322"/>
        <v>0</v>
      </c>
      <c r="L846" s="265">
        <v>1475687.8</v>
      </c>
      <c r="M846" s="226">
        <v>0</v>
      </c>
      <c r="N846" s="265">
        <f>N847</f>
        <v>2283484.7999999998</v>
      </c>
      <c r="O846" s="226">
        <v>0</v>
      </c>
      <c r="P846" s="265">
        <f t="shared" si="323"/>
        <v>807796.99999999977</v>
      </c>
      <c r="Q846" s="271">
        <f t="shared" si="324"/>
        <v>0</v>
      </c>
    </row>
    <row r="847" spans="1:17" x14ac:dyDescent="0.2">
      <c r="A847" s="264" t="s">
        <v>1355</v>
      </c>
      <c r="B847" s="202" t="s">
        <v>609</v>
      </c>
      <c r="C847" s="202" t="s">
        <v>502</v>
      </c>
      <c r="D847" s="202" t="s">
        <v>897</v>
      </c>
      <c r="E847" s="202" t="s">
        <v>824</v>
      </c>
      <c r="F847" s="265">
        <v>1564856.3</v>
      </c>
      <c r="G847" s="265">
        <v>0</v>
      </c>
      <c r="H847" s="265">
        <f>H848</f>
        <v>702362</v>
      </c>
      <c r="I847" s="265">
        <v>0</v>
      </c>
      <c r="J847" s="281">
        <f t="shared" si="321"/>
        <v>-862494.3</v>
      </c>
      <c r="K847" s="265">
        <f t="shared" si="322"/>
        <v>0</v>
      </c>
      <c r="L847" s="265">
        <v>1475687.8</v>
      </c>
      <c r="M847" s="226">
        <v>0</v>
      </c>
      <c r="N847" s="265">
        <f>N848</f>
        <v>2283484.7999999998</v>
      </c>
      <c r="O847" s="226">
        <v>0</v>
      </c>
      <c r="P847" s="265">
        <f t="shared" si="323"/>
        <v>807796.99999999977</v>
      </c>
      <c r="Q847" s="271">
        <f t="shared" si="324"/>
        <v>0</v>
      </c>
    </row>
    <row r="848" spans="1:17" x14ac:dyDescent="0.2">
      <c r="A848" s="264" t="s">
        <v>823</v>
      </c>
      <c r="B848" s="202" t="s">
        <v>609</v>
      </c>
      <c r="C848" s="202" t="s">
        <v>502</v>
      </c>
      <c r="D848" s="202" t="s">
        <v>897</v>
      </c>
      <c r="E848" s="202" t="s">
        <v>821</v>
      </c>
      <c r="F848" s="265">
        <v>1564856.3</v>
      </c>
      <c r="G848" s="265">
        <v>0</v>
      </c>
      <c r="H848" s="265">
        <f>'Ведомственная 2021-2022'!H721</f>
        <v>702362</v>
      </c>
      <c r="I848" s="265">
        <v>0</v>
      </c>
      <c r="J848" s="281">
        <f t="shared" si="321"/>
        <v>-862494.3</v>
      </c>
      <c r="K848" s="265">
        <f t="shared" si="322"/>
        <v>0</v>
      </c>
      <c r="L848" s="265">
        <v>1475687.8</v>
      </c>
      <c r="M848" s="226">
        <v>0</v>
      </c>
      <c r="N848" s="265">
        <f>'Ведомственная 2021-2022'!K721</f>
        <v>2283484.7999999998</v>
      </c>
      <c r="O848" s="226">
        <v>0</v>
      </c>
      <c r="P848" s="265">
        <f t="shared" si="323"/>
        <v>807796.99999999977</v>
      </c>
      <c r="Q848" s="271">
        <f t="shared" si="324"/>
        <v>0</v>
      </c>
    </row>
    <row r="849" spans="1:17" x14ac:dyDescent="0.2">
      <c r="A849" s="264" t="s">
        <v>700</v>
      </c>
      <c r="B849" s="202" t="s">
        <v>609</v>
      </c>
      <c r="C849" s="202" t="s">
        <v>531</v>
      </c>
      <c r="D849" s="202"/>
      <c r="E849" s="202"/>
      <c r="F849" s="265">
        <v>329803</v>
      </c>
      <c r="G849" s="265">
        <v>0</v>
      </c>
      <c r="H849" s="265">
        <f>H850+H871</f>
        <v>329803</v>
      </c>
      <c r="I849" s="265">
        <v>0</v>
      </c>
      <c r="J849" s="281">
        <f t="shared" si="321"/>
        <v>0</v>
      </c>
      <c r="K849" s="265">
        <f t="shared" si="322"/>
        <v>0</v>
      </c>
      <c r="L849" s="265">
        <v>349260.5</v>
      </c>
      <c r="M849" s="226">
        <v>0</v>
      </c>
      <c r="N849" s="265">
        <f>N850+N871</f>
        <v>349260.5</v>
      </c>
      <c r="O849" s="226">
        <v>0</v>
      </c>
      <c r="P849" s="281">
        <f t="shared" si="323"/>
        <v>0</v>
      </c>
      <c r="Q849" s="271">
        <f t="shared" si="324"/>
        <v>0</v>
      </c>
    </row>
    <row r="850" spans="1:17" x14ac:dyDescent="0.2">
      <c r="A850" s="264" t="s">
        <v>666</v>
      </c>
      <c r="B850" s="202" t="s">
        <v>609</v>
      </c>
      <c r="C850" s="202" t="s">
        <v>531</v>
      </c>
      <c r="D850" s="202" t="s">
        <v>665</v>
      </c>
      <c r="E850" s="202"/>
      <c r="F850" s="265">
        <v>329138</v>
      </c>
      <c r="G850" s="265">
        <v>0</v>
      </c>
      <c r="H850" s="265">
        <f>H851</f>
        <v>329138</v>
      </c>
      <c r="I850" s="265">
        <v>0</v>
      </c>
      <c r="J850" s="281">
        <f t="shared" si="321"/>
        <v>0</v>
      </c>
      <c r="K850" s="265">
        <f t="shared" si="322"/>
        <v>0</v>
      </c>
      <c r="L850" s="265">
        <v>348595.5</v>
      </c>
      <c r="M850" s="226">
        <v>0</v>
      </c>
      <c r="N850" s="265">
        <f>N851</f>
        <v>348595.5</v>
      </c>
      <c r="O850" s="226">
        <v>0</v>
      </c>
      <c r="P850" s="281">
        <f t="shared" si="323"/>
        <v>0</v>
      </c>
      <c r="Q850" s="271">
        <f t="shared" si="324"/>
        <v>0</v>
      </c>
    </row>
    <row r="851" spans="1:17" x14ac:dyDescent="0.2">
      <c r="A851" s="264" t="s">
        <v>699</v>
      </c>
      <c r="B851" s="202" t="s">
        <v>609</v>
      </c>
      <c r="C851" s="202" t="s">
        <v>531</v>
      </c>
      <c r="D851" s="202" t="s">
        <v>698</v>
      </c>
      <c r="E851" s="202"/>
      <c r="F851" s="265">
        <v>329138</v>
      </c>
      <c r="G851" s="265">
        <v>0</v>
      </c>
      <c r="H851" s="265">
        <f>H852+H857+H867+H862</f>
        <v>329138</v>
      </c>
      <c r="I851" s="265">
        <v>0</v>
      </c>
      <c r="J851" s="281">
        <f t="shared" si="321"/>
        <v>0</v>
      </c>
      <c r="K851" s="265">
        <f t="shared" si="322"/>
        <v>0</v>
      </c>
      <c r="L851" s="265">
        <v>348595.5</v>
      </c>
      <c r="M851" s="226">
        <v>0</v>
      </c>
      <c r="N851" s="265">
        <f>N852+N857+N867+N862</f>
        <v>348595.5</v>
      </c>
      <c r="O851" s="226">
        <v>0</v>
      </c>
      <c r="P851" s="281">
        <f t="shared" si="323"/>
        <v>0</v>
      </c>
      <c r="Q851" s="271">
        <f t="shared" si="324"/>
        <v>0</v>
      </c>
    </row>
    <row r="852" spans="1:17" ht="22.5" x14ac:dyDescent="0.2">
      <c r="A852" s="264" t="s">
        <v>697</v>
      </c>
      <c r="B852" s="202" t="s">
        <v>609</v>
      </c>
      <c r="C852" s="202" t="s">
        <v>531</v>
      </c>
      <c r="D852" s="202" t="s">
        <v>696</v>
      </c>
      <c r="E852" s="202"/>
      <c r="F852" s="265">
        <v>237842.6</v>
      </c>
      <c r="G852" s="265">
        <v>0</v>
      </c>
      <c r="H852" s="265">
        <v>237842.6</v>
      </c>
      <c r="I852" s="265">
        <v>0</v>
      </c>
      <c r="J852" s="281">
        <f t="shared" si="321"/>
        <v>0</v>
      </c>
      <c r="K852" s="265">
        <f t="shared" si="322"/>
        <v>0</v>
      </c>
      <c r="L852" s="265">
        <v>237842.6</v>
      </c>
      <c r="M852" s="226">
        <v>0</v>
      </c>
      <c r="N852" s="265">
        <v>237842.6</v>
      </c>
      <c r="O852" s="226">
        <v>0</v>
      </c>
      <c r="P852" s="281">
        <f t="shared" si="323"/>
        <v>0</v>
      </c>
      <c r="Q852" s="271">
        <f t="shared" si="324"/>
        <v>0</v>
      </c>
    </row>
    <row r="853" spans="1:17" ht="22.5" x14ac:dyDescent="0.2">
      <c r="A853" s="264" t="s">
        <v>695</v>
      </c>
      <c r="B853" s="202" t="s">
        <v>609</v>
      </c>
      <c r="C853" s="202" t="s">
        <v>531</v>
      </c>
      <c r="D853" s="202" t="s">
        <v>694</v>
      </c>
      <c r="E853" s="202"/>
      <c r="F853" s="265">
        <v>237842.6</v>
      </c>
      <c r="G853" s="265">
        <v>0</v>
      </c>
      <c r="H853" s="265">
        <v>237842.6</v>
      </c>
      <c r="I853" s="265">
        <v>0</v>
      </c>
      <c r="J853" s="281">
        <f t="shared" si="321"/>
        <v>0</v>
      </c>
      <c r="K853" s="265">
        <f t="shared" si="322"/>
        <v>0</v>
      </c>
      <c r="L853" s="265">
        <v>237842.6</v>
      </c>
      <c r="M853" s="226">
        <v>0</v>
      </c>
      <c r="N853" s="265">
        <v>237842.6</v>
      </c>
      <c r="O853" s="226">
        <v>0</v>
      </c>
      <c r="P853" s="281">
        <f t="shared" si="323"/>
        <v>0</v>
      </c>
      <c r="Q853" s="271">
        <f t="shared" si="324"/>
        <v>0</v>
      </c>
    </row>
    <row r="854" spans="1:17" x14ac:dyDescent="0.2">
      <c r="A854" s="264" t="s">
        <v>547</v>
      </c>
      <c r="B854" s="202" t="s">
        <v>609</v>
      </c>
      <c r="C854" s="202" t="s">
        <v>531</v>
      </c>
      <c r="D854" s="202" t="s">
        <v>694</v>
      </c>
      <c r="E854" s="202" t="s">
        <v>519</v>
      </c>
      <c r="F854" s="265">
        <v>237842.6</v>
      </c>
      <c r="G854" s="265">
        <v>0</v>
      </c>
      <c r="H854" s="265">
        <v>237842.6</v>
      </c>
      <c r="I854" s="265">
        <v>0</v>
      </c>
      <c r="J854" s="281">
        <f t="shared" si="321"/>
        <v>0</v>
      </c>
      <c r="K854" s="265">
        <f t="shared" si="322"/>
        <v>0</v>
      </c>
      <c r="L854" s="265">
        <v>237842.6</v>
      </c>
      <c r="M854" s="226">
        <v>0</v>
      </c>
      <c r="N854" s="265">
        <v>237842.6</v>
      </c>
      <c r="O854" s="226">
        <v>0</v>
      </c>
      <c r="P854" s="281">
        <f t="shared" si="323"/>
        <v>0</v>
      </c>
      <c r="Q854" s="271">
        <f t="shared" si="324"/>
        <v>0</v>
      </c>
    </row>
    <row r="855" spans="1:17" x14ac:dyDescent="0.2">
      <c r="A855" s="264" t="s">
        <v>571</v>
      </c>
      <c r="B855" s="202" t="s">
        <v>609</v>
      </c>
      <c r="C855" s="202" t="s">
        <v>531</v>
      </c>
      <c r="D855" s="202" t="s">
        <v>694</v>
      </c>
      <c r="E855" s="202" t="s">
        <v>522</v>
      </c>
      <c r="F855" s="265">
        <v>208673.1</v>
      </c>
      <c r="G855" s="265">
        <v>0</v>
      </c>
      <c r="H855" s="265">
        <v>208673.1</v>
      </c>
      <c r="I855" s="265">
        <v>0</v>
      </c>
      <c r="J855" s="281">
        <f t="shared" si="321"/>
        <v>0</v>
      </c>
      <c r="K855" s="265">
        <f t="shared" si="322"/>
        <v>0</v>
      </c>
      <c r="L855" s="265">
        <v>208673.1</v>
      </c>
      <c r="M855" s="226">
        <v>0</v>
      </c>
      <c r="N855" s="265">
        <v>208673.1</v>
      </c>
      <c r="O855" s="226">
        <v>0</v>
      </c>
      <c r="P855" s="281">
        <f t="shared" si="323"/>
        <v>0</v>
      </c>
      <c r="Q855" s="271">
        <f t="shared" si="324"/>
        <v>0</v>
      </c>
    </row>
    <row r="856" spans="1:17" x14ac:dyDescent="0.2">
      <c r="A856" s="264" t="s">
        <v>546</v>
      </c>
      <c r="B856" s="202" t="s">
        <v>609</v>
      </c>
      <c r="C856" s="202" t="s">
        <v>531</v>
      </c>
      <c r="D856" s="202" t="s">
        <v>694</v>
      </c>
      <c r="E856" s="202" t="s">
        <v>544</v>
      </c>
      <c r="F856" s="265">
        <v>29169.5</v>
      </c>
      <c r="G856" s="265">
        <v>0</v>
      </c>
      <c r="H856" s="265">
        <v>29169.5</v>
      </c>
      <c r="I856" s="265">
        <v>0</v>
      </c>
      <c r="J856" s="281">
        <f t="shared" si="321"/>
        <v>0</v>
      </c>
      <c r="K856" s="265">
        <f t="shared" si="322"/>
        <v>0</v>
      </c>
      <c r="L856" s="265">
        <v>29169.5</v>
      </c>
      <c r="M856" s="226">
        <v>0</v>
      </c>
      <c r="N856" s="265">
        <v>29169.5</v>
      </c>
      <c r="O856" s="226">
        <v>0</v>
      </c>
      <c r="P856" s="281">
        <f t="shared" si="323"/>
        <v>0</v>
      </c>
      <c r="Q856" s="271">
        <f t="shared" si="324"/>
        <v>0</v>
      </c>
    </row>
    <row r="857" spans="1:17" ht="22.5" x14ac:dyDescent="0.2">
      <c r="A857" s="264" t="s">
        <v>693</v>
      </c>
      <c r="B857" s="202" t="s">
        <v>609</v>
      </c>
      <c r="C857" s="202" t="s">
        <v>531</v>
      </c>
      <c r="D857" s="202" t="s">
        <v>692</v>
      </c>
      <c r="E857" s="202"/>
      <c r="F857" s="265">
        <v>91295.4</v>
      </c>
      <c r="G857" s="265">
        <v>0</v>
      </c>
      <c r="H857" s="265">
        <f>H858</f>
        <v>0</v>
      </c>
      <c r="I857" s="265">
        <v>0</v>
      </c>
      <c r="J857" s="281">
        <f t="shared" si="321"/>
        <v>-91295.4</v>
      </c>
      <c r="K857" s="265">
        <f t="shared" si="322"/>
        <v>0</v>
      </c>
      <c r="L857" s="265">
        <v>91295.4</v>
      </c>
      <c r="M857" s="226">
        <v>0</v>
      </c>
      <c r="N857" s="265">
        <f>N858</f>
        <v>0</v>
      </c>
      <c r="O857" s="226">
        <v>0</v>
      </c>
      <c r="P857" s="281">
        <f t="shared" si="323"/>
        <v>-91295.4</v>
      </c>
      <c r="Q857" s="271">
        <f t="shared" si="324"/>
        <v>0</v>
      </c>
    </row>
    <row r="858" spans="1:17" ht="22.5" x14ac:dyDescent="0.2">
      <c r="A858" s="264" t="s">
        <v>691</v>
      </c>
      <c r="B858" s="202" t="s">
        <v>609</v>
      </c>
      <c r="C858" s="202" t="s">
        <v>531</v>
      </c>
      <c r="D858" s="202" t="s">
        <v>690</v>
      </c>
      <c r="E858" s="202"/>
      <c r="F858" s="265">
        <v>91295.4</v>
      </c>
      <c r="G858" s="265">
        <v>0</v>
      </c>
      <c r="H858" s="265">
        <f>H859</f>
        <v>0</v>
      </c>
      <c r="I858" s="265">
        <v>0</v>
      </c>
      <c r="J858" s="281">
        <f t="shared" si="321"/>
        <v>-91295.4</v>
      </c>
      <c r="K858" s="265">
        <f t="shared" si="322"/>
        <v>0</v>
      </c>
      <c r="L858" s="265">
        <v>91295.4</v>
      </c>
      <c r="M858" s="226">
        <v>0</v>
      </c>
      <c r="N858" s="265">
        <f>N859</f>
        <v>0</v>
      </c>
      <c r="O858" s="226">
        <v>0</v>
      </c>
      <c r="P858" s="281">
        <f t="shared" si="323"/>
        <v>-91295.4</v>
      </c>
      <c r="Q858" s="271">
        <f t="shared" si="324"/>
        <v>0</v>
      </c>
    </row>
    <row r="859" spans="1:17" x14ac:dyDescent="0.2">
      <c r="A859" s="264" t="s">
        <v>547</v>
      </c>
      <c r="B859" s="202" t="s">
        <v>609</v>
      </c>
      <c r="C859" s="202" t="s">
        <v>531</v>
      </c>
      <c r="D859" s="202" t="s">
        <v>690</v>
      </c>
      <c r="E859" s="202" t="s">
        <v>519</v>
      </c>
      <c r="F859" s="265">
        <v>91295.4</v>
      </c>
      <c r="G859" s="265">
        <v>0</v>
      </c>
      <c r="H859" s="265">
        <f>H860+H861</f>
        <v>0</v>
      </c>
      <c r="I859" s="265">
        <v>0</v>
      </c>
      <c r="J859" s="281">
        <f t="shared" si="321"/>
        <v>-91295.4</v>
      </c>
      <c r="K859" s="265">
        <f t="shared" si="322"/>
        <v>0</v>
      </c>
      <c r="L859" s="265">
        <v>91295.4</v>
      </c>
      <c r="M859" s="226">
        <v>0</v>
      </c>
      <c r="N859" s="265">
        <f>N860+N861</f>
        <v>0</v>
      </c>
      <c r="O859" s="226">
        <v>0</v>
      </c>
      <c r="P859" s="281">
        <f t="shared" si="323"/>
        <v>-91295.4</v>
      </c>
      <c r="Q859" s="271">
        <f t="shared" si="324"/>
        <v>0</v>
      </c>
    </row>
    <row r="860" spans="1:17" x14ac:dyDescent="0.2">
      <c r="A860" s="264" t="s">
        <v>571</v>
      </c>
      <c r="B860" s="202" t="s">
        <v>609</v>
      </c>
      <c r="C860" s="202" t="s">
        <v>531</v>
      </c>
      <c r="D860" s="202" t="s">
        <v>690</v>
      </c>
      <c r="E860" s="202" t="s">
        <v>522</v>
      </c>
      <c r="F860" s="265">
        <v>80836.3</v>
      </c>
      <c r="G860" s="265">
        <v>0</v>
      </c>
      <c r="H860" s="265">
        <f>'Ведомственная 2021-2022'!H1095</f>
        <v>0</v>
      </c>
      <c r="I860" s="265">
        <v>0</v>
      </c>
      <c r="J860" s="281">
        <f t="shared" si="321"/>
        <v>-80836.3</v>
      </c>
      <c r="K860" s="265">
        <f t="shared" si="322"/>
        <v>0</v>
      </c>
      <c r="L860" s="265">
        <v>80836.3</v>
      </c>
      <c r="M860" s="226">
        <v>0</v>
      </c>
      <c r="N860" s="265">
        <f>'Ведомственная 2021-2022'!K1095</f>
        <v>0</v>
      </c>
      <c r="O860" s="226">
        <v>0</v>
      </c>
      <c r="P860" s="281">
        <f t="shared" si="323"/>
        <v>-80836.3</v>
      </c>
      <c r="Q860" s="271">
        <f t="shared" si="324"/>
        <v>0</v>
      </c>
    </row>
    <row r="861" spans="1:17" x14ac:dyDescent="0.2">
      <c r="A861" s="264" t="s">
        <v>546</v>
      </c>
      <c r="B861" s="202" t="s">
        <v>609</v>
      </c>
      <c r="C861" s="202" t="s">
        <v>531</v>
      </c>
      <c r="D861" s="202" t="s">
        <v>690</v>
      </c>
      <c r="E861" s="202" t="s">
        <v>544</v>
      </c>
      <c r="F861" s="265">
        <v>10459.1</v>
      </c>
      <c r="G861" s="265">
        <v>0</v>
      </c>
      <c r="H861" s="265">
        <f>'Ведомственная 2021-2022'!H1096</f>
        <v>0</v>
      </c>
      <c r="I861" s="265">
        <v>0</v>
      </c>
      <c r="J861" s="281">
        <f t="shared" si="321"/>
        <v>-10459.1</v>
      </c>
      <c r="K861" s="265">
        <f t="shared" si="322"/>
        <v>0</v>
      </c>
      <c r="L861" s="265">
        <v>10459.1</v>
      </c>
      <c r="M861" s="226">
        <v>0</v>
      </c>
      <c r="N861" s="265">
        <f>'Ведомственная 2021-2022'!K1096</f>
        <v>0</v>
      </c>
      <c r="O861" s="226">
        <v>0</v>
      </c>
      <c r="P861" s="281">
        <f t="shared" si="323"/>
        <v>-10459.1</v>
      </c>
      <c r="Q861" s="271">
        <f t="shared" si="324"/>
        <v>0</v>
      </c>
    </row>
    <row r="862" spans="1:17" s="444" customFormat="1" ht="22.5" x14ac:dyDescent="0.2">
      <c r="A862" s="202" t="s">
        <v>693</v>
      </c>
      <c r="B862" s="202" t="s">
        <v>609</v>
      </c>
      <c r="C862" s="202" t="s">
        <v>531</v>
      </c>
      <c r="D862" s="202" t="s">
        <v>1656</v>
      </c>
      <c r="E862" s="202"/>
      <c r="F862" s="265">
        <f>F863</f>
        <v>0</v>
      </c>
      <c r="G862" s="265">
        <f t="shared" ref="G862:I863" si="325">G863</f>
        <v>0</v>
      </c>
      <c r="H862" s="265">
        <f t="shared" si="325"/>
        <v>91295.400000000009</v>
      </c>
      <c r="I862" s="265">
        <f t="shared" si="325"/>
        <v>0</v>
      </c>
      <c r="J862" s="281">
        <f t="shared" ref="J862:J866" si="326">H862-F862</f>
        <v>91295.400000000009</v>
      </c>
      <c r="K862" s="265">
        <f t="shared" ref="K862:K866" si="327">I862-G862</f>
        <v>0</v>
      </c>
      <c r="L862" s="265">
        <f>L863</f>
        <v>0</v>
      </c>
      <c r="M862" s="226">
        <f t="shared" ref="M862:O863" si="328">M863</f>
        <v>0</v>
      </c>
      <c r="N862" s="265">
        <f t="shared" si="328"/>
        <v>91295.400000000009</v>
      </c>
      <c r="O862" s="226">
        <f t="shared" si="328"/>
        <v>0</v>
      </c>
      <c r="P862" s="281">
        <f t="shared" ref="P862:P866" si="329">N862-L862</f>
        <v>91295.400000000009</v>
      </c>
      <c r="Q862" s="271">
        <f t="shared" ref="Q862:Q866" si="330">O862-M862</f>
        <v>0</v>
      </c>
    </row>
    <row r="863" spans="1:17" s="444" customFormat="1" ht="22.5" x14ac:dyDescent="0.2">
      <c r="A863" s="202" t="s">
        <v>691</v>
      </c>
      <c r="B863" s="202" t="s">
        <v>609</v>
      </c>
      <c r="C863" s="202" t="s">
        <v>531</v>
      </c>
      <c r="D863" s="202" t="s">
        <v>1657</v>
      </c>
      <c r="E863" s="202"/>
      <c r="F863" s="265">
        <f>F864</f>
        <v>0</v>
      </c>
      <c r="G863" s="265">
        <f t="shared" si="325"/>
        <v>0</v>
      </c>
      <c r="H863" s="265">
        <f t="shared" si="325"/>
        <v>91295.400000000009</v>
      </c>
      <c r="I863" s="265">
        <f t="shared" si="325"/>
        <v>0</v>
      </c>
      <c r="J863" s="281">
        <f t="shared" si="326"/>
        <v>91295.400000000009</v>
      </c>
      <c r="K863" s="265">
        <f t="shared" si="327"/>
        <v>0</v>
      </c>
      <c r="L863" s="265">
        <f>L864</f>
        <v>0</v>
      </c>
      <c r="M863" s="226">
        <f t="shared" si="328"/>
        <v>0</v>
      </c>
      <c r="N863" s="265">
        <f t="shared" si="328"/>
        <v>91295.400000000009</v>
      </c>
      <c r="O863" s="226">
        <f t="shared" si="328"/>
        <v>0</v>
      </c>
      <c r="P863" s="281">
        <f t="shared" si="329"/>
        <v>91295.400000000009</v>
      </c>
      <c r="Q863" s="271">
        <f t="shared" si="330"/>
        <v>0</v>
      </c>
    </row>
    <row r="864" spans="1:17" s="444" customFormat="1" x14ac:dyDescent="0.2">
      <c r="A864" s="202" t="s">
        <v>547</v>
      </c>
      <c r="B864" s="202" t="s">
        <v>609</v>
      </c>
      <c r="C864" s="202" t="s">
        <v>531</v>
      </c>
      <c r="D864" s="202" t="s">
        <v>1657</v>
      </c>
      <c r="E864" s="202" t="s">
        <v>519</v>
      </c>
      <c r="F864" s="265">
        <f>F865+F866</f>
        <v>0</v>
      </c>
      <c r="G864" s="265">
        <f t="shared" ref="G864:I864" si="331">G865+G866</f>
        <v>0</v>
      </c>
      <c r="H864" s="265">
        <f t="shared" si="331"/>
        <v>91295.400000000009</v>
      </c>
      <c r="I864" s="265">
        <f t="shared" si="331"/>
        <v>0</v>
      </c>
      <c r="J864" s="281">
        <f t="shared" si="326"/>
        <v>91295.400000000009</v>
      </c>
      <c r="K864" s="265">
        <f t="shared" si="327"/>
        <v>0</v>
      </c>
      <c r="L864" s="265">
        <f>L865+L866</f>
        <v>0</v>
      </c>
      <c r="M864" s="226">
        <f t="shared" ref="M864:O864" si="332">M865+M866</f>
        <v>0</v>
      </c>
      <c r="N864" s="265">
        <f t="shared" si="332"/>
        <v>91295.400000000009</v>
      </c>
      <c r="O864" s="226">
        <f t="shared" si="332"/>
        <v>0</v>
      </c>
      <c r="P864" s="281">
        <f t="shared" si="329"/>
        <v>91295.400000000009</v>
      </c>
      <c r="Q864" s="271">
        <f t="shared" si="330"/>
        <v>0</v>
      </c>
    </row>
    <row r="865" spans="1:17" s="444" customFormat="1" x14ac:dyDescent="0.2">
      <c r="A865" s="202" t="s">
        <v>571</v>
      </c>
      <c r="B865" s="202" t="s">
        <v>609</v>
      </c>
      <c r="C865" s="202" t="s">
        <v>531</v>
      </c>
      <c r="D865" s="202" t="s">
        <v>1657</v>
      </c>
      <c r="E865" s="202" t="s">
        <v>522</v>
      </c>
      <c r="F865" s="265">
        <v>0</v>
      </c>
      <c r="G865" s="265">
        <v>0</v>
      </c>
      <c r="H865" s="265">
        <f>'Ведомственная 2021-2022'!H1100</f>
        <v>80836.3</v>
      </c>
      <c r="I865" s="265">
        <v>0</v>
      </c>
      <c r="J865" s="281">
        <f t="shared" si="326"/>
        <v>80836.3</v>
      </c>
      <c r="K865" s="265">
        <f t="shared" si="327"/>
        <v>0</v>
      </c>
      <c r="L865" s="265">
        <v>0</v>
      </c>
      <c r="M865" s="226">
        <v>0</v>
      </c>
      <c r="N865" s="265">
        <f>'Ведомственная 2021-2022'!K1100</f>
        <v>80836.3</v>
      </c>
      <c r="O865" s="226">
        <v>0</v>
      </c>
      <c r="P865" s="281">
        <f t="shared" si="329"/>
        <v>80836.3</v>
      </c>
      <c r="Q865" s="271">
        <f t="shared" si="330"/>
        <v>0</v>
      </c>
    </row>
    <row r="866" spans="1:17" s="444" customFormat="1" x14ac:dyDescent="0.2">
      <c r="A866" s="202" t="s">
        <v>546</v>
      </c>
      <c r="B866" s="202" t="s">
        <v>609</v>
      </c>
      <c r="C866" s="202" t="s">
        <v>531</v>
      </c>
      <c r="D866" s="202" t="s">
        <v>1657</v>
      </c>
      <c r="E866" s="202" t="s">
        <v>544</v>
      </c>
      <c r="F866" s="265">
        <v>0</v>
      </c>
      <c r="G866" s="265">
        <v>0</v>
      </c>
      <c r="H866" s="265">
        <f>'Ведомственная 2021-2022'!H1101</f>
        <v>10459.1</v>
      </c>
      <c r="I866" s="265">
        <v>0</v>
      </c>
      <c r="J866" s="281">
        <f t="shared" si="326"/>
        <v>10459.1</v>
      </c>
      <c r="K866" s="265">
        <f t="shared" si="327"/>
        <v>0</v>
      </c>
      <c r="L866" s="265">
        <v>0</v>
      </c>
      <c r="M866" s="226">
        <v>0</v>
      </c>
      <c r="N866" s="265">
        <f>'Ведомственная 2021-2022'!K1101</f>
        <v>10459.1</v>
      </c>
      <c r="O866" s="226">
        <v>0</v>
      </c>
      <c r="P866" s="281">
        <f t="shared" si="329"/>
        <v>10459.1</v>
      </c>
      <c r="Q866" s="271">
        <f t="shared" si="330"/>
        <v>0</v>
      </c>
    </row>
    <row r="867" spans="1:17" x14ac:dyDescent="0.2">
      <c r="A867" s="264" t="s">
        <v>626</v>
      </c>
      <c r="B867" s="202" t="s">
        <v>609</v>
      </c>
      <c r="C867" s="202" t="s">
        <v>531</v>
      </c>
      <c r="D867" s="202" t="s">
        <v>1330</v>
      </c>
      <c r="E867" s="202"/>
      <c r="F867" s="265">
        <v>0</v>
      </c>
      <c r="G867" s="265">
        <v>0</v>
      </c>
      <c r="H867" s="265">
        <f>H868</f>
        <v>0</v>
      </c>
      <c r="I867" s="265">
        <v>0</v>
      </c>
      <c r="J867" s="265">
        <f t="shared" si="321"/>
        <v>0</v>
      </c>
      <c r="K867" s="265">
        <f t="shared" si="322"/>
        <v>0</v>
      </c>
      <c r="L867" s="265">
        <v>19457.5</v>
      </c>
      <c r="M867" s="226">
        <v>0</v>
      </c>
      <c r="N867" s="265">
        <f>N868</f>
        <v>19457.5</v>
      </c>
      <c r="O867" s="226">
        <v>0</v>
      </c>
      <c r="P867" s="265">
        <f t="shared" si="323"/>
        <v>0</v>
      </c>
      <c r="Q867" s="271">
        <f t="shared" si="324"/>
        <v>0</v>
      </c>
    </row>
    <row r="868" spans="1:17" s="296" customFormat="1" ht="22.5" x14ac:dyDescent="0.2">
      <c r="A868" s="202" t="s">
        <v>1407</v>
      </c>
      <c r="B868" s="202" t="s">
        <v>609</v>
      </c>
      <c r="C868" s="202" t="s">
        <v>531</v>
      </c>
      <c r="D868" s="202" t="s">
        <v>1430</v>
      </c>
      <c r="E868" s="202"/>
      <c r="F868" s="265">
        <v>0</v>
      </c>
      <c r="G868" s="265">
        <v>0</v>
      </c>
      <c r="H868" s="265">
        <f t="shared" ref="H868:I869" si="333">H869</f>
        <v>0</v>
      </c>
      <c r="I868" s="265">
        <f t="shared" si="333"/>
        <v>0</v>
      </c>
      <c r="J868" s="265">
        <f t="shared" ref="J868:J870" si="334">H868-F868</f>
        <v>0</v>
      </c>
      <c r="K868" s="265">
        <f t="shared" ref="K868:K870" si="335">I868-G868</f>
        <v>0</v>
      </c>
      <c r="L868" s="265">
        <v>19457.5</v>
      </c>
      <c r="M868" s="226">
        <v>0</v>
      </c>
      <c r="N868" s="265">
        <f t="shared" ref="N868:O869" si="336">N869</f>
        <v>19457.5</v>
      </c>
      <c r="O868" s="226">
        <f t="shared" si="336"/>
        <v>0</v>
      </c>
      <c r="P868" s="281">
        <f t="shared" ref="P868:P870" si="337">N868-L868</f>
        <v>0</v>
      </c>
      <c r="Q868" s="271">
        <f t="shared" ref="Q868:Q870" si="338">O868-M868</f>
        <v>0</v>
      </c>
    </row>
    <row r="869" spans="1:17" s="296" customFormat="1" x14ac:dyDescent="0.2">
      <c r="A869" s="202" t="s">
        <v>547</v>
      </c>
      <c r="B869" s="202" t="s">
        <v>609</v>
      </c>
      <c r="C869" s="202" t="s">
        <v>531</v>
      </c>
      <c r="D869" s="202" t="s">
        <v>1430</v>
      </c>
      <c r="E869" s="202" t="s">
        <v>519</v>
      </c>
      <c r="F869" s="265">
        <v>0</v>
      </c>
      <c r="G869" s="265">
        <v>0</v>
      </c>
      <c r="H869" s="265">
        <f t="shared" si="333"/>
        <v>0</v>
      </c>
      <c r="I869" s="265">
        <f t="shared" si="333"/>
        <v>0</v>
      </c>
      <c r="J869" s="265">
        <f t="shared" si="334"/>
        <v>0</v>
      </c>
      <c r="K869" s="265">
        <f t="shared" si="335"/>
        <v>0</v>
      </c>
      <c r="L869" s="265">
        <v>19457.5</v>
      </c>
      <c r="M869" s="226">
        <v>0</v>
      </c>
      <c r="N869" s="265">
        <f t="shared" si="336"/>
        <v>19457.5</v>
      </c>
      <c r="O869" s="226">
        <f t="shared" si="336"/>
        <v>0</v>
      </c>
      <c r="P869" s="281">
        <f t="shared" si="337"/>
        <v>0</v>
      </c>
      <c r="Q869" s="271">
        <f t="shared" si="338"/>
        <v>0</v>
      </c>
    </row>
    <row r="870" spans="1:17" s="296" customFormat="1" x14ac:dyDescent="0.2">
      <c r="A870" s="202" t="s">
        <v>571</v>
      </c>
      <c r="B870" s="202" t="s">
        <v>609</v>
      </c>
      <c r="C870" s="202" t="s">
        <v>531</v>
      </c>
      <c r="D870" s="202" t="s">
        <v>1430</v>
      </c>
      <c r="E870" s="202" t="s">
        <v>522</v>
      </c>
      <c r="F870" s="265">
        <v>0</v>
      </c>
      <c r="G870" s="265">
        <v>0</v>
      </c>
      <c r="H870" s="265">
        <f>'Ведомственная 2021-2022'!H1105</f>
        <v>0</v>
      </c>
      <c r="I870" s="265">
        <v>0</v>
      </c>
      <c r="J870" s="265">
        <f t="shared" si="334"/>
        <v>0</v>
      </c>
      <c r="K870" s="265">
        <f t="shared" si="335"/>
        <v>0</v>
      </c>
      <c r="L870" s="265">
        <v>19457.5</v>
      </c>
      <c r="M870" s="226">
        <v>0</v>
      </c>
      <c r="N870" s="265">
        <f>'Ведомственная 2021-2022'!K1105</f>
        <v>19457.5</v>
      </c>
      <c r="O870" s="226">
        <v>0</v>
      </c>
      <c r="P870" s="281">
        <f t="shared" si="337"/>
        <v>0</v>
      </c>
      <c r="Q870" s="271">
        <f t="shared" si="338"/>
        <v>0</v>
      </c>
    </row>
    <row r="871" spans="1:17" x14ac:dyDescent="0.2">
      <c r="A871" s="264" t="s">
        <v>568</v>
      </c>
      <c r="B871" s="202" t="s">
        <v>609</v>
      </c>
      <c r="C871" s="202" t="s">
        <v>531</v>
      </c>
      <c r="D871" s="202" t="s">
        <v>567</v>
      </c>
      <c r="E871" s="202"/>
      <c r="F871" s="265">
        <v>665</v>
      </c>
      <c r="G871" s="265">
        <v>0</v>
      </c>
      <c r="H871" s="265">
        <v>665</v>
      </c>
      <c r="I871" s="265">
        <v>0</v>
      </c>
      <c r="J871" s="265">
        <f t="shared" si="321"/>
        <v>0</v>
      </c>
      <c r="K871" s="265">
        <f t="shared" si="322"/>
        <v>0</v>
      </c>
      <c r="L871" s="265">
        <v>665</v>
      </c>
      <c r="M871" s="226">
        <v>0</v>
      </c>
      <c r="N871" s="265">
        <v>665</v>
      </c>
      <c r="O871" s="226">
        <v>0</v>
      </c>
      <c r="P871" s="265">
        <f t="shared" si="323"/>
        <v>0</v>
      </c>
      <c r="Q871" s="271">
        <f t="shared" si="324"/>
        <v>0</v>
      </c>
    </row>
    <row r="872" spans="1:17" x14ac:dyDescent="0.2">
      <c r="A872" s="264" t="s">
        <v>675</v>
      </c>
      <c r="B872" s="202" t="s">
        <v>609</v>
      </c>
      <c r="C872" s="202" t="s">
        <v>531</v>
      </c>
      <c r="D872" s="202" t="s">
        <v>674</v>
      </c>
      <c r="E872" s="202"/>
      <c r="F872" s="265">
        <v>665</v>
      </c>
      <c r="G872" s="265">
        <v>0</v>
      </c>
      <c r="H872" s="265">
        <v>665</v>
      </c>
      <c r="I872" s="265">
        <v>0</v>
      </c>
      <c r="J872" s="265">
        <f t="shared" si="321"/>
        <v>0</v>
      </c>
      <c r="K872" s="265">
        <f t="shared" si="322"/>
        <v>0</v>
      </c>
      <c r="L872" s="265">
        <v>665</v>
      </c>
      <c r="M872" s="226">
        <v>0</v>
      </c>
      <c r="N872" s="265">
        <v>665</v>
      </c>
      <c r="O872" s="226">
        <v>0</v>
      </c>
      <c r="P872" s="265">
        <f t="shared" si="323"/>
        <v>0</v>
      </c>
      <c r="Q872" s="271">
        <f t="shared" si="324"/>
        <v>0</v>
      </c>
    </row>
    <row r="873" spans="1:17" ht="22.5" x14ac:dyDescent="0.2">
      <c r="A873" s="264" t="s">
        <v>673</v>
      </c>
      <c r="B873" s="202" t="s">
        <v>609</v>
      </c>
      <c r="C873" s="202" t="s">
        <v>531</v>
      </c>
      <c r="D873" s="202" t="s">
        <v>672</v>
      </c>
      <c r="E873" s="202"/>
      <c r="F873" s="265">
        <v>665</v>
      </c>
      <c r="G873" s="265">
        <v>0</v>
      </c>
      <c r="H873" s="265">
        <v>665</v>
      </c>
      <c r="I873" s="265">
        <v>0</v>
      </c>
      <c r="J873" s="265">
        <f t="shared" si="321"/>
        <v>0</v>
      </c>
      <c r="K873" s="265">
        <f t="shared" si="322"/>
        <v>0</v>
      </c>
      <c r="L873" s="265">
        <v>665</v>
      </c>
      <c r="M873" s="226">
        <v>0</v>
      </c>
      <c r="N873" s="265">
        <v>665</v>
      </c>
      <c r="O873" s="226">
        <v>0</v>
      </c>
      <c r="P873" s="265">
        <f t="shared" si="323"/>
        <v>0</v>
      </c>
      <c r="Q873" s="271">
        <f t="shared" si="324"/>
        <v>0</v>
      </c>
    </row>
    <row r="874" spans="1:17" x14ac:dyDescent="0.2">
      <c r="A874" s="264" t="s">
        <v>671</v>
      </c>
      <c r="B874" s="202" t="s">
        <v>609</v>
      </c>
      <c r="C874" s="202" t="s">
        <v>531</v>
      </c>
      <c r="D874" s="202" t="s">
        <v>669</v>
      </c>
      <c r="E874" s="202"/>
      <c r="F874" s="265">
        <v>665</v>
      </c>
      <c r="G874" s="265">
        <v>0</v>
      </c>
      <c r="H874" s="265">
        <v>665</v>
      </c>
      <c r="I874" s="265">
        <v>0</v>
      </c>
      <c r="J874" s="265">
        <f t="shared" si="321"/>
        <v>0</v>
      </c>
      <c r="K874" s="265">
        <f t="shared" si="322"/>
        <v>0</v>
      </c>
      <c r="L874" s="265">
        <v>665</v>
      </c>
      <c r="M874" s="226">
        <v>0</v>
      </c>
      <c r="N874" s="265">
        <v>665</v>
      </c>
      <c r="O874" s="226">
        <v>0</v>
      </c>
      <c r="P874" s="265">
        <f t="shared" si="323"/>
        <v>0</v>
      </c>
      <c r="Q874" s="271">
        <f t="shared" si="324"/>
        <v>0</v>
      </c>
    </row>
    <row r="875" spans="1:17" x14ac:dyDescent="0.2">
      <c r="A875" s="264" t="s">
        <v>547</v>
      </c>
      <c r="B875" s="202" t="s">
        <v>609</v>
      </c>
      <c r="C875" s="202" t="s">
        <v>531</v>
      </c>
      <c r="D875" s="202" t="s">
        <v>669</v>
      </c>
      <c r="E875" s="202" t="s">
        <v>519</v>
      </c>
      <c r="F875" s="265">
        <v>665</v>
      </c>
      <c r="G875" s="265">
        <v>0</v>
      </c>
      <c r="H875" s="265">
        <v>665</v>
      </c>
      <c r="I875" s="265">
        <v>0</v>
      </c>
      <c r="J875" s="265">
        <f t="shared" si="321"/>
        <v>0</v>
      </c>
      <c r="K875" s="265">
        <f t="shared" si="322"/>
        <v>0</v>
      </c>
      <c r="L875" s="265">
        <v>665</v>
      </c>
      <c r="M875" s="226">
        <v>0</v>
      </c>
      <c r="N875" s="265">
        <v>665</v>
      </c>
      <c r="O875" s="226">
        <v>0</v>
      </c>
      <c r="P875" s="265">
        <f t="shared" si="323"/>
        <v>0</v>
      </c>
      <c r="Q875" s="271">
        <f t="shared" si="324"/>
        <v>0</v>
      </c>
    </row>
    <row r="876" spans="1:17" x14ac:dyDescent="0.2">
      <c r="A876" s="264" t="s">
        <v>571</v>
      </c>
      <c r="B876" s="202" t="s">
        <v>609</v>
      </c>
      <c r="C876" s="202" t="s">
        <v>531</v>
      </c>
      <c r="D876" s="202" t="s">
        <v>669</v>
      </c>
      <c r="E876" s="202" t="s">
        <v>522</v>
      </c>
      <c r="F876" s="265">
        <v>665</v>
      </c>
      <c r="G876" s="265">
        <v>0</v>
      </c>
      <c r="H876" s="265">
        <v>665</v>
      </c>
      <c r="I876" s="265">
        <v>0</v>
      </c>
      <c r="J876" s="265">
        <f t="shared" si="321"/>
        <v>0</v>
      </c>
      <c r="K876" s="265">
        <f t="shared" si="322"/>
        <v>0</v>
      </c>
      <c r="L876" s="265">
        <v>665</v>
      </c>
      <c r="M876" s="226">
        <v>0</v>
      </c>
      <c r="N876" s="265">
        <v>665</v>
      </c>
      <c r="O876" s="226">
        <v>0</v>
      </c>
      <c r="P876" s="265">
        <f t="shared" si="323"/>
        <v>0</v>
      </c>
      <c r="Q876" s="271">
        <f t="shared" si="324"/>
        <v>0</v>
      </c>
    </row>
    <row r="877" spans="1:17" x14ac:dyDescent="0.2">
      <c r="A877" s="264" t="s">
        <v>894</v>
      </c>
      <c r="B877" s="202" t="s">
        <v>609</v>
      </c>
      <c r="C877" s="202" t="s">
        <v>512</v>
      </c>
      <c r="D877" s="202"/>
      <c r="E877" s="202"/>
      <c r="F877" s="265">
        <v>285</v>
      </c>
      <c r="G877" s="265">
        <v>0</v>
      </c>
      <c r="H877" s="265">
        <v>285</v>
      </c>
      <c r="I877" s="265">
        <v>0</v>
      </c>
      <c r="J877" s="265">
        <f t="shared" si="321"/>
        <v>0</v>
      </c>
      <c r="K877" s="265">
        <f t="shared" si="322"/>
        <v>0</v>
      </c>
      <c r="L877" s="265">
        <v>285</v>
      </c>
      <c r="M877" s="226">
        <v>0</v>
      </c>
      <c r="N877" s="265">
        <v>285</v>
      </c>
      <c r="O877" s="226">
        <v>0</v>
      </c>
      <c r="P877" s="265">
        <f t="shared" si="323"/>
        <v>0</v>
      </c>
      <c r="Q877" s="271">
        <f t="shared" si="324"/>
        <v>0</v>
      </c>
    </row>
    <row r="878" spans="1:17" x14ac:dyDescent="0.2">
      <c r="A878" s="264" t="s">
        <v>604</v>
      </c>
      <c r="B878" s="202" t="s">
        <v>609</v>
      </c>
      <c r="C878" s="202" t="s">
        <v>512</v>
      </c>
      <c r="D878" s="202" t="s">
        <v>603</v>
      </c>
      <c r="E878" s="202"/>
      <c r="F878" s="265">
        <v>285</v>
      </c>
      <c r="G878" s="265">
        <v>0</v>
      </c>
      <c r="H878" s="265">
        <v>285</v>
      </c>
      <c r="I878" s="265">
        <v>0</v>
      </c>
      <c r="J878" s="265">
        <f t="shared" si="321"/>
        <v>0</v>
      </c>
      <c r="K878" s="265">
        <f t="shared" si="322"/>
        <v>0</v>
      </c>
      <c r="L878" s="265">
        <v>285</v>
      </c>
      <c r="M878" s="226">
        <v>0</v>
      </c>
      <c r="N878" s="265">
        <v>285</v>
      </c>
      <c r="O878" s="226">
        <v>0</v>
      </c>
      <c r="P878" s="265">
        <f t="shared" si="323"/>
        <v>0</v>
      </c>
      <c r="Q878" s="271">
        <f t="shared" si="324"/>
        <v>0</v>
      </c>
    </row>
    <row r="879" spans="1:17" x14ac:dyDescent="0.2">
      <c r="A879" s="264" t="s">
        <v>893</v>
      </c>
      <c r="B879" s="202" t="s">
        <v>609</v>
      </c>
      <c r="C879" s="202" t="s">
        <v>512</v>
      </c>
      <c r="D879" s="202" t="s">
        <v>892</v>
      </c>
      <c r="E879" s="202"/>
      <c r="F879" s="265">
        <v>285</v>
      </c>
      <c r="G879" s="265">
        <v>0</v>
      </c>
      <c r="H879" s="265">
        <v>285</v>
      </c>
      <c r="I879" s="265">
        <v>0</v>
      </c>
      <c r="J879" s="265">
        <f t="shared" si="321"/>
        <v>0</v>
      </c>
      <c r="K879" s="265">
        <f t="shared" si="322"/>
        <v>0</v>
      </c>
      <c r="L879" s="265">
        <v>285</v>
      </c>
      <c r="M879" s="226">
        <v>0</v>
      </c>
      <c r="N879" s="265">
        <v>285</v>
      </c>
      <c r="O879" s="226">
        <v>0</v>
      </c>
      <c r="P879" s="265">
        <f t="shared" si="323"/>
        <v>0</v>
      </c>
      <c r="Q879" s="271">
        <f t="shared" si="324"/>
        <v>0</v>
      </c>
    </row>
    <row r="880" spans="1:17" ht="22.5" x14ac:dyDescent="0.2">
      <c r="A880" s="264" t="s">
        <v>891</v>
      </c>
      <c r="B880" s="202" t="s">
        <v>609</v>
      </c>
      <c r="C880" s="202" t="s">
        <v>512</v>
      </c>
      <c r="D880" s="202" t="s">
        <v>890</v>
      </c>
      <c r="E880" s="202"/>
      <c r="F880" s="265">
        <v>285</v>
      </c>
      <c r="G880" s="265">
        <v>0</v>
      </c>
      <c r="H880" s="265">
        <v>285</v>
      </c>
      <c r="I880" s="265">
        <v>0</v>
      </c>
      <c r="J880" s="265">
        <f t="shared" si="321"/>
        <v>0</v>
      </c>
      <c r="K880" s="265">
        <f t="shared" si="322"/>
        <v>0</v>
      </c>
      <c r="L880" s="265">
        <v>285</v>
      </c>
      <c r="M880" s="226">
        <v>0</v>
      </c>
      <c r="N880" s="265">
        <v>285</v>
      </c>
      <c r="O880" s="226">
        <v>0</v>
      </c>
      <c r="P880" s="265">
        <f t="shared" si="323"/>
        <v>0</v>
      </c>
      <c r="Q880" s="271">
        <f t="shared" si="324"/>
        <v>0</v>
      </c>
    </row>
    <row r="881" spans="1:17" ht="56.25" x14ac:dyDescent="0.2">
      <c r="A881" s="264" t="s">
        <v>889</v>
      </c>
      <c r="B881" s="202" t="s">
        <v>609</v>
      </c>
      <c r="C881" s="202" t="s">
        <v>512</v>
      </c>
      <c r="D881" s="202" t="s">
        <v>888</v>
      </c>
      <c r="E881" s="202"/>
      <c r="F881" s="265">
        <v>285</v>
      </c>
      <c r="G881" s="265">
        <v>0</v>
      </c>
      <c r="H881" s="265">
        <v>285</v>
      </c>
      <c r="I881" s="265">
        <v>0</v>
      </c>
      <c r="J881" s="265">
        <f t="shared" si="321"/>
        <v>0</v>
      </c>
      <c r="K881" s="265">
        <f t="shared" si="322"/>
        <v>0</v>
      </c>
      <c r="L881" s="265">
        <v>285</v>
      </c>
      <c r="M881" s="226">
        <v>0</v>
      </c>
      <c r="N881" s="265">
        <v>285</v>
      </c>
      <c r="O881" s="226">
        <v>0</v>
      </c>
      <c r="P881" s="265">
        <f t="shared" si="323"/>
        <v>0</v>
      </c>
      <c r="Q881" s="271">
        <f t="shared" si="324"/>
        <v>0</v>
      </c>
    </row>
    <row r="882" spans="1:17" x14ac:dyDescent="0.2">
      <c r="A882" s="264" t="s">
        <v>1347</v>
      </c>
      <c r="B882" s="202" t="s">
        <v>609</v>
      </c>
      <c r="C882" s="202" t="s">
        <v>512</v>
      </c>
      <c r="D882" s="202" t="s">
        <v>888</v>
      </c>
      <c r="E882" s="202" t="s">
        <v>535</v>
      </c>
      <c r="F882" s="265">
        <v>285</v>
      </c>
      <c r="G882" s="265">
        <v>0</v>
      </c>
      <c r="H882" s="265">
        <v>285</v>
      </c>
      <c r="I882" s="265">
        <v>0</v>
      </c>
      <c r="J882" s="265">
        <f t="shared" si="321"/>
        <v>0</v>
      </c>
      <c r="K882" s="265">
        <f t="shared" si="322"/>
        <v>0</v>
      </c>
      <c r="L882" s="265">
        <v>285</v>
      </c>
      <c r="M882" s="226">
        <v>0</v>
      </c>
      <c r="N882" s="265">
        <v>285</v>
      </c>
      <c r="O882" s="226">
        <v>0</v>
      </c>
      <c r="P882" s="265">
        <f t="shared" si="323"/>
        <v>0</v>
      </c>
      <c r="Q882" s="271">
        <f t="shared" si="324"/>
        <v>0</v>
      </c>
    </row>
    <row r="883" spans="1:17" x14ac:dyDescent="0.2">
      <c r="A883" s="264" t="s">
        <v>534</v>
      </c>
      <c r="B883" s="202" t="s">
        <v>609</v>
      </c>
      <c r="C883" s="202" t="s">
        <v>512</v>
      </c>
      <c r="D883" s="202" t="s">
        <v>888</v>
      </c>
      <c r="E883" s="202" t="s">
        <v>529</v>
      </c>
      <c r="F883" s="265">
        <v>285</v>
      </c>
      <c r="G883" s="265">
        <v>0</v>
      </c>
      <c r="H883" s="265">
        <v>285</v>
      </c>
      <c r="I883" s="265">
        <v>0</v>
      </c>
      <c r="J883" s="265">
        <f t="shared" si="321"/>
        <v>0</v>
      </c>
      <c r="K883" s="265">
        <f t="shared" si="322"/>
        <v>0</v>
      </c>
      <c r="L883" s="265">
        <v>285</v>
      </c>
      <c r="M883" s="226">
        <v>0</v>
      </c>
      <c r="N883" s="265">
        <v>285</v>
      </c>
      <c r="O883" s="226">
        <v>0</v>
      </c>
      <c r="P883" s="265">
        <f t="shared" si="323"/>
        <v>0</v>
      </c>
      <c r="Q883" s="271">
        <f t="shared" si="324"/>
        <v>0</v>
      </c>
    </row>
    <row r="884" spans="1:17" x14ac:dyDescent="0.2">
      <c r="A884" s="264" t="s">
        <v>1356</v>
      </c>
      <c r="B884" s="202" t="s">
        <v>609</v>
      </c>
      <c r="C884" s="202" t="s">
        <v>609</v>
      </c>
      <c r="D884" s="202"/>
      <c r="E884" s="202"/>
      <c r="F884" s="265">
        <v>72187.7</v>
      </c>
      <c r="G884" s="265">
        <v>0</v>
      </c>
      <c r="H884" s="265">
        <v>72187.7</v>
      </c>
      <c r="I884" s="265">
        <v>0</v>
      </c>
      <c r="J884" s="265">
        <f t="shared" si="321"/>
        <v>0</v>
      </c>
      <c r="K884" s="265">
        <f t="shared" si="322"/>
        <v>0</v>
      </c>
      <c r="L884" s="265">
        <v>72187.7</v>
      </c>
      <c r="M884" s="226">
        <v>0</v>
      </c>
      <c r="N884" s="265">
        <v>72187.7</v>
      </c>
      <c r="O884" s="226">
        <v>0</v>
      </c>
      <c r="P884" s="265">
        <f t="shared" si="323"/>
        <v>0</v>
      </c>
      <c r="Q884" s="271">
        <f t="shared" si="324"/>
        <v>0</v>
      </c>
    </row>
    <row r="885" spans="1:17" x14ac:dyDescent="0.2">
      <c r="A885" s="264" t="s">
        <v>568</v>
      </c>
      <c r="B885" s="202" t="s">
        <v>609</v>
      </c>
      <c r="C885" s="202" t="s">
        <v>609</v>
      </c>
      <c r="D885" s="202" t="s">
        <v>567</v>
      </c>
      <c r="E885" s="202"/>
      <c r="F885" s="265">
        <v>60</v>
      </c>
      <c r="G885" s="265">
        <v>0</v>
      </c>
      <c r="H885" s="265">
        <v>60</v>
      </c>
      <c r="I885" s="265">
        <v>0</v>
      </c>
      <c r="J885" s="265">
        <f t="shared" si="321"/>
        <v>0</v>
      </c>
      <c r="K885" s="265">
        <f t="shared" si="322"/>
        <v>0</v>
      </c>
      <c r="L885" s="265">
        <v>60</v>
      </c>
      <c r="M885" s="226">
        <v>0</v>
      </c>
      <c r="N885" s="265">
        <v>60</v>
      </c>
      <c r="O885" s="226">
        <v>0</v>
      </c>
      <c r="P885" s="265">
        <f t="shared" si="323"/>
        <v>0</v>
      </c>
      <c r="Q885" s="271">
        <f t="shared" si="324"/>
        <v>0</v>
      </c>
    </row>
    <row r="886" spans="1:17" x14ac:dyDescent="0.2">
      <c r="A886" s="264" t="s">
        <v>566</v>
      </c>
      <c r="B886" s="202" t="s">
        <v>609</v>
      </c>
      <c r="C886" s="202" t="s">
        <v>609</v>
      </c>
      <c r="D886" s="202" t="s">
        <v>565</v>
      </c>
      <c r="E886" s="202"/>
      <c r="F886" s="265">
        <v>60</v>
      </c>
      <c r="G886" s="265">
        <v>0</v>
      </c>
      <c r="H886" s="265">
        <v>60</v>
      </c>
      <c r="I886" s="265">
        <v>0</v>
      </c>
      <c r="J886" s="265">
        <f t="shared" si="321"/>
        <v>0</v>
      </c>
      <c r="K886" s="265">
        <f t="shared" si="322"/>
        <v>0</v>
      </c>
      <c r="L886" s="265">
        <v>60</v>
      </c>
      <c r="M886" s="226">
        <v>0</v>
      </c>
      <c r="N886" s="265">
        <v>60</v>
      </c>
      <c r="O886" s="226">
        <v>0</v>
      </c>
      <c r="P886" s="265">
        <f t="shared" si="323"/>
        <v>0</v>
      </c>
      <c r="Q886" s="271">
        <f t="shared" si="324"/>
        <v>0</v>
      </c>
    </row>
    <row r="887" spans="1:17" ht="22.5" x14ac:dyDescent="0.2">
      <c r="A887" s="202" t="s">
        <v>1387</v>
      </c>
      <c r="B887" s="202" t="s">
        <v>609</v>
      </c>
      <c r="C887" s="202" t="s">
        <v>609</v>
      </c>
      <c r="D887" s="202" t="s">
        <v>578</v>
      </c>
      <c r="E887" s="202"/>
      <c r="F887" s="265">
        <v>60</v>
      </c>
      <c r="G887" s="265">
        <v>0</v>
      </c>
      <c r="H887" s="265">
        <v>60</v>
      </c>
      <c r="I887" s="265">
        <v>0</v>
      </c>
      <c r="J887" s="265">
        <f t="shared" si="321"/>
        <v>0</v>
      </c>
      <c r="K887" s="265">
        <f t="shared" si="322"/>
        <v>0</v>
      </c>
      <c r="L887" s="265">
        <v>60</v>
      </c>
      <c r="M887" s="226">
        <v>0</v>
      </c>
      <c r="N887" s="265">
        <v>60</v>
      </c>
      <c r="O887" s="226">
        <v>0</v>
      </c>
      <c r="P887" s="265">
        <f t="shared" si="323"/>
        <v>0</v>
      </c>
      <c r="Q887" s="271">
        <f t="shared" si="324"/>
        <v>0</v>
      </c>
    </row>
    <row r="888" spans="1:17" ht="33.75" x14ac:dyDescent="0.2">
      <c r="A888" s="202" t="s">
        <v>1388</v>
      </c>
      <c r="B888" s="202" t="s">
        <v>609</v>
      </c>
      <c r="C888" s="202" t="s">
        <v>609</v>
      </c>
      <c r="D888" s="202" t="s">
        <v>577</v>
      </c>
      <c r="E888" s="202"/>
      <c r="F888" s="265">
        <v>60</v>
      </c>
      <c r="G888" s="265">
        <v>0</v>
      </c>
      <c r="H888" s="265">
        <v>60</v>
      </c>
      <c r="I888" s="265">
        <v>0</v>
      </c>
      <c r="J888" s="265">
        <f t="shared" si="321"/>
        <v>0</v>
      </c>
      <c r="K888" s="265">
        <f t="shared" si="322"/>
        <v>0</v>
      </c>
      <c r="L888" s="265">
        <v>60</v>
      </c>
      <c r="M888" s="226">
        <v>0</v>
      </c>
      <c r="N888" s="265">
        <v>60</v>
      </c>
      <c r="O888" s="226">
        <v>0</v>
      </c>
      <c r="P888" s="265">
        <f t="shared" si="323"/>
        <v>0</v>
      </c>
      <c r="Q888" s="271">
        <f t="shared" si="324"/>
        <v>0</v>
      </c>
    </row>
    <row r="889" spans="1:17" x14ac:dyDescent="0.2">
      <c r="A889" s="264" t="s">
        <v>547</v>
      </c>
      <c r="B889" s="202" t="s">
        <v>609</v>
      </c>
      <c r="C889" s="202" t="s">
        <v>609</v>
      </c>
      <c r="D889" s="202" t="s">
        <v>577</v>
      </c>
      <c r="E889" s="202" t="s">
        <v>519</v>
      </c>
      <c r="F889" s="265">
        <v>60</v>
      </c>
      <c r="G889" s="265">
        <v>0</v>
      </c>
      <c r="H889" s="265">
        <v>60</v>
      </c>
      <c r="I889" s="265">
        <v>0</v>
      </c>
      <c r="J889" s="265">
        <f t="shared" si="321"/>
        <v>0</v>
      </c>
      <c r="K889" s="265">
        <f t="shared" si="322"/>
        <v>0</v>
      </c>
      <c r="L889" s="265">
        <v>60</v>
      </c>
      <c r="M889" s="226">
        <v>0</v>
      </c>
      <c r="N889" s="265">
        <v>60</v>
      </c>
      <c r="O889" s="226">
        <v>0</v>
      </c>
      <c r="P889" s="265">
        <f t="shared" si="323"/>
        <v>0</v>
      </c>
      <c r="Q889" s="271">
        <f t="shared" si="324"/>
        <v>0</v>
      </c>
    </row>
    <row r="890" spans="1:17" x14ac:dyDescent="0.2">
      <c r="A890" s="264" t="s">
        <v>571</v>
      </c>
      <c r="B890" s="202" t="s">
        <v>609</v>
      </c>
      <c r="C890" s="202" t="s">
        <v>609</v>
      </c>
      <c r="D890" s="202" t="s">
        <v>577</v>
      </c>
      <c r="E890" s="202" t="s">
        <v>522</v>
      </c>
      <c r="F890" s="265">
        <v>60</v>
      </c>
      <c r="G890" s="265">
        <v>0</v>
      </c>
      <c r="H890" s="265">
        <v>60</v>
      </c>
      <c r="I890" s="265">
        <v>0</v>
      </c>
      <c r="J890" s="265">
        <f t="shared" si="321"/>
        <v>0</v>
      </c>
      <c r="K890" s="265">
        <f t="shared" si="322"/>
        <v>0</v>
      </c>
      <c r="L890" s="265">
        <v>60</v>
      </c>
      <c r="M890" s="226">
        <v>0</v>
      </c>
      <c r="N890" s="265">
        <v>60</v>
      </c>
      <c r="O890" s="226">
        <v>0</v>
      </c>
      <c r="P890" s="265">
        <f t="shared" si="323"/>
        <v>0</v>
      </c>
      <c r="Q890" s="271">
        <f t="shared" si="324"/>
        <v>0</v>
      </c>
    </row>
    <row r="891" spans="1:17" ht="22.5" x14ac:dyDescent="0.2">
      <c r="A891" s="264" t="s">
        <v>588</v>
      </c>
      <c r="B891" s="202" t="s">
        <v>609</v>
      </c>
      <c r="C891" s="202" t="s">
        <v>609</v>
      </c>
      <c r="D891" s="202" t="s">
        <v>587</v>
      </c>
      <c r="E891" s="202"/>
      <c r="F891" s="265">
        <v>72127.7</v>
      </c>
      <c r="G891" s="265">
        <v>0</v>
      </c>
      <c r="H891" s="265">
        <v>72127.7</v>
      </c>
      <c r="I891" s="265">
        <v>0</v>
      </c>
      <c r="J891" s="265">
        <f t="shared" si="321"/>
        <v>0</v>
      </c>
      <c r="K891" s="265">
        <f t="shared" si="322"/>
        <v>0</v>
      </c>
      <c r="L891" s="265">
        <v>72127.7</v>
      </c>
      <c r="M891" s="226">
        <v>0</v>
      </c>
      <c r="N891" s="265">
        <v>72127.7</v>
      </c>
      <c r="O891" s="226">
        <v>0</v>
      </c>
      <c r="P891" s="265">
        <f t="shared" si="323"/>
        <v>0</v>
      </c>
      <c r="Q891" s="271">
        <f t="shared" si="324"/>
        <v>0</v>
      </c>
    </row>
    <row r="892" spans="1:17" x14ac:dyDescent="0.2">
      <c r="A892" s="264" t="s">
        <v>586</v>
      </c>
      <c r="B892" s="202" t="s">
        <v>609</v>
      </c>
      <c r="C892" s="202" t="s">
        <v>609</v>
      </c>
      <c r="D892" s="202" t="s">
        <v>585</v>
      </c>
      <c r="E892" s="202"/>
      <c r="F892" s="265">
        <v>72127.7</v>
      </c>
      <c r="G892" s="265">
        <v>0</v>
      </c>
      <c r="H892" s="265">
        <v>72127.7</v>
      </c>
      <c r="I892" s="265">
        <v>0</v>
      </c>
      <c r="J892" s="265">
        <f t="shared" si="321"/>
        <v>0</v>
      </c>
      <c r="K892" s="265">
        <f t="shared" si="322"/>
        <v>0</v>
      </c>
      <c r="L892" s="265">
        <v>72127.7</v>
      </c>
      <c r="M892" s="226">
        <v>0</v>
      </c>
      <c r="N892" s="265">
        <v>72127.7</v>
      </c>
      <c r="O892" s="226">
        <v>0</v>
      </c>
      <c r="P892" s="265">
        <f t="shared" si="323"/>
        <v>0</v>
      </c>
      <c r="Q892" s="271">
        <f t="shared" si="324"/>
        <v>0</v>
      </c>
    </row>
    <row r="893" spans="1:17" ht="33.75" x14ac:dyDescent="0.2">
      <c r="A893" s="264" t="s">
        <v>584</v>
      </c>
      <c r="B893" s="202" t="s">
        <v>609</v>
      </c>
      <c r="C893" s="202" t="s">
        <v>609</v>
      </c>
      <c r="D893" s="202" t="s">
        <v>583</v>
      </c>
      <c r="E893" s="202"/>
      <c r="F893" s="265">
        <v>72127.7</v>
      </c>
      <c r="G893" s="265">
        <v>0</v>
      </c>
      <c r="H893" s="265">
        <v>72127.7</v>
      </c>
      <c r="I893" s="265">
        <v>0</v>
      </c>
      <c r="J893" s="265">
        <f t="shared" si="321"/>
        <v>0</v>
      </c>
      <c r="K893" s="265">
        <f t="shared" si="322"/>
        <v>0</v>
      </c>
      <c r="L893" s="265">
        <v>72127.7</v>
      </c>
      <c r="M893" s="226">
        <v>0</v>
      </c>
      <c r="N893" s="265">
        <v>72127.7</v>
      </c>
      <c r="O893" s="226">
        <v>0</v>
      </c>
      <c r="P893" s="265">
        <f t="shared" si="323"/>
        <v>0</v>
      </c>
      <c r="Q893" s="271">
        <f t="shared" si="324"/>
        <v>0</v>
      </c>
    </row>
    <row r="894" spans="1:17" x14ac:dyDescent="0.2">
      <c r="A894" s="264" t="s">
        <v>582</v>
      </c>
      <c r="B894" s="202" t="s">
        <v>609</v>
      </c>
      <c r="C894" s="202" t="s">
        <v>609</v>
      </c>
      <c r="D894" s="202" t="s">
        <v>581</v>
      </c>
      <c r="E894" s="202"/>
      <c r="F894" s="265">
        <v>2172.9</v>
      </c>
      <c r="G894" s="265">
        <v>0</v>
      </c>
      <c r="H894" s="265">
        <v>2172.9</v>
      </c>
      <c r="I894" s="265">
        <v>0</v>
      </c>
      <c r="J894" s="265">
        <f t="shared" si="321"/>
        <v>0</v>
      </c>
      <c r="K894" s="265">
        <f t="shared" si="322"/>
        <v>0</v>
      </c>
      <c r="L894" s="265">
        <v>2172.9</v>
      </c>
      <c r="M894" s="226">
        <v>0</v>
      </c>
      <c r="N894" s="265">
        <v>2172.9</v>
      </c>
      <c r="O894" s="226">
        <v>0</v>
      </c>
      <c r="P894" s="265">
        <f t="shared" si="323"/>
        <v>0</v>
      </c>
      <c r="Q894" s="271">
        <f t="shared" si="324"/>
        <v>0</v>
      </c>
    </row>
    <row r="895" spans="1:17" x14ac:dyDescent="0.2">
      <c r="A895" s="264" t="s">
        <v>1347</v>
      </c>
      <c r="B895" s="202" t="s">
        <v>609</v>
      </c>
      <c r="C895" s="202" t="s">
        <v>609</v>
      </c>
      <c r="D895" s="202" t="s">
        <v>581</v>
      </c>
      <c r="E895" s="202" t="s">
        <v>535</v>
      </c>
      <c r="F895" s="265">
        <v>1592.9</v>
      </c>
      <c r="G895" s="265">
        <v>0</v>
      </c>
      <c r="H895" s="265">
        <v>1592.9</v>
      </c>
      <c r="I895" s="265">
        <v>0</v>
      </c>
      <c r="J895" s="265">
        <f t="shared" si="321"/>
        <v>0</v>
      </c>
      <c r="K895" s="265">
        <f t="shared" si="322"/>
        <v>0</v>
      </c>
      <c r="L895" s="265">
        <v>1592.9</v>
      </c>
      <c r="M895" s="226">
        <v>0</v>
      </c>
      <c r="N895" s="265">
        <v>1592.9</v>
      </c>
      <c r="O895" s="226">
        <v>0</v>
      </c>
      <c r="P895" s="265">
        <f t="shared" si="323"/>
        <v>0</v>
      </c>
      <c r="Q895" s="271">
        <f t="shared" si="324"/>
        <v>0</v>
      </c>
    </row>
    <row r="896" spans="1:17" x14ac:dyDescent="0.2">
      <c r="A896" s="264" t="s">
        <v>534</v>
      </c>
      <c r="B896" s="202" t="s">
        <v>609</v>
      </c>
      <c r="C896" s="202" t="s">
        <v>609</v>
      </c>
      <c r="D896" s="202" t="s">
        <v>581</v>
      </c>
      <c r="E896" s="202" t="s">
        <v>529</v>
      </c>
      <c r="F896" s="265">
        <v>1592.9</v>
      </c>
      <c r="G896" s="265">
        <v>0</v>
      </c>
      <c r="H896" s="265">
        <v>1592.9</v>
      </c>
      <c r="I896" s="265">
        <v>0</v>
      </c>
      <c r="J896" s="265">
        <f t="shared" si="321"/>
        <v>0</v>
      </c>
      <c r="K896" s="265">
        <f t="shared" si="322"/>
        <v>0</v>
      </c>
      <c r="L896" s="265">
        <v>1592.9</v>
      </c>
      <c r="M896" s="226">
        <v>0</v>
      </c>
      <c r="N896" s="265">
        <v>1592.9</v>
      </c>
      <c r="O896" s="226">
        <v>0</v>
      </c>
      <c r="P896" s="265">
        <f t="shared" si="323"/>
        <v>0</v>
      </c>
      <c r="Q896" s="271">
        <f t="shared" si="324"/>
        <v>0</v>
      </c>
    </row>
    <row r="897" spans="1:17" x14ac:dyDescent="0.2">
      <c r="A897" s="264" t="s">
        <v>547</v>
      </c>
      <c r="B897" s="202" t="s">
        <v>609</v>
      </c>
      <c r="C897" s="202" t="s">
        <v>609</v>
      </c>
      <c r="D897" s="202" t="s">
        <v>581</v>
      </c>
      <c r="E897" s="202" t="s">
        <v>519</v>
      </c>
      <c r="F897" s="265">
        <v>580</v>
      </c>
      <c r="G897" s="265">
        <v>0</v>
      </c>
      <c r="H897" s="265">
        <v>580</v>
      </c>
      <c r="I897" s="265">
        <v>0</v>
      </c>
      <c r="J897" s="265">
        <f t="shared" si="321"/>
        <v>0</v>
      </c>
      <c r="K897" s="265">
        <f t="shared" si="322"/>
        <v>0</v>
      </c>
      <c r="L897" s="265">
        <v>580</v>
      </c>
      <c r="M897" s="226">
        <v>0</v>
      </c>
      <c r="N897" s="265">
        <v>580</v>
      </c>
      <c r="O897" s="226">
        <v>0</v>
      </c>
      <c r="P897" s="265">
        <f t="shared" si="323"/>
        <v>0</v>
      </c>
      <c r="Q897" s="271">
        <f t="shared" si="324"/>
        <v>0</v>
      </c>
    </row>
    <row r="898" spans="1:17" x14ac:dyDescent="0.2">
      <c r="A898" s="264" t="s">
        <v>571</v>
      </c>
      <c r="B898" s="202" t="s">
        <v>609</v>
      </c>
      <c r="C898" s="202" t="s">
        <v>609</v>
      </c>
      <c r="D898" s="202" t="s">
        <v>581</v>
      </c>
      <c r="E898" s="202" t="s">
        <v>522</v>
      </c>
      <c r="F898" s="265">
        <v>500</v>
      </c>
      <c r="G898" s="265">
        <v>0</v>
      </c>
      <c r="H898" s="265">
        <v>500</v>
      </c>
      <c r="I898" s="265">
        <v>0</v>
      </c>
      <c r="J898" s="265">
        <f t="shared" si="321"/>
        <v>0</v>
      </c>
      <c r="K898" s="265">
        <f t="shared" si="322"/>
        <v>0</v>
      </c>
      <c r="L898" s="265">
        <v>500</v>
      </c>
      <c r="M898" s="226">
        <v>0</v>
      </c>
      <c r="N898" s="265">
        <v>500</v>
      </c>
      <c r="O898" s="226">
        <v>0</v>
      </c>
      <c r="P898" s="265">
        <f t="shared" si="323"/>
        <v>0</v>
      </c>
      <c r="Q898" s="271">
        <f t="shared" si="324"/>
        <v>0</v>
      </c>
    </row>
    <row r="899" spans="1:17" x14ac:dyDescent="0.2">
      <c r="A899" s="264" t="s">
        <v>546</v>
      </c>
      <c r="B899" s="202" t="s">
        <v>609</v>
      </c>
      <c r="C899" s="202" t="s">
        <v>609</v>
      </c>
      <c r="D899" s="202" t="s">
        <v>581</v>
      </c>
      <c r="E899" s="202" t="s">
        <v>544</v>
      </c>
      <c r="F899" s="265">
        <v>80</v>
      </c>
      <c r="G899" s="265">
        <v>0</v>
      </c>
      <c r="H899" s="265">
        <v>80</v>
      </c>
      <c r="I899" s="265">
        <v>0</v>
      </c>
      <c r="J899" s="265">
        <f t="shared" si="321"/>
        <v>0</v>
      </c>
      <c r="K899" s="265">
        <f t="shared" si="322"/>
        <v>0</v>
      </c>
      <c r="L899" s="265">
        <v>80</v>
      </c>
      <c r="M899" s="226">
        <v>0</v>
      </c>
      <c r="N899" s="265">
        <v>80</v>
      </c>
      <c r="O899" s="226">
        <v>0</v>
      </c>
      <c r="P899" s="265">
        <f t="shared" si="323"/>
        <v>0</v>
      </c>
      <c r="Q899" s="271">
        <f t="shared" si="324"/>
        <v>0</v>
      </c>
    </row>
    <row r="900" spans="1:17" ht="22.5" x14ac:dyDescent="0.2">
      <c r="A900" s="264" t="s">
        <v>887</v>
      </c>
      <c r="B900" s="202" t="s">
        <v>609</v>
      </c>
      <c r="C900" s="202" t="s">
        <v>609</v>
      </c>
      <c r="D900" s="202" t="s">
        <v>886</v>
      </c>
      <c r="E900" s="202"/>
      <c r="F900" s="265">
        <v>950</v>
      </c>
      <c r="G900" s="265">
        <v>0</v>
      </c>
      <c r="H900" s="265">
        <v>950</v>
      </c>
      <c r="I900" s="265">
        <v>0</v>
      </c>
      <c r="J900" s="265">
        <f t="shared" si="321"/>
        <v>0</v>
      </c>
      <c r="K900" s="265">
        <f t="shared" si="322"/>
        <v>0</v>
      </c>
      <c r="L900" s="265">
        <v>950</v>
      </c>
      <c r="M900" s="226">
        <v>0</v>
      </c>
      <c r="N900" s="265">
        <v>950</v>
      </c>
      <c r="O900" s="226">
        <v>0</v>
      </c>
      <c r="P900" s="265">
        <f t="shared" si="323"/>
        <v>0</v>
      </c>
      <c r="Q900" s="271">
        <f t="shared" si="324"/>
        <v>0</v>
      </c>
    </row>
    <row r="901" spans="1:17" x14ac:dyDescent="0.2">
      <c r="A901" s="264" t="s">
        <v>1347</v>
      </c>
      <c r="B901" s="202" t="s">
        <v>609</v>
      </c>
      <c r="C901" s="202" t="s">
        <v>609</v>
      </c>
      <c r="D901" s="202" t="s">
        <v>886</v>
      </c>
      <c r="E901" s="202" t="s">
        <v>535</v>
      </c>
      <c r="F901" s="265">
        <v>950</v>
      </c>
      <c r="G901" s="265">
        <v>0</v>
      </c>
      <c r="H901" s="265">
        <v>950</v>
      </c>
      <c r="I901" s="265">
        <v>0</v>
      </c>
      <c r="J901" s="265">
        <f t="shared" si="321"/>
        <v>0</v>
      </c>
      <c r="K901" s="265">
        <f t="shared" si="322"/>
        <v>0</v>
      </c>
      <c r="L901" s="265">
        <v>950</v>
      </c>
      <c r="M901" s="226">
        <v>0</v>
      </c>
      <c r="N901" s="265">
        <v>950</v>
      </c>
      <c r="O901" s="226">
        <v>0</v>
      </c>
      <c r="P901" s="265">
        <f t="shared" si="323"/>
        <v>0</v>
      </c>
      <c r="Q901" s="271">
        <f t="shared" si="324"/>
        <v>0</v>
      </c>
    </row>
    <row r="902" spans="1:17" x14ac:dyDescent="0.2">
      <c r="A902" s="264" t="s">
        <v>534</v>
      </c>
      <c r="B902" s="202" t="s">
        <v>609</v>
      </c>
      <c r="C902" s="202" t="s">
        <v>609</v>
      </c>
      <c r="D902" s="202" t="s">
        <v>886</v>
      </c>
      <c r="E902" s="202" t="s">
        <v>529</v>
      </c>
      <c r="F902" s="265">
        <v>950</v>
      </c>
      <c r="G902" s="265">
        <v>0</v>
      </c>
      <c r="H902" s="265">
        <v>950</v>
      </c>
      <c r="I902" s="265">
        <v>0</v>
      </c>
      <c r="J902" s="265">
        <f t="shared" si="321"/>
        <v>0</v>
      </c>
      <c r="K902" s="265">
        <f t="shared" si="322"/>
        <v>0</v>
      </c>
      <c r="L902" s="265">
        <v>950</v>
      </c>
      <c r="M902" s="226">
        <v>0</v>
      </c>
      <c r="N902" s="265">
        <v>950</v>
      </c>
      <c r="O902" s="226">
        <v>0</v>
      </c>
      <c r="P902" s="265">
        <f t="shared" si="323"/>
        <v>0</v>
      </c>
      <c r="Q902" s="271">
        <f t="shared" si="324"/>
        <v>0</v>
      </c>
    </row>
    <row r="903" spans="1:17" ht="22.5" x14ac:dyDescent="0.2">
      <c r="A903" s="264" t="s">
        <v>611</v>
      </c>
      <c r="B903" s="202" t="s">
        <v>609</v>
      </c>
      <c r="C903" s="202" t="s">
        <v>609</v>
      </c>
      <c r="D903" s="202" t="s">
        <v>608</v>
      </c>
      <c r="E903" s="202"/>
      <c r="F903" s="265">
        <v>69004.800000000003</v>
      </c>
      <c r="G903" s="265">
        <v>0</v>
      </c>
      <c r="H903" s="265">
        <v>69004.800000000003</v>
      </c>
      <c r="I903" s="265">
        <v>0</v>
      </c>
      <c r="J903" s="265">
        <f t="shared" si="321"/>
        <v>0</v>
      </c>
      <c r="K903" s="265">
        <f t="shared" si="322"/>
        <v>0</v>
      </c>
      <c r="L903" s="265">
        <v>69004.800000000003</v>
      </c>
      <c r="M903" s="226">
        <v>0</v>
      </c>
      <c r="N903" s="265">
        <v>69004.800000000003</v>
      </c>
      <c r="O903" s="226">
        <v>0</v>
      </c>
      <c r="P903" s="265">
        <f t="shared" si="323"/>
        <v>0</v>
      </c>
      <c r="Q903" s="271">
        <f t="shared" si="324"/>
        <v>0</v>
      </c>
    </row>
    <row r="904" spans="1:17" x14ac:dyDescent="0.2">
      <c r="A904" s="264" t="s">
        <v>547</v>
      </c>
      <c r="B904" s="202" t="s">
        <v>609</v>
      </c>
      <c r="C904" s="202" t="s">
        <v>609</v>
      </c>
      <c r="D904" s="202" t="s">
        <v>608</v>
      </c>
      <c r="E904" s="202" t="s">
        <v>519</v>
      </c>
      <c r="F904" s="265">
        <v>69004.800000000003</v>
      </c>
      <c r="G904" s="265">
        <v>0</v>
      </c>
      <c r="H904" s="265">
        <v>69004.800000000003</v>
      </c>
      <c r="I904" s="265">
        <v>0</v>
      </c>
      <c r="J904" s="265">
        <f t="shared" si="321"/>
        <v>0</v>
      </c>
      <c r="K904" s="265">
        <f t="shared" si="322"/>
        <v>0</v>
      </c>
      <c r="L904" s="265">
        <v>69004.800000000003</v>
      </c>
      <c r="M904" s="226">
        <v>0</v>
      </c>
      <c r="N904" s="265">
        <v>69004.800000000003</v>
      </c>
      <c r="O904" s="226">
        <v>0</v>
      </c>
      <c r="P904" s="265">
        <f t="shared" si="323"/>
        <v>0</v>
      </c>
      <c r="Q904" s="271">
        <f t="shared" si="324"/>
        <v>0</v>
      </c>
    </row>
    <row r="905" spans="1:17" x14ac:dyDescent="0.2">
      <c r="A905" s="264" t="s">
        <v>571</v>
      </c>
      <c r="B905" s="202" t="s">
        <v>609</v>
      </c>
      <c r="C905" s="202" t="s">
        <v>609</v>
      </c>
      <c r="D905" s="202" t="s">
        <v>608</v>
      </c>
      <c r="E905" s="202" t="s">
        <v>522</v>
      </c>
      <c r="F905" s="265">
        <v>44527.9</v>
      </c>
      <c r="G905" s="265">
        <v>0</v>
      </c>
      <c r="H905" s="265">
        <v>44527.9</v>
      </c>
      <c r="I905" s="265">
        <v>0</v>
      </c>
      <c r="J905" s="265">
        <f t="shared" si="321"/>
        <v>0</v>
      </c>
      <c r="K905" s="265">
        <f t="shared" si="322"/>
        <v>0</v>
      </c>
      <c r="L905" s="265">
        <v>44527.9</v>
      </c>
      <c r="M905" s="226">
        <v>0</v>
      </c>
      <c r="N905" s="265">
        <v>44527.9</v>
      </c>
      <c r="O905" s="226">
        <v>0</v>
      </c>
      <c r="P905" s="265">
        <f t="shared" si="323"/>
        <v>0</v>
      </c>
      <c r="Q905" s="271">
        <f t="shared" si="324"/>
        <v>0</v>
      </c>
    </row>
    <row r="906" spans="1:17" x14ac:dyDescent="0.2">
      <c r="A906" s="264" t="s">
        <v>546</v>
      </c>
      <c r="B906" s="202" t="s">
        <v>609</v>
      </c>
      <c r="C906" s="202" t="s">
        <v>609</v>
      </c>
      <c r="D906" s="202" t="s">
        <v>608</v>
      </c>
      <c r="E906" s="202" t="s">
        <v>544</v>
      </c>
      <c r="F906" s="265">
        <v>24476.9</v>
      </c>
      <c r="G906" s="265">
        <v>0</v>
      </c>
      <c r="H906" s="265">
        <v>24476.9</v>
      </c>
      <c r="I906" s="265">
        <v>0</v>
      </c>
      <c r="J906" s="265">
        <f t="shared" si="321"/>
        <v>0</v>
      </c>
      <c r="K906" s="265">
        <f t="shared" si="322"/>
        <v>0</v>
      </c>
      <c r="L906" s="265">
        <v>24476.9</v>
      </c>
      <c r="M906" s="226">
        <v>0</v>
      </c>
      <c r="N906" s="265">
        <v>24476.9</v>
      </c>
      <c r="O906" s="226">
        <v>0</v>
      </c>
      <c r="P906" s="265">
        <f t="shared" si="323"/>
        <v>0</v>
      </c>
      <c r="Q906" s="271">
        <f t="shared" si="324"/>
        <v>0</v>
      </c>
    </row>
    <row r="907" spans="1:17" x14ac:dyDescent="0.2">
      <c r="A907" s="264" t="s">
        <v>689</v>
      </c>
      <c r="B907" s="202" t="s">
        <v>609</v>
      </c>
      <c r="C907" s="202" t="s">
        <v>670</v>
      </c>
      <c r="D907" s="202"/>
      <c r="E907" s="202"/>
      <c r="F907" s="265">
        <v>108465</v>
      </c>
      <c r="G907" s="265">
        <v>0</v>
      </c>
      <c r="H907" s="265">
        <f>H908+H924+H932</f>
        <v>108465</v>
      </c>
      <c r="I907" s="265">
        <v>0</v>
      </c>
      <c r="J907" s="265">
        <f t="shared" si="321"/>
        <v>0</v>
      </c>
      <c r="K907" s="265">
        <f t="shared" si="322"/>
        <v>0</v>
      </c>
      <c r="L907" s="265">
        <v>108465</v>
      </c>
      <c r="M907" s="226">
        <v>0</v>
      </c>
      <c r="N907" s="265">
        <f>N908+N924+N932</f>
        <v>108465</v>
      </c>
      <c r="O907" s="226">
        <v>0</v>
      </c>
      <c r="P907" s="265">
        <f t="shared" si="323"/>
        <v>0</v>
      </c>
      <c r="Q907" s="271">
        <f t="shared" si="324"/>
        <v>0</v>
      </c>
    </row>
    <row r="908" spans="1:17" x14ac:dyDescent="0.2">
      <c r="A908" s="264" t="s">
        <v>666</v>
      </c>
      <c r="B908" s="202" t="s">
        <v>609</v>
      </c>
      <c r="C908" s="202" t="s">
        <v>670</v>
      </c>
      <c r="D908" s="202" t="s">
        <v>665</v>
      </c>
      <c r="E908" s="202"/>
      <c r="F908" s="265">
        <v>53836.3</v>
      </c>
      <c r="G908" s="265">
        <v>0</v>
      </c>
      <c r="H908" s="265">
        <v>53836.3</v>
      </c>
      <c r="I908" s="265">
        <v>0</v>
      </c>
      <c r="J908" s="265">
        <f t="shared" si="321"/>
        <v>0</v>
      </c>
      <c r="K908" s="265">
        <f t="shared" si="322"/>
        <v>0</v>
      </c>
      <c r="L908" s="265">
        <v>53836.3</v>
      </c>
      <c r="M908" s="226">
        <v>0</v>
      </c>
      <c r="N908" s="265">
        <v>53836.3</v>
      </c>
      <c r="O908" s="226">
        <v>0</v>
      </c>
      <c r="P908" s="265">
        <f t="shared" si="323"/>
        <v>0</v>
      </c>
      <c r="Q908" s="271">
        <f t="shared" si="324"/>
        <v>0</v>
      </c>
    </row>
    <row r="909" spans="1:17" x14ac:dyDescent="0.2">
      <c r="A909" s="264" t="s">
        <v>688</v>
      </c>
      <c r="B909" s="202" t="s">
        <v>609</v>
      </c>
      <c r="C909" s="202" t="s">
        <v>670</v>
      </c>
      <c r="D909" s="202" t="s">
        <v>687</v>
      </c>
      <c r="E909" s="202"/>
      <c r="F909" s="265">
        <v>33279.5</v>
      </c>
      <c r="G909" s="265">
        <v>0</v>
      </c>
      <c r="H909" s="265">
        <v>33279.5</v>
      </c>
      <c r="I909" s="265">
        <v>0</v>
      </c>
      <c r="J909" s="265">
        <f t="shared" ref="J909:J969" si="339">H909-F909</f>
        <v>0</v>
      </c>
      <c r="K909" s="265">
        <f t="shared" ref="K909:K969" si="340">I909-G909</f>
        <v>0</v>
      </c>
      <c r="L909" s="265">
        <v>33279.5</v>
      </c>
      <c r="M909" s="226">
        <v>0</v>
      </c>
      <c r="N909" s="265">
        <v>33279.5</v>
      </c>
      <c r="O909" s="226">
        <v>0</v>
      </c>
      <c r="P909" s="265">
        <f t="shared" ref="P909:P969" si="341">N909-L909</f>
        <v>0</v>
      </c>
      <c r="Q909" s="271">
        <f t="shared" ref="Q909:Q969" si="342">O909-M909</f>
        <v>0</v>
      </c>
    </row>
    <row r="910" spans="1:17" x14ac:dyDescent="0.2">
      <c r="A910" s="264" t="s">
        <v>686</v>
      </c>
      <c r="B910" s="202" t="s">
        <v>609</v>
      </c>
      <c r="C910" s="202" t="s">
        <v>670</v>
      </c>
      <c r="D910" s="202" t="s">
        <v>685</v>
      </c>
      <c r="E910" s="202"/>
      <c r="F910" s="265">
        <v>33279.5</v>
      </c>
      <c r="G910" s="265">
        <v>0</v>
      </c>
      <c r="H910" s="265">
        <v>33279.5</v>
      </c>
      <c r="I910" s="265">
        <v>0</v>
      </c>
      <c r="J910" s="265">
        <f t="shared" si="339"/>
        <v>0</v>
      </c>
      <c r="K910" s="265">
        <f t="shared" si="340"/>
        <v>0</v>
      </c>
      <c r="L910" s="265">
        <v>33279.5</v>
      </c>
      <c r="M910" s="226">
        <v>0</v>
      </c>
      <c r="N910" s="265">
        <v>33279.5</v>
      </c>
      <c r="O910" s="226">
        <v>0</v>
      </c>
      <c r="P910" s="265">
        <f t="shared" si="341"/>
        <v>0</v>
      </c>
      <c r="Q910" s="271">
        <f t="shared" si="342"/>
        <v>0</v>
      </c>
    </row>
    <row r="911" spans="1:17" ht="22.5" x14ac:dyDescent="0.2">
      <c r="A911" s="264" t="s">
        <v>684</v>
      </c>
      <c r="B911" s="202" t="s">
        <v>609</v>
      </c>
      <c r="C911" s="202" t="s">
        <v>670</v>
      </c>
      <c r="D911" s="202" t="s">
        <v>683</v>
      </c>
      <c r="E911" s="202"/>
      <c r="F911" s="265">
        <v>33279.5</v>
      </c>
      <c r="G911" s="265">
        <v>0</v>
      </c>
      <c r="H911" s="265">
        <v>33279.5</v>
      </c>
      <c r="I911" s="265">
        <v>0</v>
      </c>
      <c r="J911" s="265">
        <f t="shared" si="339"/>
        <v>0</v>
      </c>
      <c r="K911" s="265">
        <f t="shared" si="340"/>
        <v>0</v>
      </c>
      <c r="L911" s="265">
        <v>33279.5</v>
      </c>
      <c r="M911" s="226">
        <v>0</v>
      </c>
      <c r="N911" s="265">
        <v>33279.5</v>
      </c>
      <c r="O911" s="226">
        <v>0</v>
      </c>
      <c r="P911" s="265">
        <f t="shared" si="341"/>
        <v>0</v>
      </c>
      <c r="Q911" s="271">
        <f t="shared" si="342"/>
        <v>0</v>
      </c>
    </row>
    <row r="912" spans="1:17" x14ac:dyDescent="0.2">
      <c r="A912" s="264" t="s">
        <v>1347</v>
      </c>
      <c r="B912" s="202" t="s">
        <v>609</v>
      </c>
      <c r="C912" s="202" t="s">
        <v>670</v>
      </c>
      <c r="D912" s="202" t="s">
        <v>683</v>
      </c>
      <c r="E912" s="202" t="s">
        <v>535</v>
      </c>
      <c r="F912" s="265">
        <v>2809.3</v>
      </c>
      <c r="G912" s="265">
        <v>0</v>
      </c>
      <c r="H912" s="265">
        <v>2809.3</v>
      </c>
      <c r="I912" s="265">
        <v>0</v>
      </c>
      <c r="J912" s="265">
        <f t="shared" si="339"/>
        <v>0</v>
      </c>
      <c r="K912" s="265">
        <f t="shared" si="340"/>
        <v>0</v>
      </c>
      <c r="L912" s="265">
        <v>2809.3</v>
      </c>
      <c r="M912" s="226">
        <v>0</v>
      </c>
      <c r="N912" s="265">
        <v>2809.3</v>
      </c>
      <c r="O912" s="226">
        <v>0</v>
      </c>
      <c r="P912" s="265">
        <f t="shared" si="341"/>
        <v>0</v>
      </c>
      <c r="Q912" s="271">
        <f t="shared" si="342"/>
        <v>0</v>
      </c>
    </row>
    <row r="913" spans="1:17" x14ac:dyDescent="0.2">
      <c r="A913" s="264" t="s">
        <v>534</v>
      </c>
      <c r="B913" s="202" t="s">
        <v>609</v>
      </c>
      <c r="C913" s="202" t="s">
        <v>670</v>
      </c>
      <c r="D913" s="202" t="s">
        <v>683</v>
      </c>
      <c r="E913" s="202" t="s">
        <v>529</v>
      </c>
      <c r="F913" s="265">
        <v>2809.3</v>
      </c>
      <c r="G913" s="265">
        <v>0</v>
      </c>
      <c r="H913" s="265">
        <v>2809.3</v>
      </c>
      <c r="I913" s="265">
        <v>0</v>
      </c>
      <c r="J913" s="265">
        <f t="shared" si="339"/>
        <v>0</v>
      </c>
      <c r="K913" s="265">
        <f t="shared" si="340"/>
        <v>0</v>
      </c>
      <c r="L913" s="265">
        <v>2809.3</v>
      </c>
      <c r="M913" s="226">
        <v>0</v>
      </c>
      <c r="N913" s="265">
        <v>2809.3</v>
      </c>
      <c r="O913" s="226">
        <v>0</v>
      </c>
      <c r="P913" s="265">
        <f t="shared" si="341"/>
        <v>0</v>
      </c>
      <c r="Q913" s="271">
        <f t="shared" si="342"/>
        <v>0</v>
      </c>
    </row>
    <row r="914" spans="1:17" x14ac:dyDescent="0.2">
      <c r="A914" s="264" t="s">
        <v>547</v>
      </c>
      <c r="B914" s="202" t="s">
        <v>609</v>
      </c>
      <c r="C914" s="202" t="s">
        <v>670</v>
      </c>
      <c r="D914" s="202" t="s">
        <v>683</v>
      </c>
      <c r="E914" s="202" t="s">
        <v>519</v>
      </c>
      <c r="F914" s="265">
        <v>30470.2</v>
      </c>
      <c r="G914" s="265">
        <v>0</v>
      </c>
      <c r="H914" s="265">
        <v>30470.2</v>
      </c>
      <c r="I914" s="265">
        <v>0</v>
      </c>
      <c r="J914" s="265">
        <f t="shared" si="339"/>
        <v>0</v>
      </c>
      <c r="K914" s="265">
        <f t="shared" si="340"/>
        <v>0</v>
      </c>
      <c r="L914" s="265">
        <v>30470.2</v>
      </c>
      <c r="M914" s="226">
        <v>0</v>
      </c>
      <c r="N914" s="265">
        <v>30470.2</v>
      </c>
      <c r="O914" s="226">
        <v>0</v>
      </c>
      <c r="P914" s="265">
        <f t="shared" si="341"/>
        <v>0</v>
      </c>
      <c r="Q914" s="271">
        <f t="shared" si="342"/>
        <v>0</v>
      </c>
    </row>
    <row r="915" spans="1:17" x14ac:dyDescent="0.2">
      <c r="A915" s="264" t="s">
        <v>571</v>
      </c>
      <c r="B915" s="202" t="s">
        <v>609</v>
      </c>
      <c r="C915" s="202" t="s">
        <v>670</v>
      </c>
      <c r="D915" s="202" t="s">
        <v>683</v>
      </c>
      <c r="E915" s="202" t="s">
        <v>522</v>
      </c>
      <c r="F915" s="265">
        <v>30470.2</v>
      </c>
      <c r="G915" s="265">
        <v>0</v>
      </c>
      <c r="H915" s="265">
        <v>30470.2</v>
      </c>
      <c r="I915" s="265">
        <v>0</v>
      </c>
      <c r="J915" s="265">
        <f t="shared" si="339"/>
        <v>0</v>
      </c>
      <c r="K915" s="265">
        <f t="shared" si="340"/>
        <v>0</v>
      </c>
      <c r="L915" s="265">
        <v>30470.2</v>
      </c>
      <c r="M915" s="226">
        <v>0</v>
      </c>
      <c r="N915" s="265">
        <v>30470.2</v>
      </c>
      <c r="O915" s="226">
        <v>0</v>
      </c>
      <c r="P915" s="265">
        <f t="shared" si="341"/>
        <v>0</v>
      </c>
      <c r="Q915" s="271">
        <f t="shared" si="342"/>
        <v>0</v>
      </c>
    </row>
    <row r="916" spans="1:17" x14ac:dyDescent="0.2">
      <c r="A916" s="264" t="s">
        <v>682</v>
      </c>
      <c r="B916" s="202" t="s">
        <v>609</v>
      </c>
      <c r="C916" s="202" t="s">
        <v>670</v>
      </c>
      <c r="D916" s="202" t="s">
        <v>681</v>
      </c>
      <c r="E916" s="202"/>
      <c r="F916" s="265">
        <v>20556.8</v>
      </c>
      <c r="G916" s="265">
        <v>0</v>
      </c>
      <c r="H916" s="265">
        <v>20556.8</v>
      </c>
      <c r="I916" s="265">
        <v>0</v>
      </c>
      <c r="J916" s="265">
        <f t="shared" si="339"/>
        <v>0</v>
      </c>
      <c r="K916" s="265">
        <f t="shared" si="340"/>
        <v>0</v>
      </c>
      <c r="L916" s="265">
        <v>20556.8</v>
      </c>
      <c r="M916" s="226">
        <v>0</v>
      </c>
      <c r="N916" s="265">
        <v>20556.8</v>
      </c>
      <c r="O916" s="226">
        <v>0</v>
      </c>
      <c r="P916" s="265">
        <f t="shared" si="341"/>
        <v>0</v>
      </c>
      <c r="Q916" s="271">
        <f t="shared" si="342"/>
        <v>0</v>
      </c>
    </row>
    <row r="917" spans="1:17" ht="22.5" x14ac:dyDescent="0.2">
      <c r="A917" s="264" t="s">
        <v>600</v>
      </c>
      <c r="B917" s="202" t="s">
        <v>609</v>
      </c>
      <c r="C917" s="202" t="s">
        <v>670</v>
      </c>
      <c r="D917" s="202" t="s">
        <v>680</v>
      </c>
      <c r="E917" s="202"/>
      <c r="F917" s="265">
        <v>20556.8</v>
      </c>
      <c r="G917" s="265">
        <v>0</v>
      </c>
      <c r="H917" s="265">
        <v>20556.8</v>
      </c>
      <c r="I917" s="265">
        <v>0</v>
      </c>
      <c r="J917" s="265">
        <f t="shared" si="339"/>
        <v>0</v>
      </c>
      <c r="K917" s="265">
        <f t="shared" si="340"/>
        <v>0</v>
      </c>
      <c r="L917" s="265">
        <v>20556.8</v>
      </c>
      <c r="M917" s="226">
        <v>0</v>
      </c>
      <c r="N917" s="265">
        <v>20556.8</v>
      </c>
      <c r="O917" s="226">
        <v>0</v>
      </c>
      <c r="P917" s="265">
        <f t="shared" si="341"/>
        <v>0</v>
      </c>
      <c r="Q917" s="271">
        <f t="shared" si="342"/>
        <v>0</v>
      </c>
    </row>
    <row r="918" spans="1:17" x14ac:dyDescent="0.2">
      <c r="A918" s="264" t="s">
        <v>679</v>
      </c>
      <c r="B918" s="202" t="s">
        <v>609</v>
      </c>
      <c r="C918" s="202" t="s">
        <v>670</v>
      </c>
      <c r="D918" s="202" t="s">
        <v>678</v>
      </c>
      <c r="E918" s="202"/>
      <c r="F918" s="265">
        <v>3089</v>
      </c>
      <c r="G918" s="265">
        <v>0</v>
      </c>
      <c r="H918" s="265">
        <v>3089</v>
      </c>
      <c r="I918" s="265">
        <v>0</v>
      </c>
      <c r="J918" s="265">
        <f t="shared" si="339"/>
        <v>0</v>
      </c>
      <c r="K918" s="265">
        <f t="shared" si="340"/>
        <v>0</v>
      </c>
      <c r="L918" s="265">
        <v>3089</v>
      </c>
      <c r="M918" s="226">
        <v>0</v>
      </c>
      <c r="N918" s="265">
        <v>3089</v>
      </c>
      <c r="O918" s="226">
        <v>0</v>
      </c>
      <c r="P918" s="265">
        <f t="shared" si="341"/>
        <v>0</v>
      </c>
      <c r="Q918" s="271">
        <f t="shared" si="342"/>
        <v>0</v>
      </c>
    </row>
    <row r="919" spans="1:17" x14ac:dyDescent="0.2">
      <c r="A919" s="264" t="s">
        <v>547</v>
      </c>
      <c r="B919" s="202" t="s">
        <v>609</v>
      </c>
      <c r="C919" s="202" t="s">
        <v>670</v>
      </c>
      <c r="D919" s="202" t="s">
        <v>678</v>
      </c>
      <c r="E919" s="202" t="s">
        <v>519</v>
      </c>
      <c r="F919" s="265">
        <v>3089</v>
      </c>
      <c r="G919" s="265">
        <v>0</v>
      </c>
      <c r="H919" s="265">
        <v>3089</v>
      </c>
      <c r="I919" s="265">
        <v>0</v>
      </c>
      <c r="J919" s="265">
        <f t="shared" si="339"/>
        <v>0</v>
      </c>
      <c r="K919" s="265">
        <f t="shared" si="340"/>
        <v>0</v>
      </c>
      <c r="L919" s="265">
        <v>3089</v>
      </c>
      <c r="M919" s="226">
        <v>0</v>
      </c>
      <c r="N919" s="265">
        <v>3089</v>
      </c>
      <c r="O919" s="226">
        <v>0</v>
      </c>
      <c r="P919" s="265">
        <f t="shared" si="341"/>
        <v>0</v>
      </c>
      <c r="Q919" s="271">
        <f t="shared" si="342"/>
        <v>0</v>
      </c>
    </row>
    <row r="920" spans="1:17" x14ac:dyDescent="0.2">
      <c r="A920" s="264" t="s">
        <v>571</v>
      </c>
      <c r="B920" s="202" t="s">
        <v>609</v>
      </c>
      <c r="C920" s="202" t="s">
        <v>670</v>
      </c>
      <c r="D920" s="202" t="s">
        <v>678</v>
      </c>
      <c r="E920" s="202" t="s">
        <v>522</v>
      </c>
      <c r="F920" s="265">
        <v>3089</v>
      </c>
      <c r="G920" s="265">
        <v>0</v>
      </c>
      <c r="H920" s="265">
        <v>3089</v>
      </c>
      <c r="I920" s="265">
        <v>0</v>
      </c>
      <c r="J920" s="265">
        <f t="shared" si="339"/>
        <v>0</v>
      </c>
      <c r="K920" s="265">
        <f t="shared" si="340"/>
        <v>0</v>
      </c>
      <c r="L920" s="265">
        <v>3089</v>
      </c>
      <c r="M920" s="226">
        <v>0</v>
      </c>
      <c r="N920" s="265">
        <v>3089</v>
      </c>
      <c r="O920" s="226">
        <v>0</v>
      </c>
      <c r="P920" s="265">
        <f t="shared" si="341"/>
        <v>0</v>
      </c>
      <c r="Q920" s="271">
        <f t="shared" si="342"/>
        <v>0</v>
      </c>
    </row>
    <row r="921" spans="1:17" x14ac:dyDescent="0.2">
      <c r="A921" s="264" t="s">
        <v>677</v>
      </c>
      <c r="B921" s="202" t="s">
        <v>609</v>
      </c>
      <c r="C921" s="202" t="s">
        <v>670</v>
      </c>
      <c r="D921" s="202" t="s">
        <v>676</v>
      </c>
      <c r="E921" s="202"/>
      <c r="F921" s="265">
        <v>17467.8</v>
      </c>
      <c r="G921" s="265">
        <v>0</v>
      </c>
      <c r="H921" s="265">
        <v>17467.8</v>
      </c>
      <c r="I921" s="265">
        <v>0</v>
      </c>
      <c r="J921" s="265">
        <f t="shared" si="339"/>
        <v>0</v>
      </c>
      <c r="K921" s="265">
        <f t="shared" si="340"/>
        <v>0</v>
      </c>
      <c r="L921" s="265">
        <v>17467.8</v>
      </c>
      <c r="M921" s="226">
        <v>0</v>
      </c>
      <c r="N921" s="265">
        <v>17467.8</v>
      </c>
      <c r="O921" s="226">
        <v>0</v>
      </c>
      <c r="P921" s="265">
        <f t="shared" si="341"/>
        <v>0</v>
      </c>
      <c r="Q921" s="271">
        <f t="shared" si="342"/>
        <v>0</v>
      </c>
    </row>
    <row r="922" spans="1:17" x14ac:dyDescent="0.2">
      <c r="A922" s="264" t="s">
        <v>547</v>
      </c>
      <c r="B922" s="202" t="s">
        <v>609</v>
      </c>
      <c r="C922" s="202" t="s">
        <v>670</v>
      </c>
      <c r="D922" s="202" t="s">
        <v>676</v>
      </c>
      <c r="E922" s="202" t="s">
        <v>519</v>
      </c>
      <c r="F922" s="265">
        <v>17467.8</v>
      </c>
      <c r="G922" s="265">
        <v>0</v>
      </c>
      <c r="H922" s="265">
        <v>17467.8</v>
      </c>
      <c r="I922" s="265">
        <v>0</v>
      </c>
      <c r="J922" s="265">
        <f t="shared" si="339"/>
        <v>0</v>
      </c>
      <c r="K922" s="265">
        <f t="shared" si="340"/>
        <v>0</v>
      </c>
      <c r="L922" s="265">
        <v>17467.8</v>
      </c>
      <c r="M922" s="226">
        <v>0</v>
      </c>
      <c r="N922" s="265">
        <v>17467.8</v>
      </c>
      <c r="O922" s="226">
        <v>0</v>
      </c>
      <c r="P922" s="265">
        <f t="shared" si="341"/>
        <v>0</v>
      </c>
      <c r="Q922" s="271">
        <f t="shared" si="342"/>
        <v>0</v>
      </c>
    </row>
    <row r="923" spans="1:17" x14ac:dyDescent="0.2">
      <c r="A923" s="264" t="s">
        <v>571</v>
      </c>
      <c r="B923" s="202" t="s">
        <v>609</v>
      </c>
      <c r="C923" s="202" t="s">
        <v>670</v>
      </c>
      <c r="D923" s="202" t="s">
        <v>676</v>
      </c>
      <c r="E923" s="202" t="s">
        <v>522</v>
      </c>
      <c r="F923" s="265">
        <v>17467.8</v>
      </c>
      <c r="G923" s="265">
        <v>0</v>
      </c>
      <c r="H923" s="265">
        <v>17467.8</v>
      </c>
      <c r="I923" s="265">
        <v>0</v>
      </c>
      <c r="J923" s="265">
        <f t="shared" si="339"/>
        <v>0</v>
      </c>
      <c r="K923" s="265">
        <f t="shared" si="340"/>
        <v>0</v>
      </c>
      <c r="L923" s="265">
        <v>17467.8</v>
      </c>
      <c r="M923" s="226">
        <v>0</v>
      </c>
      <c r="N923" s="265">
        <v>17467.8</v>
      </c>
      <c r="O923" s="226">
        <v>0</v>
      </c>
      <c r="P923" s="265">
        <f t="shared" si="341"/>
        <v>0</v>
      </c>
      <c r="Q923" s="271">
        <f t="shared" si="342"/>
        <v>0</v>
      </c>
    </row>
    <row r="924" spans="1:17" x14ac:dyDescent="0.2">
      <c r="A924" s="264" t="s">
        <v>568</v>
      </c>
      <c r="B924" s="202" t="s">
        <v>609</v>
      </c>
      <c r="C924" s="202" t="s">
        <v>670</v>
      </c>
      <c r="D924" s="202" t="s">
        <v>567</v>
      </c>
      <c r="E924" s="202"/>
      <c r="F924" s="265">
        <v>26714.5</v>
      </c>
      <c r="G924" s="265">
        <v>0</v>
      </c>
      <c r="H924" s="265">
        <f>H925</f>
        <v>26714.5</v>
      </c>
      <c r="I924" s="265">
        <v>0</v>
      </c>
      <c r="J924" s="265">
        <f t="shared" si="339"/>
        <v>0</v>
      </c>
      <c r="K924" s="265">
        <f t="shared" si="340"/>
        <v>0</v>
      </c>
      <c r="L924" s="265">
        <v>26714.5</v>
      </c>
      <c r="M924" s="226">
        <v>0</v>
      </c>
      <c r="N924" s="265">
        <f>N925</f>
        <v>26714.5</v>
      </c>
      <c r="O924" s="226">
        <v>0</v>
      </c>
      <c r="P924" s="265">
        <f t="shared" si="341"/>
        <v>0</v>
      </c>
      <c r="Q924" s="271">
        <f t="shared" si="342"/>
        <v>0</v>
      </c>
    </row>
    <row r="925" spans="1:17" x14ac:dyDescent="0.2">
      <c r="A925" s="264" t="s">
        <v>675</v>
      </c>
      <c r="B925" s="202" t="s">
        <v>609</v>
      </c>
      <c r="C925" s="202" t="s">
        <v>670</v>
      </c>
      <c r="D925" s="202" t="s">
        <v>674</v>
      </c>
      <c r="E925" s="202"/>
      <c r="F925" s="265">
        <v>26714.5</v>
      </c>
      <c r="G925" s="265">
        <v>0</v>
      </c>
      <c r="H925" s="265">
        <f>H926</f>
        <v>26714.5</v>
      </c>
      <c r="I925" s="265">
        <v>0</v>
      </c>
      <c r="J925" s="265">
        <f t="shared" si="339"/>
        <v>0</v>
      </c>
      <c r="K925" s="265">
        <f t="shared" si="340"/>
        <v>0</v>
      </c>
      <c r="L925" s="265">
        <v>26714.5</v>
      </c>
      <c r="M925" s="226">
        <v>0</v>
      </c>
      <c r="N925" s="265">
        <f>N926</f>
        <v>26714.5</v>
      </c>
      <c r="O925" s="226">
        <v>0</v>
      </c>
      <c r="P925" s="265">
        <f t="shared" si="341"/>
        <v>0</v>
      </c>
      <c r="Q925" s="271">
        <f t="shared" si="342"/>
        <v>0</v>
      </c>
    </row>
    <row r="926" spans="1:17" ht="22.5" x14ac:dyDescent="0.2">
      <c r="A926" s="264" t="s">
        <v>673</v>
      </c>
      <c r="B926" s="202" t="s">
        <v>609</v>
      </c>
      <c r="C926" s="202" t="s">
        <v>670</v>
      </c>
      <c r="D926" s="202" t="s">
        <v>672</v>
      </c>
      <c r="E926" s="202"/>
      <c r="F926" s="265">
        <v>26714.5</v>
      </c>
      <c r="G926" s="265">
        <v>0</v>
      </c>
      <c r="H926" s="265">
        <f>H927</f>
        <v>26714.5</v>
      </c>
      <c r="I926" s="265">
        <v>0</v>
      </c>
      <c r="J926" s="265">
        <f t="shared" si="339"/>
        <v>0</v>
      </c>
      <c r="K926" s="265">
        <f t="shared" si="340"/>
        <v>0</v>
      </c>
      <c r="L926" s="265">
        <v>26714.5</v>
      </c>
      <c r="M926" s="226">
        <v>0</v>
      </c>
      <c r="N926" s="265">
        <f>N927</f>
        <v>26714.5</v>
      </c>
      <c r="O926" s="226">
        <v>0</v>
      </c>
      <c r="P926" s="265">
        <f t="shared" si="341"/>
        <v>0</v>
      </c>
      <c r="Q926" s="271">
        <f t="shared" si="342"/>
        <v>0</v>
      </c>
    </row>
    <row r="927" spans="1:17" x14ac:dyDescent="0.2">
      <c r="A927" s="264" t="s">
        <v>671</v>
      </c>
      <c r="B927" s="202" t="s">
        <v>609</v>
      </c>
      <c r="C927" s="202" t="s">
        <v>670</v>
      </c>
      <c r="D927" s="202" t="s">
        <v>669</v>
      </c>
      <c r="E927" s="202"/>
      <c r="F927" s="265">
        <v>26714.5</v>
      </c>
      <c r="G927" s="265">
        <v>0</v>
      </c>
      <c r="H927" s="265">
        <f>H928+H930</f>
        <v>26714.5</v>
      </c>
      <c r="I927" s="265">
        <v>0</v>
      </c>
      <c r="J927" s="265">
        <f t="shared" si="339"/>
        <v>0</v>
      </c>
      <c r="K927" s="265">
        <f t="shared" si="340"/>
        <v>0</v>
      </c>
      <c r="L927" s="265">
        <v>26714.5</v>
      </c>
      <c r="M927" s="226">
        <v>0</v>
      </c>
      <c r="N927" s="265">
        <f>N928+N930</f>
        <v>26714.5</v>
      </c>
      <c r="O927" s="226">
        <v>0</v>
      </c>
      <c r="P927" s="265">
        <f t="shared" si="341"/>
        <v>0</v>
      </c>
      <c r="Q927" s="271">
        <f t="shared" si="342"/>
        <v>0</v>
      </c>
    </row>
    <row r="928" spans="1:17" x14ac:dyDescent="0.2">
      <c r="A928" s="264" t="s">
        <v>553</v>
      </c>
      <c r="B928" s="202" t="s">
        <v>609</v>
      </c>
      <c r="C928" s="202" t="s">
        <v>670</v>
      </c>
      <c r="D928" s="202" t="s">
        <v>669</v>
      </c>
      <c r="E928" s="202" t="s">
        <v>552</v>
      </c>
      <c r="F928" s="265">
        <v>17535.3</v>
      </c>
      <c r="G928" s="265">
        <v>0</v>
      </c>
      <c r="H928" s="265">
        <f>H929</f>
        <v>17535.3</v>
      </c>
      <c r="I928" s="265">
        <v>0</v>
      </c>
      <c r="J928" s="265">
        <f t="shared" si="339"/>
        <v>0</v>
      </c>
      <c r="K928" s="265">
        <f t="shared" si="340"/>
        <v>0</v>
      </c>
      <c r="L928" s="265">
        <v>17535.3</v>
      </c>
      <c r="M928" s="226">
        <v>0</v>
      </c>
      <c r="N928" s="265">
        <f>N929</f>
        <v>17535.3</v>
      </c>
      <c r="O928" s="226">
        <v>0</v>
      </c>
      <c r="P928" s="265">
        <f t="shared" si="341"/>
        <v>0</v>
      </c>
      <c r="Q928" s="271">
        <f t="shared" si="342"/>
        <v>0</v>
      </c>
    </row>
    <row r="929" spans="1:17" x14ac:dyDescent="0.2">
      <c r="A929" s="264" t="s">
        <v>832</v>
      </c>
      <c r="B929" s="202" t="s">
        <v>609</v>
      </c>
      <c r="C929" s="202" t="s">
        <v>670</v>
      </c>
      <c r="D929" s="202" t="s">
        <v>669</v>
      </c>
      <c r="E929" s="202" t="s">
        <v>830</v>
      </c>
      <c r="F929" s="265">
        <v>17535.3</v>
      </c>
      <c r="G929" s="265">
        <v>0</v>
      </c>
      <c r="H929" s="265">
        <f>'Ведомственная 2021-2022'!H742</f>
        <v>17535.3</v>
      </c>
      <c r="I929" s="265">
        <v>0</v>
      </c>
      <c r="J929" s="265">
        <f t="shared" si="339"/>
        <v>0</v>
      </c>
      <c r="K929" s="265">
        <f t="shared" si="340"/>
        <v>0</v>
      </c>
      <c r="L929" s="265">
        <v>17535.3</v>
      </c>
      <c r="M929" s="226">
        <v>0</v>
      </c>
      <c r="N929" s="265">
        <f>'Ведомственная 2021-2022'!K742</f>
        <v>17535.3</v>
      </c>
      <c r="O929" s="226">
        <v>0</v>
      </c>
      <c r="P929" s="265">
        <f t="shared" si="341"/>
        <v>0</v>
      </c>
      <c r="Q929" s="271">
        <f t="shared" si="342"/>
        <v>0</v>
      </c>
    </row>
    <row r="930" spans="1:17" x14ac:dyDescent="0.2">
      <c r="A930" s="264" t="s">
        <v>547</v>
      </c>
      <c r="B930" s="202" t="s">
        <v>609</v>
      </c>
      <c r="C930" s="202" t="s">
        <v>670</v>
      </c>
      <c r="D930" s="202" t="s">
        <v>669</v>
      </c>
      <c r="E930" s="202" t="s">
        <v>519</v>
      </c>
      <c r="F930" s="265">
        <v>9179.2000000000007</v>
      </c>
      <c r="G930" s="265">
        <v>0</v>
      </c>
      <c r="H930" s="265">
        <v>9179.2000000000007</v>
      </c>
      <c r="I930" s="265">
        <v>0</v>
      </c>
      <c r="J930" s="265">
        <f t="shared" si="339"/>
        <v>0</v>
      </c>
      <c r="K930" s="265">
        <f t="shared" si="340"/>
        <v>0</v>
      </c>
      <c r="L930" s="265">
        <v>9179.2000000000007</v>
      </c>
      <c r="M930" s="226">
        <v>0</v>
      </c>
      <c r="N930" s="265">
        <v>9179.2000000000007</v>
      </c>
      <c r="O930" s="226">
        <v>0</v>
      </c>
      <c r="P930" s="265">
        <f t="shared" si="341"/>
        <v>0</v>
      </c>
      <c r="Q930" s="271">
        <f t="shared" si="342"/>
        <v>0</v>
      </c>
    </row>
    <row r="931" spans="1:17" x14ac:dyDescent="0.2">
      <c r="A931" s="264" t="s">
        <v>571</v>
      </c>
      <c r="B931" s="202" t="s">
        <v>609</v>
      </c>
      <c r="C931" s="202" t="s">
        <v>670</v>
      </c>
      <c r="D931" s="202" t="s">
        <v>669</v>
      </c>
      <c r="E931" s="202" t="s">
        <v>522</v>
      </c>
      <c r="F931" s="265">
        <v>9179.2000000000007</v>
      </c>
      <c r="G931" s="265">
        <v>0</v>
      </c>
      <c r="H931" s="265">
        <v>9179.2000000000007</v>
      </c>
      <c r="I931" s="265">
        <v>0</v>
      </c>
      <c r="J931" s="265">
        <f t="shared" si="339"/>
        <v>0</v>
      </c>
      <c r="K931" s="265">
        <f t="shared" si="340"/>
        <v>0</v>
      </c>
      <c r="L931" s="265">
        <v>9179.2000000000007</v>
      </c>
      <c r="M931" s="226">
        <v>0</v>
      </c>
      <c r="N931" s="265">
        <v>9179.2000000000007</v>
      </c>
      <c r="O931" s="226">
        <v>0</v>
      </c>
      <c r="P931" s="265">
        <f t="shared" si="341"/>
        <v>0</v>
      </c>
      <c r="Q931" s="271">
        <f t="shared" si="342"/>
        <v>0</v>
      </c>
    </row>
    <row r="932" spans="1:17" x14ac:dyDescent="0.2">
      <c r="A932" s="264" t="s">
        <v>604</v>
      </c>
      <c r="B932" s="202" t="s">
        <v>609</v>
      </c>
      <c r="C932" s="202" t="s">
        <v>670</v>
      </c>
      <c r="D932" s="202" t="s">
        <v>603</v>
      </c>
      <c r="E932" s="202"/>
      <c r="F932" s="265">
        <v>27914.2</v>
      </c>
      <c r="G932" s="265">
        <v>0</v>
      </c>
      <c r="H932" s="265">
        <v>27914.2</v>
      </c>
      <c r="I932" s="265">
        <v>0</v>
      </c>
      <c r="J932" s="265">
        <f t="shared" si="339"/>
        <v>0</v>
      </c>
      <c r="K932" s="265">
        <f t="shared" si="340"/>
        <v>0</v>
      </c>
      <c r="L932" s="265">
        <v>27914.2</v>
      </c>
      <c r="M932" s="226">
        <v>0</v>
      </c>
      <c r="N932" s="265">
        <v>27914.2</v>
      </c>
      <c r="O932" s="226">
        <v>0</v>
      </c>
      <c r="P932" s="265">
        <f t="shared" si="341"/>
        <v>0</v>
      </c>
      <c r="Q932" s="271">
        <f t="shared" si="342"/>
        <v>0</v>
      </c>
    </row>
    <row r="933" spans="1:17" x14ac:dyDescent="0.2">
      <c r="A933" s="264" t="s">
        <v>602</v>
      </c>
      <c r="B933" s="202" t="s">
        <v>609</v>
      </c>
      <c r="C933" s="202" t="s">
        <v>670</v>
      </c>
      <c r="D933" s="202" t="s">
        <v>601</v>
      </c>
      <c r="E933" s="202"/>
      <c r="F933" s="265">
        <v>27914.2</v>
      </c>
      <c r="G933" s="265">
        <v>0</v>
      </c>
      <c r="H933" s="265">
        <v>27914.2</v>
      </c>
      <c r="I933" s="265">
        <v>0</v>
      </c>
      <c r="J933" s="265">
        <f t="shared" si="339"/>
        <v>0</v>
      </c>
      <c r="K933" s="265">
        <f t="shared" si="340"/>
        <v>0</v>
      </c>
      <c r="L933" s="265">
        <v>27914.2</v>
      </c>
      <c r="M933" s="226">
        <v>0</v>
      </c>
      <c r="N933" s="265">
        <v>27914.2</v>
      </c>
      <c r="O933" s="226">
        <v>0</v>
      </c>
      <c r="P933" s="265">
        <f t="shared" si="341"/>
        <v>0</v>
      </c>
      <c r="Q933" s="271">
        <f t="shared" si="342"/>
        <v>0</v>
      </c>
    </row>
    <row r="934" spans="1:17" ht="22.5" x14ac:dyDescent="0.2">
      <c r="A934" s="264" t="s">
        <v>600</v>
      </c>
      <c r="B934" s="202" t="s">
        <v>609</v>
      </c>
      <c r="C934" s="202" t="s">
        <v>670</v>
      </c>
      <c r="D934" s="202" t="s">
        <v>599</v>
      </c>
      <c r="E934" s="202"/>
      <c r="F934" s="265">
        <v>27914.2</v>
      </c>
      <c r="G934" s="265">
        <v>0</v>
      </c>
      <c r="H934" s="265">
        <v>27914.2</v>
      </c>
      <c r="I934" s="265">
        <v>0</v>
      </c>
      <c r="J934" s="265">
        <f t="shared" si="339"/>
        <v>0</v>
      </c>
      <c r="K934" s="265">
        <f t="shared" si="340"/>
        <v>0</v>
      </c>
      <c r="L934" s="265">
        <v>27914.2</v>
      </c>
      <c r="M934" s="226">
        <v>0</v>
      </c>
      <c r="N934" s="265">
        <v>27914.2</v>
      </c>
      <c r="O934" s="226">
        <v>0</v>
      </c>
      <c r="P934" s="265">
        <f t="shared" si="341"/>
        <v>0</v>
      </c>
      <c r="Q934" s="271">
        <f t="shared" si="342"/>
        <v>0</v>
      </c>
    </row>
    <row r="935" spans="1:17" ht="22.5" x14ac:dyDescent="0.2">
      <c r="A935" s="264" t="s">
        <v>885</v>
      </c>
      <c r="B935" s="202" t="s">
        <v>609</v>
      </c>
      <c r="C935" s="202" t="s">
        <v>670</v>
      </c>
      <c r="D935" s="202" t="s">
        <v>884</v>
      </c>
      <c r="E935" s="202"/>
      <c r="F935" s="265">
        <v>16835.099999999999</v>
      </c>
      <c r="G935" s="265">
        <v>0</v>
      </c>
      <c r="H935" s="265">
        <v>16835.099999999999</v>
      </c>
      <c r="I935" s="265">
        <v>0</v>
      </c>
      <c r="J935" s="265">
        <f t="shared" si="339"/>
        <v>0</v>
      </c>
      <c r="K935" s="265">
        <f t="shared" si="340"/>
        <v>0</v>
      </c>
      <c r="L935" s="265">
        <v>16835.099999999999</v>
      </c>
      <c r="M935" s="226">
        <v>0</v>
      </c>
      <c r="N935" s="265">
        <v>16835.099999999999</v>
      </c>
      <c r="O935" s="226">
        <v>0</v>
      </c>
      <c r="P935" s="265">
        <f t="shared" si="341"/>
        <v>0</v>
      </c>
      <c r="Q935" s="271">
        <f t="shared" si="342"/>
        <v>0</v>
      </c>
    </row>
    <row r="936" spans="1:17" x14ac:dyDescent="0.2">
      <c r="A936" s="264" t="s">
        <v>547</v>
      </c>
      <c r="B936" s="202" t="s">
        <v>609</v>
      </c>
      <c r="C936" s="202" t="s">
        <v>670</v>
      </c>
      <c r="D936" s="202" t="s">
        <v>884</v>
      </c>
      <c r="E936" s="202" t="s">
        <v>519</v>
      </c>
      <c r="F936" s="265">
        <v>16835.099999999999</v>
      </c>
      <c r="G936" s="265">
        <v>0</v>
      </c>
      <c r="H936" s="265">
        <v>16835.099999999999</v>
      </c>
      <c r="I936" s="265">
        <v>0</v>
      </c>
      <c r="J936" s="265">
        <f t="shared" si="339"/>
        <v>0</v>
      </c>
      <c r="K936" s="265">
        <f t="shared" si="340"/>
        <v>0</v>
      </c>
      <c r="L936" s="265">
        <v>16835.099999999999</v>
      </c>
      <c r="M936" s="226">
        <v>0</v>
      </c>
      <c r="N936" s="265">
        <v>16835.099999999999</v>
      </c>
      <c r="O936" s="226">
        <v>0</v>
      </c>
      <c r="P936" s="265">
        <f t="shared" si="341"/>
        <v>0</v>
      </c>
      <c r="Q936" s="271">
        <f t="shared" si="342"/>
        <v>0</v>
      </c>
    </row>
    <row r="937" spans="1:17" x14ac:dyDescent="0.2">
      <c r="A937" s="264" t="s">
        <v>571</v>
      </c>
      <c r="B937" s="202" t="s">
        <v>609</v>
      </c>
      <c r="C937" s="202" t="s">
        <v>670</v>
      </c>
      <c r="D937" s="202" t="s">
        <v>884</v>
      </c>
      <c r="E937" s="202" t="s">
        <v>522</v>
      </c>
      <c r="F937" s="265">
        <v>16835.099999999999</v>
      </c>
      <c r="G937" s="265">
        <v>0</v>
      </c>
      <c r="H937" s="265">
        <v>16835.099999999999</v>
      </c>
      <c r="I937" s="265">
        <v>0</v>
      </c>
      <c r="J937" s="265">
        <f t="shared" si="339"/>
        <v>0</v>
      </c>
      <c r="K937" s="265">
        <f t="shared" si="340"/>
        <v>0</v>
      </c>
      <c r="L937" s="265">
        <v>16835.099999999999</v>
      </c>
      <c r="M937" s="226">
        <v>0</v>
      </c>
      <c r="N937" s="265">
        <v>16835.099999999999</v>
      </c>
      <c r="O937" s="226">
        <v>0</v>
      </c>
      <c r="P937" s="265">
        <f t="shared" si="341"/>
        <v>0</v>
      </c>
      <c r="Q937" s="271">
        <f t="shared" si="342"/>
        <v>0</v>
      </c>
    </row>
    <row r="938" spans="1:17" ht="22.5" x14ac:dyDescent="0.2">
      <c r="A938" s="264" t="s">
        <v>883</v>
      </c>
      <c r="B938" s="202" t="s">
        <v>609</v>
      </c>
      <c r="C938" s="202" t="s">
        <v>670</v>
      </c>
      <c r="D938" s="202" t="s">
        <v>882</v>
      </c>
      <c r="E938" s="202"/>
      <c r="F938" s="265">
        <v>11079.1</v>
      </c>
      <c r="G938" s="265">
        <v>0</v>
      </c>
      <c r="H938" s="265">
        <v>11079.1</v>
      </c>
      <c r="I938" s="265">
        <v>0</v>
      </c>
      <c r="J938" s="265">
        <f t="shared" si="339"/>
        <v>0</v>
      </c>
      <c r="K938" s="265">
        <f t="shared" si="340"/>
        <v>0</v>
      </c>
      <c r="L938" s="265">
        <v>11079.1</v>
      </c>
      <c r="M938" s="226">
        <v>0</v>
      </c>
      <c r="N938" s="265">
        <v>11079.1</v>
      </c>
      <c r="O938" s="226">
        <v>0</v>
      </c>
      <c r="P938" s="265">
        <f t="shared" si="341"/>
        <v>0</v>
      </c>
      <c r="Q938" s="271">
        <f t="shared" si="342"/>
        <v>0</v>
      </c>
    </row>
    <row r="939" spans="1:17" x14ac:dyDescent="0.2">
      <c r="A939" s="264" t="s">
        <v>547</v>
      </c>
      <c r="B939" s="202" t="s">
        <v>609</v>
      </c>
      <c r="C939" s="202" t="s">
        <v>670</v>
      </c>
      <c r="D939" s="202" t="s">
        <v>882</v>
      </c>
      <c r="E939" s="202" t="s">
        <v>519</v>
      </c>
      <c r="F939" s="265">
        <v>11079.1</v>
      </c>
      <c r="G939" s="265">
        <v>0</v>
      </c>
      <c r="H939" s="265">
        <v>11079.1</v>
      </c>
      <c r="I939" s="265">
        <v>0</v>
      </c>
      <c r="J939" s="265">
        <f t="shared" si="339"/>
        <v>0</v>
      </c>
      <c r="K939" s="265">
        <f t="shared" si="340"/>
        <v>0</v>
      </c>
      <c r="L939" s="265">
        <v>11079.1</v>
      </c>
      <c r="M939" s="226">
        <v>0</v>
      </c>
      <c r="N939" s="265">
        <v>11079.1</v>
      </c>
      <c r="O939" s="226">
        <v>0</v>
      </c>
      <c r="P939" s="265">
        <f t="shared" si="341"/>
        <v>0</v>
      </c>
      <c r="Q939" s="271">
        <f t="shared" si="342"/>
        <v>0</v>
      </c>
    </row>
    <row r="940" spans="1:17" x14ac:dyDescent="0.2">
      <c r="A940" s="264" t="s">
        <v>571</v>
      </c>
      <c r="B940" s="202" t="s">
        <v>609</v>
      </c>
      <c r="C940" s="202" t="s">
        <v>670</v>
      </c>
      <c r="D940" s="202" t="s">
        <v>882</v>
      </c>
      <c r="E940" s="202" t="s">
        <v>522</v>
      </c>
      <c r="F940" s="265">
        <v>11079.1</v>
      </c>
      <c r="G940" s="265">
        <v>0</v>
      </c>
      <c r="H940" s="265">
        <v>11079.1</v>
      </c>
      <c r="I940" s="265">
        <v>0</v>
      </c>
      <c r="J940" s="265">
        <f t="shared" si="339"/>
        <v>0</v>
      </c>
      <c r="K940" s="265">
        <f t="shared" si="340"/>
        <v>0</v>
      </c>
      <c r="L940" s="265">
        <v>11079.1</v>
      </c>
      <c r="M940" s="226">
        <v>0</v>
      </c>
      <c r="N940" s="265">
        <v>11079.1</v>
      </c>
      <c r="O940" s="226">
        <v>0</v>
      </c>
      <c r="P940" s="265">
        <f t="shared" si="341"/>
        <v>0</v>
      </c>
      <c r="Q940" s="271">
        <f t="shared" si="342"/>
        <v>0</v>
      </c>
    </row>
    <row r="941" spans="1:17" s="97" customFormat="1" x14ac:dyDescent="0.2">
      <c r="A941" s="262" t="s">
        <v>1345</v>
      </c>
      <c r="B941" s="199" t="s">
        <v>617</v>
      </c>
      <c r="C941" s="199"/>
      <c r="D941" s="199"/>
      <c r="E941" s="199"/>
      <c r="F941" s="263">
        <v>515034.10000000003</v>
      </c>
      <c r="G941" s="263">
        <v>0</v>
      </c>
      <c r="H941" s="263">
        <f>H942</f>
        <v>515034.10000000003</v>
      </c>
      <c r="I941" s="263">
        <v>0</v>
      </c>
      <c r="J941" s="263">
        <f t="shared" si="339"/>
        <v>0</v>
      </c>
      <c r="K941" s="263">
        <f t="shared" si="340"/>
        <v>0</v>
      </c>
      <c r="L941" s="263">
        <v>516084.2</v>
      </c>
      <c r="M941" s="205">
        <v>0</v>
      </c>
      <c r="N941" s="263">
        <f>N942</f>
        <v>516084.2</v>
      </c>
      <c r="O941" s="205">
        <v>0</v>
      </c>
      <c r="P941" s="282">
        <f t="shared" si="341"/>
        <v>0</v>
      </c>
      <c r="Q941" s="272">
        <f t="shared" si="342"/>
        <v>0</v>
      </c>
    </row>
    <row r="942" spans="1:17" x14ac:dyDescent="0.2">
      <c r="A942" s="264" t="s">
        <v>654</v>
      </c>
      <c r="B942" s="202" t="s">
        <v>617</v>
      </c>
      <c r="C942" s="202" t="s">
        <v>498</v>
      </c>
      <c r="D942" s="202"/>
      <c r="E942" s="202"/>
      <c r="F942" s="265">
        <v>515034.10000000003</v>
      </c>
      <c r="G942" s="265">
        <v>0</v>
      </c>
      <c r="H942" s="265">
        <f>H943+H990+H1000+H1006</f>
        <v>515034.10000000003</v>
      </c>
      <c r="I942" s="265">
        <v>0</v>
      </c>
      <c r="J942" s="265">
        <f t="shared" si="339"/>
        <v>0</v>
      </c>
      <c r="K942" s="265">
        <f t="shared" si="340"/>
        <v>0</v>
      </c>
      <c r="L942" s="265">
        <v>516084.2</v>
      </c>
      <c r="M942" s="226">
        <v>0</v>
      </c>
      <c r="N942" s="265">
        <f>N943+N990+N1000+N1006</f>
        <v>516084.2</v>
      </c>
      <c r="O942" s="226">
        <v>0</v>
      </c>
      <c r="P942" s="281">
        <f t="shared" si="341"/>
        <v>0</v>
      </c>
      <c r="Q942" s="271">
        <f t="shared" si="342"/>
        <v>0</v>
      </c>
    </row>
    <row r="943" spans="1:17" x14ac:dyDescent="0.2">
      <c r="A943" s="264" t="s">
        <v>653</v>
      </c>
      <c r="B943" s="202" t="s">
        <v>617</v>
      </c>
      <c r="C943" s="202" t="s">
        <v>498</v>
      </c>
      <c r="D943" s="202" t="s">
        <v>652</v>
      </c>
      <c r="E943" s="202"/>
      <c r="F943" s="265">
        <v>509898.10000000003</v>
      </c>
      <c r="G943" s="265">
        <v>0</v>
      </c>
      <c r="H943" s="265">
        <f>H944+H949+H958+H983</f>
        <v>509898.10000000003</v>
      </c>
      <c r="I943" s="265">
        <v>0</v>
      </c>
      <c r="J943" s="265">
        <f t="shared" si="339"/>
        <v>0</v>
      </c>
      <c r="K943" s="265">
        <f t="shared" si="340"/>
        <v>0</v>
      </c>
      <c r="L943" s="265">
        <v>509658.2</v>
      </c>
      <c r="M943" s="226">
        <v>0</v>
      </c>
      <c r="N943" s="265">
        <f>N944+N949+N958+N983</f>
        <v>509658.2</v>
      </c>
      <c r="O943" s="226">
        <v>0</v>
      </c>
      <c r="P943" s="281">
        <f t="shared" si="341"/>
        <v>0</v>
      </c>
      <c r="Q943" s="271">
        <f t="shared" si="342"/>
        <v>0</v>
      </c>
    </row>
    <row r="944" spans="1:17" x14ac:dyDescent="0.2">
      <c r="A944" s="264" t="s">
        <v>651</v>
      </c>
      <c r="B944" s="202" t="s">
        <v>617</v>
      </c>
      <c r="C944" s="202" t="s">
        <v>498</v>
      </c>
      <c r="D944" s="202" t="s">
        <v>650</v>
      </c>
      <c r="E944" s="202"/>
      <c r="F944" s="265">
        <v>26119.8</v>
      </c>
      <c r="G944" s="265">
        <v>0</v>
      </c>
      <c r="H944" s="265">
        <v>26119.8</v>
      </c>
      <c r="I944" s="265">
        <v>0</v>
      </c>
      <c r="J944" s="265">
        <f t="shared" si="339"/>
        <v>0</v>
      </c>
      <c r="K944" s="265">
        <f t="shared" si="340"/>
        <v>0</v>
      </c>
      <c r="L944" s="265">
        <v>26119.8</v>
      </c>
      <c r="M944" s="226">
        <v>0</v>
      </c>
      <c r="N944" s="265">
        <v>26119.8</v>
      </c>
      <c r="O944" s="226">
        <v>0</v>
      </c>
      <c r="P944" s="265">
        <f t="shared" si="341"/>
        <v>0</v>
      </c>
      <c r="Q944" s="271">
        <f t="shared" si="342"/>
        <v>0</v>
      </c>
    </row>
    <row r="945" spans="1:17" x14ac:dyDescent="0.2">
      <c r="A945" s="264" t="s">
        <v>649</v>
      </c>
      <c r="B945" s="202" t="s">
        <v>617</v>
      </c>
      <c r="C945" s="202" t="s">
        <v>498</v>
      </c>
      <c r="D945" s="202" t="s">
        <v>648</v>
      </c>
      <c r="E945" s="202"/>
      <c r="F945" s="265">
        <v>26119.8</v>
      </c>
      <c r="G945" s="265">
        <v>0</v>
      </c>
      <c r="H945" s="265">
        <v>26119.8</v>
      </c>
      <c r="I945" s="265">
        <v>0</v>
      </c>
      <c r="J945" s="265">
        <f t="shared" si="339"/>
        <v>0</v>
      </c>
      <c r="K945" s="265">
        <f t="shared" si="340"/>
        <v>0</v>
      </c>
      <c r="L945" s="265">
        <v>26119.8</v>
      </c>
      <c r="M945" s="226">
        <v>0</v>
      </c>
      <c r="N945" s="265">
        <v>26119.8</v>
      </c>
      <c r="O945" s="226">
        <v>0</v>
      </c>
      <c r="P945" s="265">
        <f t="shared" si="341"/>
        <v>0</v>
      </c>
      <c r="Q945" s="271">
        <f t="shared" si="342"/>
        <v>0</v>
      </c>
    </row>
    <row r="946" spans="1:17" x14ac:dyDescent="0.2">
      <c r="A946" s="264" t="s">
        <v>647</v>
      </c>
      <c r="B946" s="202" t="s">
        <v>617</v>
      </c>
      <c r="C946" s="202" t="s">
        <v>498</v>
      </c>
      <c r="D946" s="202" t="s">
        <v>646</v>
      </c>
      <c r="E946" s="202"/>
      <c r="F946" s="265">
        <v>26119.8</v>
      </c>
      <c r="G946" s="265">
        <v>0</v>
      </c>
      <c r="H946" s="265">
        <v>26119.8</v>
      </c>
      <c r="I946" s="265">
        <v>0</v>
      </c>
      <c r="J946" s="265">
        <f t="shared" si="339"/>
        <v>0</v>
      </c>
      <c r="K946" s="265">
        <f t="shared" si="340"/>
        <v>0</v>
      </c>
      <c r="L946" s="265">
        <v>26119.8</v>
      </c>
      <c r="M946" s="226">
        <v>0</v>
      </c>
      <c r="N946" s="265">
        <v>26119.8</v>
      </c>
      <c r="O946" s="226">
        <v>0</v>
      </c>
      <c r="P946" s="265">
        <f t="shared" si="341"/>
        <v>0</v>
      </c>
      <c r="Q946" s="271">
        <f t="shared" si="342"/>
        <v>0</v>
      </c>
    </row>
    <row r="947" spans="1:17" x14ac:dyDescent="0.2">
      <c r="A947" s="264" t="s">
        <v>547</v>
      </c>
      <c r="B947" s="202" t="s">
        <v>617</v>
      </c>
      <c r="C947" s="202" t="s">
        <v>498</v>
      </c>
      <c r="D947" s="202" t="s">
        <v>646</v>
      </c>
      <c r="E947" s="202" t="s">
        <v>519</v>
      </c>
      <c r="F947" s="265">
        <v>26119.8</v>
      </c>
      <c r="G947" s="265">
        <v>0</v>
      </c>
      <c r="H947" s="265">
        <v>26119.8</v>
      </c>
      <c r="I947" s="265">
        <v>0</v>
      </c>
      <c r="J947" s="265">
        <f t="shared" si="339"/>
        <v>0</v>
      </c>
      <c r="K947" s="265">
        <f t="shared" si="340"/>
        <v>0</v>
      </c>
      <c r="L947" s="265">
        <v>26119.8</v>
      </c>
      <c r="M947" s="226">
        <v>0</v>
      </c>
      <c r="N947" s="265">
        <v>26119.8</v>
      </c>
      <c r="O947" s="226">
        <v>0</v>
      </c>
      <c r="P947" s="265">
        <f t="shared" si="341"/>
        <v>0</v>
      </c>
      <c r="Q947" s="271">
        <f t="shared" si="342"/>
        <v>0</v>
      </c>
    </row>
    <row r="948" spans="1:17" x14ac:dyDescent="0.2">
      <c r="A948" s="264" t="s">
        <v>571</v>
      </c>
      <c r="B948" s="202" t="s">
        <v>617</v>
      </c>
      <c r="C948" s="202" t="s">
        <v>498</v>
      </c>
      <c r="D948" s="202" t="s">
        <v>646</v>
      </c>
      <c r="E948" s="202" t="s">
        <v>522</v>
      </c>
      <c r="F948" s="265">
        <v>26119.8</v>
      </c>
      <c r="G948" s="265">
        <v>0</v>
      </c>
      <c r="H948" s="265">
        <v>26119.8</v>
      </c>
      <c r="I948" s="265">
        <v>0</v>
      </c>
      <c r="J948" s="265">
        <f t="shared" si="339"/>
        <v>0</v>
      </c>
      <c r="K948" s="265">
        <f t="shared" si="340"/>
        <v>0</v>
      </c>
      <c r="L948" s="265">
        <v>26119.8</v>
      </c>
      <c r="M948" s="226">
        <v>0</v>
      </c>
      <c r="N948" s="265">
        <v>26119.8</v>
      </c>
      <c r="O948" s="226">
        <v>0</v>
      </c>
      <c r="P948" s="265">
        <f t="shared" si="341"/>
        <v>0</v>
      </c>
      <c r="Q948" s="271">
        <f t="shared" si="342"/>
        <v>0</v>
      </c>
    </row>
    <row r="949" spans="1:17" x14ac:dyDescent="0.2">
      <c r="A949" s="264" t="s">
        <v>645</v>
      </c>
      <c r="B949" s="202" t="s">
        <v>617</v>
      </c>
      <c r="C949" s="202" t="s">
        <v>498</v>
      </c>
      <c r="D949" s="202" t="s">
        <v>644</v>
      </c>
      <c r="E949" s="202"/>
      <c r="F949" s="265">
        <v>90054.399999999994</v>
      </c>
      <c r="G949" s="265">
        <v>0</v>
      </c>
      <c r="H949" s="265">
        <v>90054.399999999994</v>
      </c>
      <c r="I949" s="265">
        <v>0</v>
      </c>
      <c r="J949" s="265">
        <f t="shared" si="339"/>
        <v>0</v>
      </c>
      <c r="K949" s="265">
        <f t="shared" si="340"/>
        <v>0</v>
      </c>
      <c r="L949" s="265">
        <v>90054.399999999994</v>
      </c>
      <c r="M949" s="226">
        <v>0</v>
      </c>
      <c r="N949" s="265">
        <v>90054.399999999994</v>
      </c>
      <c r="O949" s="226">
        <v>0</v>
      </c>
      <c r="P949" s="265">
        <f t="shared" si="341"/>
        <v>0</v>
      </c>
      <c r="Q949" s="271">
        <f t="shared" si="342"/>
        <v>0</v>
      </c>
    </row>
    <row r="950" spans="1:17" ht="22.5" x14ac:dyDescent="0.2">
      <c r="A950" s="264" t="s">
        <v>643</v>
      </c>
      <c r="B950" s="202" t="s">
        <v>617</v>
      </c>
      <c r="C950" s="202" t="s">
        <v>498</v>
      </c>
      <c r="D950" s="202" t="s">
        <v>642</v>
      </c>
      <c r="E950" s="202"/>
      <c r="F950" s="265">
        <v>90054.399999999994</v>
      </c>
      <c r="G950" s="265">
        <v>0</v>
      </c>
      <c r="H950" s="265">
        <f>H951+H954</f>
        <v>90054.399999999994</v>
      </c>
      <c r="I950" s="265">
        <v>0</v>
      </c>
      <c r="J950" s="265">
        <f t="shared" si="339"/>
        <v>0</v>
      </c>
      <c r="K950" s="265">
        <f t="shared" si="340"/>
        <v>0</v>
      </c>
      <c r="L950" s="265">
        <v>90054.399999999994</v>
      </c>
      <c r="M950" s="226">
        <v>0</v>
      </c>
      <c r="N950" s="265">
        <f>N951+N954</f>
        <v>90054.399999999994</v>
      </c>
      <c r="O950" s="226">
        <v>0</v>
      </c>
      <c r="P950" s="265">
        <f t="shared" si="341"/>
        <v>0</v>
      </c>
      <c r="Q950" s="271">
        <f t="shared" si="342"/>
        <v>0</v>
      </c>
    </row>
    <row r="951" spans="1:17" ht="22.5" x14ac:dyDescent="0.2">
      <c r="A951" s="264" t="s">
        <v>881</v>
      </c>
      <c r="B951" s="202" t="s">
        <v>617</v>
      </c>
      <c r="C951" s="202" t="s">
        <v>498</v>
      </c>
      <c r="D951" s="202" t="s">
        <v>880</v>
      </c>
      <c r="E951" s="202"/>
      <c r="F951" s="265">
        <v>3107.4</v>
      </c>
      <c r="G951" s="265">
        <v>0</v>
      </c>
      <c r="H951" s="265">
        <v>3107.4</v>
      </c>
      <c r="I951" s="265">
        <v>0</v>
      </c>
      <c r="J951" s="265">
        <f t="shared" si="339"/>
        <v>0</v>
      </c>
      <c r="K951" s="265">
        <f t="shared" si="340"/>
        <v>0</v>
      </c>
      <c r="L951" s="265">
        <v>3107.4</v>
      </c>
      <c r="M951" s="226">
        <v>0</v>
      </c>
      <c r="N951" s="265">
        <v>3107.4</v>
      </c>
      <c r="O951" s="226">
        <v>0</v>
      </c>
      <c r="P951" s="265">
        <f t="shared" si="341"/>
        <v>0</v>
      </c>
      <c r="Q951" s="271">
        <f t="shared" si="342"/>
        <v>0</v>
      </c>
    </row>
    <row r="952" spans="1:17" x14ac:dyDescent="0.2">
      <c r="A952" s="264" t="s">
        <v>1347</v>
      </c>
      <c r="B952" s="202" t="s">
        <v>617</v>
      </c>
      <c r="C952" s="202" t="s">
        <v>498</v>
      </c>
      <c r="D952" s="202" t="s">
        <v>880</v>
      </c>
      <c r="E952" s="202" t="s">
        <v>535</v>
      </c>
      <c r="F952" s="265">
        <v>3107.4</v>
      </c>
      <c r="G952" s="265">
        <v>0</v>
      </c>
      <c r="H952" s="265">
        <v>3107.4</v>
      </c>
      <c r="I952" s="265">
        <v>0</v>
      </c>
      <c r="J952" s="265">
        <f t="shared" si="339"/>
        <v>0</v>
      </c>
      <c r="K952" s="265">
        <f t="shared" si="340"/>
        <v>0</v>
      </c>
      <c r="L952" s="265">
        <v>3107.4</v>
      </c>
      <c r="M952" s="226">
        <v>0</v>
      </c>
      <c r="N952" s="265">
        <v>3107.4</v>
      </c>
      <c r="O952" s="226">
        <v>0</v>
      </c>
      <c r="P952" s="265">
        <f t="shared" si="341"/>
        <v>0</v>
      </c>
      <c r="Q952" s="271">
        <f t="shared" si="342"/>
        <v>0</v>
      </c>
    </row>
    <row r="953" spans="1:17" x14ac:dyDescent="0.2">
      <c r="A953" s="264" t="s">
        <v>534</v>
      </c>
      <c r="B953" s="202" t="s">
        <v>617</v>
      </c>
      <c r="C953" s="202" t="s">
        <v>498</v>
      </c>
      <c r="D953" s="202" t="s">
        <v>880</v>
      </c>
      <c r="E953" s="202" t="s">
        <v>529</v>
      </c>
      <c r="F953" s="265">
        <v>3107.4</v>
      </c>
      <c r="G953" s="265">
        <v>0</v>
      </c>
      <c r="H953" s="265">
        <v>3107.4</v>
      </c>
      <c r="I953" s="265">
        <v>0</v>
      </c>
      <c r="J953" s="265">
        <f t="shared" si="339"/>
        <v>0</v>
      </c>
      <c r="K953" s="265">
        <f t="shared" si="340"/>
        <v>0</v>
      </c>
      <c r="L953" s="265">
        <v>3107.4</v>
      </c>
      <c r="M953" s="226">
        <v>0</v>
      </c>
      <c r="N953" s="265">
        <v>3107.4</v>
      </c>
      <c r="O953" s="226">
        <v>0</v>
      </c>
      <c r="P953" s="265">
        <f t="shared" si="341"/>
        <v>0</v>
      </c>
      <c r="Q953" s="271">
        <f t="shared" si="342"/>
        <v>0</v>
      </c>
    </row>
    <row r="954" spans="1:17" x14ac:dyDescent="0.2">
      <c r="A954" s="264" t="s">
        <v>641</v>
      </c>
      <c r="B954" s="202" t="s">
        <v>617</v>
      </c>
      <c r="C954" s="202" t="s">
        <v>498</v>
      </c>
      <c r="D954" s="202" t="s">
        <v>640</v>
      </c>
      <c r="E954" s="202"/>
      <c r="F954" s="265">
        <v>86947</v>
      </c>
      <c r="G954" s="265">
        <v>0</v>
      </c>
      <c r="H954" s="265">
        <f>H955</f>
        <v>86947</v>
      </c>
      <c r="I954" s="265">
        <v>0</v>
      </c>
      <c r="J954" s="265">
        <f t="shared" si="339"/>
        <v>0</v>
      </c>
      <c r="K954" s="265">
        <f t="shared" si="340"/>
        <v>0</v>
      </c>
      <c r="L954" s="265">
        <v>86947</v>
      </c>
      <c r="M954" s="226">
        <v>0</v>
      </c>
      <c r="N954" s="265">
        <f>N955</f>
        <v>86947</v>
      </c>
      <c r="O954" s="226">
        <v>0</v>
      </c>
      <c r="P954" s="265">
        <f t="shared" si="341"/>
        <v>0</v>
      </c>
      <c r="Q954" s="271">
        <f t="shared" si="342"/>
        <v>0</v>
      </c>
    </row>
    <row r="955" spans="1:17" x14ac:dyDescent="0.2">
      <c r="A955" s="264" t="s">
        <v>547</v>
      </c>
      <c r="B955" s="202" t="s">
        <v>617</v>
      </c>
      <c r="C955" s="202" t="s">
        <v>498</v>
      </c>
      <c r="D955" s="202" t="s">
        <v>640</v>
      </c>
      <c r="E955" s="202" t="s">
        <v>519</v>
      </c>
      <c r="F955" s="265">
        <v>86947</v>
      </c>
      <c r="G955" s="265">
        <v>0</v>
      </c>
      <c r="H955" s="265">
        <f>H956+H957</f>
        <v>86947</v>
      </c>
      <c r="I955" s="265">
        <v>0</v>
      </c>
      <c r="J955" s="265">
        <f t="shared" si="339"/>
        <v>0</v>
      </c>
      <c r="K955" s="265">
        <f t="shared" si="340"/>
        <v>0</v>
      </c>
      <c r="L955" s="265">
        <v>86947</v>
      </c>
      <c r="M955" s="226">
        <v>0</v>
      </c>
      <c r="N955" s="265">
        <f>N956+N957</f>
        <v>86947</v>
      </c>
      <c r="O955" s="226">
        <v>0</v>
      </c>
      <c r="P955" s="265">
        <f t="shared" si="341"/>
        <v>0</v>
      </c>
      <c r="Q955" s="271">
        <f t="shared" si="342"/>
        <v>0</v>
      </c>
    </row>
    <row r="956" spans="1:17" x14ac:dyDescent="0.2">
      <c r="A956" s="264" t="s">
        <v>571</v>
      </c>
      <c r="B956" s="202" t="s">
        <v>617</v>
      </c>
      <c r="C956" s="202" t="s">
        <v>498</v>
      </c>
      <c r="D956" s="202" t="s">
        <v>640</v>
      </c>
      <c r="E956" s="202" t="s">
        <v>522</v>
      </c>
      <c r="F956" s="265">
        <v>1174.3999999999996</v>
      </c>
      <c r="G956" s="265">
        <v>0</v>
      </c>
      <c r="H956" s="265">
        <f>'Ведомственная 2021-2022'!H1180</f>
        <v>1174.3999999999996</v>
      </c>
      <c r="I956" s="265">
        <v>0</v>
      </c>
      <c r="J956" s="281">
        <f t="shared" si="339"/>
        <v>0</v>
      </c>
      <c r="K956" s="265">
        <f t="shared" si="340"/>
        <v>0</v>
      </c>
      <c r="L956" s="265">
        <v>1174.3999999999996</v>
      </c>
      <c r="M956" s="226">
        <v>0</v>
      </c>
      <c r="N956" s="265">
        <f>'Ведомственная 2021-2022'!K1180</f>
        <v>1174.3999999999996</v>
      </c>
      <c r="O956" s="226">
        <v>0</v>
      </c>
      <c r="P956" s="281">
        <f t="shared" si="341"/>
        <v>0</v>
      </c>
      <c r="Q956" s="271">
        <f t="shared" si="342"/>
        <v>0</v>
      </c>
    </row>
    <row r="957" spans="1:17" x14ac:dyDescent="0.2">
      <c r="A957" s="264" t="s">
        <v>546</v>
      </c>
      <c r="B957" s="202" t="s">
        <v>617</v>
      </c>
      <c r="C957" s="202" t="s">
        <v>498</v>
      </c>
      <c r="D957" s="202" t="s">
        <v>640</v>
      </c>
      <c r="E957" s="202" t="s">
        <v>544</v>
      </c>
      <c r="F957" s="265">
        <v>85772.6</v>
      </c>
      <c r="G957" s="265">
        <v>0</v>
      </c>
      <c r="H957" s="265">
        <f>'Ведомственная 2021-2022'!H1181</f>
        <v>85772.6</v>
      </c>
      <c r="I957" s="265">
        <v>0</v>
      </c>
      <c r="J957" s="265">
        <f t="shared" si="339"/>
        <v>0</v>
      </c>
      <c r="K957" s="265">
        <f t="shared" si="340"/>
        <v>0</v>
      </c>
      <c r="L957" s="265">
        <v>85772.6</v>
      </c>
      <c r="M957" s="226">
        <v>0</v>
      </c>
      <c r="N957" s="265">
        <f>'Ведомственная 2021-2022'!K1181</f>
        <v>85772.6</v>
      </c>
      <c r="O957" s="226">
        <v>0</v>
      </c>
      <c r="P957" s="265">
        <f t="shared" si="341"/>
        <v>0</v>
      </c>
      <c r="Q957" s="271">
        <f t="shared" si="342"/>
        <v>0</v>
      </c>
    </row>
    <row r="958" spans="1:17" ht="22.5" x14ac:dyDescent="0.2">
      <c r="A958" s="264" t="s">
        <v>639</v>
      </c>
      <c r="B958" s="202" t="s">
        <v>617</v>
      </c>
      <c r="C958" s="202" t="s">
        <v>498</v>
      </c>
      <c r="D958" s="202" t="s">
        <v>638</v>
      </c>
      <c r="E958" s="202"/>
      <c r="F958" s="265">
        <v>389413.9</v>
      </c>
      <c r="G958" s="265">
        <v>0</v>
      </c>
      <c r="H958" s="265">
        <f>H959+H970+H976</f>
        <v>389413.9</v>
      </c>
      <c r="I958" s="265">
        <v>0</v>
      </c>
      <c r="J958" s="265">
        <f t="shared" si="339"/>
        <v>0</v>
      </c>
      <c r="K958" s="265">
        <f t="shared" si="340"/>
        <v>0</v>
      </c>
      <c r="L958" s="265">
        <v>389174</v>
      </c>
      <c r="M958" s="226">
        <v>0</v>
      </c>
      <c r="N958" s="265">
        <f>N959+N970+N976</f>
        <v>389174</v>
      </c>
      <c r="O958" s="226">
        <v>0</v>
      </c>
      <c r="P958" s="281">
        <f t="shared" si="341"/>
        <v>0</v>
      </c>
      <c r="Q958" s="271">
        <f t="shared" si="342"/>
        <v>0</v>
      </c>
    </row>
    <row r="959" spans="1:17" x14ac:dyDescent="0.2">
      <c r="A959" s="264" t="s">
        <v>637</v>
      </c>
      <c r="B959" s="202" t="s">
        <v>617</v>
      </c>
      <c r="C959" s="202" t="s">
        <v>498</v>
      </c>
      <c r="D959" s="202" t="s">
        <v>636</v>
      </c>
      <c r="E959" s="202"/>
      <c r="F959" s="265">
        <v>131047.3</v>
      </c>
      <c r="G959" s="265">
        <v>0</v>
      </c>
      <c r="H959" s="265">
        <f>H960+H964+H967</f>
        <v>131047.3</v>
      </c>
      <c r="I959" s="265">
        <v>0</v>
      </c>
      <c r="J959" s="265">
        <f t="shared" si="339"/>
        <v>0</v>
      </c>
      <c r="K959" s="265">
        <f t="shared" si="340"/>
        <v>0</v>
      </c>
      <c r="L959" s="265">
        <v>130807.4</v>
      </c>
      <c r="M959" s="226">
        <v>0</v>
      </c>
      <c r="N959" s="265">
        <f>N960+N964+N967</f>
        <v>130807.4</v>
      </c>
      <c r="O959" s="226">
        <v>0</v>
      </c>
      <c r="P959" s="281">
        <f t="shared" si="341"/>
        <v>0</v>
      </c>
      <c r="Q959" s="271">
        <f t="shared" si="342"/>
        <v>0</v>
      </c>
    </row>
    <row r="960" spans="1:17" x14ac:dyDescent="0.2">
      <c r="A960" s="264" t="s">
        <v>622</v>
      </c>
      <c r="B960" s="202" t="s">
        <v>617</v>
      </c>
      <c r="C960" s="202" t="s">
        <v>498</v>
      </c>
      <c r="D960" s="202" t="s">
        <v>635</v>
      </c>
      <c r="E960" s="202"/>
      <c r="F960" s="265">
        <v>14850</v>
      </c>
      <c r="G960" s="265">
        <v>0</v>
      </c>
      <c r="H960" s="265">
        <f>H961</f>
        <v>14850</v>
      </c>
      <c r="I960" s="265">
        <v>0</v>
      </c>
      <c r="J960" s="265">
        <f t="shared" si="339"/>
        <v>0</v>
      </c>
      <c r="K960" s="265">
        <f t="shared" si="340"/>
        <v>0</v>
      </c>
      <c r="L960" s="265">
        <v>14850</v>
      </c>
      <c r="M960" s="226">
        <v>0</v>
      </c>
      <c r="N960" s="265">
        <f>N961</f>
        <v>14850</v>
      </c>
      <c r="O960" s="226">
        <v>0</v>
      </c>
      <c r="P960" s="265">
        <f t="shared" si="341"/>
        <v>0</v>
      </c>
      <c r="Q960" s="271">
        <f t="shared" si="342"/>
        <v>0</v>
      </c>
    </row>
    <row r="961" spans="1:17" x14ac:dyDescent="0.2">
      <c r="A961" s="264" t="s">
        <v>547</v>
      </c>
      <c r="B961" s="202" t="s">
        <v>617</v>
      </c>
      <c r="C961" s="202" t="s">
        <v>498</v>
      </c>
      <c r="D961" s="202" t="s">
        <v>635</v>
      </c>
      <c r="E961" s="202" t="s">
        <v>519</v>
      </c>
      <c r="F961" s="265">
        <v>14850</v>
      </c>
      <c r="G961" s="265">
        <v>0</v>
      </c>
      <c r="H961" s="265">
        <f>H962+H963</f>
        <v>14850</v>
      </c>
      <c r="I961" s="265">
        <v>0</v>
      </c>
      <c r="J961" s="265">
        <f t="shared" si="339"/>
        <v>0</v>
      </c>
      <c r="K961" s="265">
        <f t="shared" si="340"/>
        <v>0</v>
      </c>
      <c r="L961" s="265">
        <v>14850</v>
      </c>
      <c r="M961" s="226">
        <v>0</v>
      </c>
      <c r="N961" s="265">
        <f>N962+N963</f>
        <v>14850</v>
      </c>
      <c r="O961" s="226">
        <v>0</v>
      </c>
      <c r="P961" s="265">
        <f t="shared" si="341"/>
        <v>0</v>
      </c>
      <c r="Q961" s="271">
        <f t="shared" si="342"/>
        <v>0</v>
      </c>
    </row>
    <row r="962" spans="1:17" x14ac:dyDescent="0.2">
      <c r="A962" s="264" t="s">
        <v>571</v>
      </c>
      <c r="B962" s="202" t="s">
        <v>617</v>
      </c>
      <c r="C962" s="202" t="s">
        <v>498</v>
      </c>
      <c r="D962" s="202" t="s">
        <v>635</v>
      </c>
      <c r="E962" s="202" t="s">
        <v>522</v>
      </c>
      <c r="F962" s="265">
        <v>11600</v>
      </c>
      <c r="G962" s="265">
        <v>0</v>
      </c>
      <c r="H962" s="265">
        <f>'Ведомственная 2021-2022'!H1186</f>
        <v>11600</v>
      </c>
      <c r="I962" s="265">
        <v>0</v>
      </c>
      <c r="J962" s="265">
        <f t="shared" si="339"/>
        <v>0</v>
      </c>
      <c r="K962" s="265">
        <f t="shared" si="340"/>
        <v>0</v>
      </c>
      <c r="L962" s="265">
        <v>11600</v>
      </c>
      <c r="M962" s="226">
        <v>0</v>
      </c>
      <c r="N962" s="265">
        <f>'Ведомственная 2021-2022'!K1186</f>
        <v>11600</v>
      </c>
      <c r="O962" s="226">
        <v>0</v>
      </c>
      <c r="P962" s="265">
        <f t="shared" si="341"/>
        <v>0</v>
      </c>
      <c r="Q962" s="271">
        <f t="shared" si="342"/>
        <v>0</v>
      </c>
    </row>
    <row r="963" spans="1:17" x14ac:dyDescent="0.2">
      <c r="A963" s="264" t="s">
        <v>546</v>
      </c>
      <c r="B963" s="202" t="s">
        <v>617</v>
      </c>
      <c r="C963" s="202" t="s">
        <v>498</v>
      </c>
      <c r="D963" s="202" t="s">
        <v>635</v>
      </c>
      <c r="E963" s="202" t="s">
        <v>544</v>
      </c>
      <c r="F963" s="265">
        <v>3250</v>
      </c>
      <c r="G963" s="265">
        <v>0</v>
      </c>
      <c r="H963" s="265">
        <f>'Ведомственная 2021-2022'!H1187</f>
        <v>3250</v>
      </c>
      <c r="I963" s="265">
        <v>0</v>
      </c>
      <c r="J963" s="265">
        <f t="shared" si="339"/>
        <v>0</v>
      </c>
      <c r="K963" s="265">
        <f t="shared" si="340"/>
        <v>0</v>
      </c>
      <c r="L963" s="265">
        <v>3250</v>
      </c>
      <c r="M963" s="226">
        <v>0</v>
      </c>
      <c r="N963" s="265">
        <f>'Ведомственная 2021-2022'!K1187</f>
        <v>3250</v>
      </c>
      <c r="O963" s="226">
        <v>0</v>
      </c>
      <c r="P963" s="265">
        <f t="shared" si="341"/>
        <v>0</v>
      </c>
      <c r="Q963" s="271">
        <f t="shared" si="342"/>
        <v>0</v>
      </c>
    </row>
    <row r="964" spans="1:17" ht="22.5" x14ac:dyDescent="0.2">
      <c r="A964" s="264" t="s">
        <v>634</v>
      </c>
      <c r="B964" s="202" t="s">
        <v>617</v>
      </c>
      <c r="C964" s="202" t="s">
        <v>498</v>
      </c>
      <c r="D964" s="202" t="s">
        <v>633</v>
      </c>
      <c r="E964" s="202"/>
      <c r="F964" s="265">
        <v>109479.5</v>
      </c>
      <c r="G964" s="265">
        <v>0</v>
      </c>
      <c r="H964" s="265">
        <v>109479.5</v>
      </c>
      <c r="I964" s="265">
        <v>0</v>
      </c>
      <c r="J964" s="265">
        <f t="shared" si="339"/>
        <v>0</v>
      </c>
      <c r="K964" s="265">
        <f t="shared" si="340"/>
        <v>0</v>
      </c>
      <c r="L964" s="265">
        <v>109479.5</v>
      </c>
      <c r="M964" s="226">
        <v>0</v>
      </c>
      <c r="N964" s="265">
        <v>109479.5</v>
      </c>
      <c r="O964" s="226">
        <v>0</v>
      </c>
      <c r="P964" s="265">
        <f t="shared" si="341"/>
        <v>0</v>
      </c>
      <c r="Q964" s="271">
        <f t="shared" si="342"/>
        <v>0</v>
      </c>
    </row>
    <row r="965" spans="1:17" x14ac:dyDescent="0.2">
      <c r="A965" s="264" t="s">
        <v>547</v>
      </c>
      <c r="B965" s="202" t="s">
        <v>617</v>
      </c>
      <c r="C965" s="202" t="s">
        <v>498</v>
      </c>
      <c r="D965" s="202" t="s">
        <v>633</v>
      </c>
      <c r="E965" s="202" t="s">
        <v>519</v>
      </c>
      <c r="F965" s="265">
        <v>109479.5</v>
      </c>
      <c r="G965" s="265">
        <v>0</v>
      </c>
      <c r="H965" s="265">
        <v>109479.5</v>
      </c>
      <c r="I965" s="265">
        <v>0</v>
      </c>
      <c r="J965" s="265">
        <f t="shared" si="339"/>
        <v>0</v>
      </c>
      <c r="K965" s="265">
        <f t="shared" si="340"/>
        <v>0</v>
      </c>
      <c r="L965" s="265">
        <v>109479.5</v>
      </c>
      <c r="M965" s="226">
        <v>0</v>
      </c>
      <c r="N965" s="265">
        <v>109479.5</v>
      </c>
      <c r="O965" s="226">
        <v>0</v>
      </c>
      <c r="P965" s="265">
        <f t="shared" si="341"/>
        <v>0</v>
      </c>
      <c r="Q965" s="271">
        <f t="shared" si="342"/>
        <v>0</v>
      </c>
    </row>
    <row r="966" spans="1:17" x14ac:dyDescent="0.2">
      <c r="A966" s="264" t="s">
        <v>571</v>
      </c>
      <c r="B966" s="202" t="s">
        <v>617</v>
      </c>
      <c r="C966" s="202" t="s">
        <v>498</v>
      </c>
      <c r="D966" s="202" t="s">
        <v>633</v>
      </c>
      <c r="E966" s="202" t="s">
        <v>522</v>
      </c>
      <c r="F966" s="265">
        <v>109479.5</v>
      </c>
      <c r="G966" s="265">
        <v>0</v>
      </c>
      <c r="H966" s="265">
        <v>109479.5</v>
      </c>
      <c r="I966" s="265">
        <v>0</v>
      </c>
      <c r="J966" s="265">
        <f t="shared" si="339"/>
        <v>0</v>
      </c>
      <c r="K966" s="265">
        <f t="shared" si="340"/>
        <v>0</v>
      </c>
      <c r="L966" s="265">
        <v>109479.5</v>
      </c>
      <c r="M966" s="226">
        <v>0</v>
      </c>
      <c r="N966" s="265">
        <v>109479.5</v>
      </c>
      <c r="O966" s="226">
        <v>0</v>
      </c>
      <c r="P966" s="265">
        <f t="shared" si="341"/>
        <v>0</v>
      </c>
      <c r="Q966" s="271">
        <f t="shared" si="342"/>
        <v>0</v>
      </c>
    </row>
    <row r="967" spans="1:17" ht="22.5" x14ac:dyDescent="0.2">
      <c r="A967" s="264" t="s">
        <v>632</v>
      </c>
      <c r="B967" s="202" t="s">
        <v>617</v>
      </c>
      <c r="C967" s="202" t="s">
        <v>498</v>
      </c>
      <c r="D967" s="202" t="s">
        <v>631</v>
      </c>
      <c r="E967" s="202"/>
      <c r="F967" s="265">
        <v>6717.8</v>
      </c>
      <c r="G967" s="265">
        <v>0</v>
      </c>
      <c r="H967" s="265">
        <f>H968</f>
        <v>6717.8</v>
      </c>
      <c r="I967" s="265">
        <v>0</v>
      </c>
      <c r="J967" s="281">
        <f t="shared" si="339"/>
        <v>0</v>
      </c>
      <c r="K967" s="265">
        <f t="shared" si="340"/>
        <v>0</v>
      </c>
      <c r="L967" s="265">
        <v>6477.9</v>
      </c>
      <c r="M967" s="226">
        <v>0</v>
      </c>
      <c r="N967" s="265">
        <f>N968</f>
        <v>6477.9</v>
      </c>
      <c r="O967" s="226">
        <v>0</v>
      </c>
      <c r="P967" s="265">
        <f t="shared" si="341"/>
        <v>0</v>
      </c>
      <c r="Q967" s="271">
        <f t="shared" si="342"/>
        <v>0</v>
      </c>
    </row>
    <row r="968" spans="1:17" x14ac:dyDescent="0.2">
      <c r="A968" s="264" t="s">
        <v>547</v>
      </c>
      <c r="B968" s="202" t="s">
        <v>617</v>
      </c>
      <c r="C968" s="202" t="s">
        <v>498</v>
      </c>
      <c r="D968" s="202" t="s">
        <v>631</v>
      </c>
      <c r="E968" s="202" t="s">
        <v>519</v>
      </c>
      <c r="F968" s="265">
        <v>6717.8</v>
      </c>
      <c r="G968" s="265">
        <v>0</v>
      </c>
      <c r="H968" s="265">
        <f>H969</f>
        <v>6717.8</v>
      </c>
      <c r="I968" s="265">
        <v>0</v>
      </c>
      <c r="J968" s="281">
        <f t="shared" si="339"/>
        <v>0</v>
      </c>
      <c r="K968" s="265">
        <f t="shared" si="340"/>
        <v>0</v>
      </c>
      <c r="L968" s="265">
        <v>6477.9</v>
      </c>
      <c r="M968" s="226">
        <v>0</v>
      </c>
      <c r="N968" s="265">
        <f>N969</f>
        <v>6477.9</v>
      </c>
      <c r="O968" s="226">
        <v>0</v>
      </c>
      <c r="P968" s="265">
        <f t="shared" si="341"/>
        <v>0</v>
      </c>
      <c r="Q968" s="271">
        <f t="shared" si="342"/>
        <v>0</v>
      </c>
    </row>
    <row r="969" spans="1:17" x14ac:dyDescent="0.2">
      <c r="A969" s="264" t="s">
        <v>571</v>
      </c>
      <c r="B969" s="202" t="s">
        <v>617</v>
      </c>
      <c r="C969" s="202" t="s">
        <v>498</v>
      </c>
      <c r="D969" s="202" t="s">
        <v>631</v>
      </c>
      <c r="E969" s="202" t="s">
        <v>522</v>
      </c>
      <c r="F969" s="265">
        <v>6717.8</v>
      </c>
      <c r="G969" s="265">
        <v>0</v>
      </c>
      <c r="H969" s="265">
        <f>'Ведомственная 2021-2022'!H1193</f>
        <v>6717.8</v>
      </c>
      <c r="I969" s="265">
        <v>0</v>
      </c>
      <c r="J969" s="281">
        <f t="shared" si="339"/>
        <v>0</v>
      </c>
      <c r="K969" s="265">
        <f t="shared" si="340"/>
        <v>0</v>
      </c>
      <c r="L969" s="265">
        <v>6477.9</v>
      </c>
      <c r="M969" s="226">
        <v>0</v>
      </c>
      <c r="N969" s="265">
        <f>'Ведомственная 2021-2022'!K1193</f>
        <v>6477.9</v>
      </c>
      <c r="O969" s="226">
        <v>0</v>
      </c>
      <c r="P969" s="265">
        <f t="shared" si="341"/>
        <v>0</v>
      </c>
      <c r="Q969" s="271">
        <f t="shared" si="342"/>
        <v>0</v>
      </c>
    </row>
    <row r="970" spans="1:17" ht="22.5" x14ac:dyDescent="0.2">
      <c r="A970" s="264" t="s">
        <v>630</v>
      </c>
      <c r="B970" s="202" t="s">
        <v>617</v>
      </c>
      <c r="C970" s="202" t="s">
        <v>498</v>
      </c>
      <c r="D970" s="202" t="s">
        <v>629</v>
      </c>
      <c r="E970" s="202"/>
      <c r="F970" s="265">
        <v>290</v>
      </c>
      <c r="G970" s="265">
        <v>0</v>
      </c>
      <c r="H970" s="265">
        <v>290</v>
      </c>
      <c r="I970" s="265">
        <v>0</v>
      </c>
      <c r="J970" s="265">
        <f t="shared" ref="J970:J1033" si="343">H970-F970</f>
        <v>0</v>
      </c>
      <c r="K970" s="265">
        <f t="shared" ref="K970:K1033" si="344">I970-G970</f>
        <v>0</v>
      </c>
      <c r="L970" s="265">
        <v>290</v>
      </c>
      <c r="M970" s="226">
        <v>0</v>
      </c>
      <c r="N970" s="265">
        <v>290</v>
      </c>
      <c r="O970" s="226">
        <v>0</v>
      </c>
      <c r="P970" s="265">
        <f t="shared" ref="P970:P1033" si="345">N970-L970</f>
        <v>0</v>
      </c>
      <c r="Q970" s="271">
        <f t="shared" ref="Q970:Q1033" si="346">O970-M970</f>
        <v>0</v>
      </c>
    </row>
    <row r="971" spans="1:17" x14ac:dyDescent="0.2">
      <c r="A971" s="264" t="s">
        <v>628</v>
      </c>
      <c r="B971" s="202" t="s">
        <v>617</v>
      </c>
      <c r="C971" s="202" t="s">
        <v>498</v>
      </c>
      <c r="D971" s="202" t="s">
        <v>627</v>
      </c>
      <c r="E971" s="202"/>
      <c r="F971" s="265">
        <v>290</v>
      </c>
      <c r="G971" s="265">
        <v>0</v>
      </c>
      <c r="H971" s="265">
        <v>290</v>
      </c>
      <c r="I971" s="265">
        <v>0</v>
      </c>
      <c r="J971" s="265">
        <f t="shared" si="343"/>
        <v>0</v>
      </c>
      <c r="K971" s="265">
        <f t="shared" si="344"/>
        <v>0</v>
      </c>
      <c r="L971" s="265">
        <v>290</v>
      </c>
      <c r="M971" s="226">
        <v>0</v>
      </c>
      <c r="N971" s="265">
        <v>290</v>
      </c>
      <c r="O971" s="226">
        <v>0</v>
      </c>
      <c r="P971" s="265">
        <f t="shared" si="345"/>
        <v>0</v>
      </c>
      <c r="Q971" s="271">
        <f t="shared" si="346"/>
        <v>0</v>
      </c>
    </row>
    <row r="972" spans="1:17" x14ac:dyDescent="0.2">
      <c r="A972" s="264" t="s">
        <v>1347</v>
      </c>
      <c r="B972" s="202" t="s">
        <v>617</v>
      </c>
      <c r="C972" s="202" t="s">
        <v>498</v>
      </c>
      <c r="D972" s="202" t="s">
        <v>627</v>
      </c>
      <c r="E972" s="202" t="s">
        <v>535</v>
      </c>
      <c r="F972" s="265">
        <v>25</v>
      </c>
      <c r="G972" s="265">
        <v>0</v>
      </c>
      <c r="H972" s="265">
        <v>25</v>
      </c>
      <c r="I972" s="265">
        <v>0</v>
      </c>
      <c r="J972" s="265">
        <f t="shared" si="343"/>
        <v>0</v>
      </c>
      <c r="K972" s="265">
        <f t="shared" si="344"/>
        <v>0</v>
      </c>
      <c r="L972" s="265">
        <v>25</v>
      </c>
      <c r="M972" s="226">
        <v>0</v>
      </c>
      <c r="N972" s="265">
        <v>25</v>
      </c>
      <c r="O972" s="226">
        <v>0</v>
      </c>
      <c r="P972" s="265">
        <f t="shared" si="345"/>
        <v>0</v>
      </c>
      <c r="Q972" s="271">
        <f t="shared" si="346"/>
        <v>0</v>
      </c>
    </row>
    <row r="973" spans="1:17" x14ac:dyDescent="0.2">
      <c r="A973" s="264" t="s">
        <v>534</v>
      </c>
      <c r="B973" s="202" t="s">
        <v>617</v>
      </c>
      <c r="C973" s="202" t="s">
        <v>498</v>
      </c>
      <c r="D973" s="202" t="s">
        <v>627</v>
      </c>
      <c r="E973" s="202" t="s">
        <v>529</v>
      </c>
      <c r="F973" s="265">
        <v>25</v>
      </c>
      <c r="G973" s="265">
        <v>0</v>
      </c>
      <c r="H973" s="265">
        <v>25</v>
      </c>
      <c r="I973" s="265">
        <v>0</v>
      </c>
      <c r="J973" s="265">
        <f t="shared" si="343"/>
        <v>0</v>
      </c>
      <c r="K973" s="265">
        <f t="shared" si="344"/>
        <v>0</v>
      </c>
      <c r="L973" s="265">
        <v>25</v>
      </c>
      <c r="M973" s="226">
        <v>0</v>
      </c>
      <c r="N973" s="265">
        <v>25</v>
      </c>
      <c r="O973" s="226">
        <v>0</v>
      </c>
      <c r="P973" s="265">
        <f t="shared" si="345"/>
        <v>0</v>
      </c>
      <c r="Q973" s="271">
        <f t="shared" si="346"/>
        <v>0</v>
      </c>
    </row>
    <row r="974" spans="1:17" x14ac:dyDescent="0.2">
      <c r="A974" s="264" t="s">
        <v>553</v>
      </c>
      <c r="B974" s="202" t="s">
        <v>617</v>
      </c>
      <c r="C974" s="202" t="s">
        <v>498</v>
      </c>
      <c r="D974" s="202" t="s">
        <v>627</v>
      </c>
      <c r="E974" s="202" t="s">
        <v>552</v>
      </c>
      <c r="F974" s="265">
        <v>265</v>
      </c>
      <c r="G974" s="265">
        <v>0</v>
      </c>
      <c r="H974" s="265">
        <v>265</v>
      </c>
      <c r="I974" s="265">
        <v>0</v>
      </c>
      <c r="J974" s="265">
        <f t="shared" si="343"/>
        <v>0</v>
      </c>
      <c r="K974" s="265">
        <f t="shared" si="344"/>
        <v>0</v>
      </c>
      <c r="L974" s="265">
        <v>265</v>
      </c>
      <c r="M974" s="226">
        <v>0</v>
      </c>
      <c r="N974" s="265">
        <v>265</v>
      </c>
      <c r="O974" s="226">
        <v>0</v>
      </c>
      <c r="P974" s="265">
        <f t="shared" si="345"/>
        <v>0</v>
      </c>
      <c r="Q974" s="271">
        <f t="shared" si="346"/>
        <v>0</v>
      </c>
    </row>
    <row r="975" spans="1:17" x14ac:dyDescent="0.2">
      <c r="A975" s="264" t="s">
        <v>621</v>
      </c>
      <c r="B975" s="202" t="s">
        <v>617</v>
      </c>
      <c r="C975" s="202" t="s">
        <v>498</v>
      </c>
      <c r="D975" s="202" t="s">
        <v>627</v>
      </c>
      <c r="E975" s="202" t="s">
        <v>619</v>
      </c>
      <c r="F975" s="265">
        <v>265</v>
      </c>
      <c r="G975" s="265">
        <v>0</v>
      </c>
      <c r="H975" s="265">
        <v>265</v>
      </c>
      <c r="I975" s="265">
        <v>0</v>
      </c>
      <c r="J975" s="265">
        <f t="shared" si="343"/>
        <v>0</v>
      </c>
      <c r="K975" s="265">
        <f t="shared" si="344"/>
        <v>0</v>
      </c>
      <c r="L975" s="265">
        <v>265</v>
      </c>
      <c r="M975" s="226">
        <v>0</v>
      </c>
      <c r="N975" s="265">
        <v>265</v>
      </c>
      <c r="O975" s="226">
        <v>0</v>
      </c>
      <c r="P975" s="265">
        <f t="shared" si="345"/>
        <v>0</v>
      </c>
      <c r="Q975" s="271">
        <f t="shared" si="346"/>
        <v>0</v>
      </c>
    </row>
    <row r="976" spans="1:17" x14ac:dyDescent="0.2">
      <c r="A976" s="264" t="s">
        <v>1357</v>
      </c>
      <c r="B976" s="202" t="s">
        <v>617</v>
      </c>
      <c r="C976" s="202" t="s">
        <v>498</v>
      </c>
      <c r="D976" s="202" t="s">
        <v>1358</v>
      </c>
      <c r="E976" s="202"/>
      <c r="F976" s="265">
        <v>258076.6</v>
      </c>
      <c r="G976" s="265">
        <v>0</v>
      </c>
      <c r="H976" s="265">
        <v>258076.6</v>
      </c>
      <c r="I976" s="265">
        <v>0</v>
      </c>
      <c r="J976" s="265">
        <f t="shared" si="343"/>
        <v>0</v>
      </c>
      <c r="K976" s="265">
        <f t="shared" si="344"/>
        <v>0</v>
      </c>
      <c r="L976" s="265">
        <v>258076.6</v>
      </c>
      <c r="M976" s="226">
        <v>0</v>
      </c>
      <c r="N976" s="265">
        <v>258076.6</v>
      </c>
      <c r="O976" s="226">
        <v>0</v>
      </c>
      <c r="P976" s="265">
        <f t="shared" si="345"/>
        <v>0</v>
      </c>
      <c r="Q976" s="271">
        <f t="shared" si="346"/>
        <v>0</v>
      </c>
    </row>
    <row r="977" spans="1:17" ht="22.5" x14ac:dyDescent="0.2">
      <c r="A977" s="264" t="s">
        <v>625</v>
      </c>
      <c r="B977" s="202" t="s">
        <v>617</v>
      </c>
      <c r="C977" s="202" t="s">
        <v>498</v>
      </c>
      <c r="D977" s="202" t="s">
        <v>1359</v>
      </c>
      <c r="E977" s="202"/>
      <c r="F977" s="265">
        <v>258076.6</v>
      </c>
      <c r="G977" s="265">
        <v>0</v>
      </c>
      <c r="H977" s="265">
        <v>258076.6</v>
      </c>
      <c r="I977" s="265">
        <v>0</v>
      </c>
      <c r="J977" s="265">
        <f t="shared" si="343"/>
        <v>0</v>
      </c>
      <c r="K977" s="265">
        <f t="shared" si="344"/>
        <v>0</v>
      </c>
      <c r="L977" s="265">
        <v>258076.6</v>
      </c>
      <c r="M977" s="226">
        <v>0</v>
      </c>
      <c r="N977" s="265">
        <v>258076.6</v>
      </c>
      <c r="O977" s="226">
        <v>0</v>
      </c>
      <c r="P977" s="265">
        <f t="shared" si="345"/>
        <v>0</v>
      </c>
      <c r="Q977" s="271">
        <f t="shared" si="346"/>
        <v>0</v>
      </c>
    </row>
    <row r="978" spans="1:17" x14ac:dyDescent="0.2">
      <c r="A978" s="264" t="s">
        <v>1347</v>
      </c>
      <c r="B978" s="202" t="s">
        <v>617</v>
      </c>
      <c r="C978" s="202" t="s">
        <v>498</v>
      </c>
      <c r="D978" s="202" t="s">
        <v>1359</v>
      </c>
      <c r="E978" s="202" t="s">
        <v>535</v>
      </c>
      <c r="F978" s="265">
        <v>3542.6</v>
      </c>
      <c r="G978" s="265">
        <v>0</v>
      </c>
      <c r="H978" s="265">
        <v>3542.6</v>
      </c>
      <c r="I978" s="265">
        <v>0</v>
      </c>
      <c r="J978" s="265">
        <f t="shared" si="343"/>
        <v>0</v>
      </c>
      <c r="K978" s="265">
        <f t="shared" si="344"/>
        <v>0</v>
      </c>
      <c r="L978" s="265">
        <v>3542.6</v>
      </c>
      <c r="M978" s="226">
        <v>0</v>
      </c>
      <c r="N978" s="265">
        <v>3542.6</v>
      </c>
      <c r="O978" s="226">
        <v>0</v>
      </c>
      <c r="P978" s="265">
        <f t="shared" si="345"/>
        <v>0</v>
      </c>
      <c r="Q978" s="271">
        <f t="shared" si="346"/>
        <v>0</v>
      </c>
    </row>
    <row r="979" spans="1:17" x14ac:dyDescent="0.2">
      <c r="A979" s="264" t="s">
        <v>534</v>
      </c>
      <c r="B979" s="202" t="s">
        <v>617</v>
      </c>
      <c r="C979" s="202" t="s">
        <v>498</v>
      </c>
      <c r="D979" s="202" t="s">
        <v>1359</v>
      </c>
      <c r="E979" s="202" t="s">
        <v>529</v>
      </c>
      <c r="F979" s="265">
        <v>3542.6</v>
      </c>
      <c r="G979" s="265">
        <v>0</v>
      </c>
      <c r="H979" s="265">
        <v>3542.6</v>
      </c>
      <c r="I979" s="265">
        <v>0</v>
      </c>
      <c r="J979" s="265">
        <f t="shared" si="343"/>
        <v>0</v>
      </c>
      <c r="K979" s="265">
        <f t="shared" si="344"/>
        <v>0</v>
      </c>
      <c r="L979" s="265">
        <v>3542.6</v>
      </c>
      <c r="M979" s="226">
        <v>0</v>
      </c>
      <c r="N979" s="265">
        <v>3542.6</v>
      </c>
      <c r="O979" s="226">
        <v>0</v>
      </c>
      <c r="P979" s="265">
        <f t="shared" si="345"/>
        <v>0</v>
      </c>
      <c r="Q979" s="271">
        <f t="shared" si="346"/>
        <v>0</v>
      </c>
    </row>
    <row r="980" spans="1:17" x14ac:dyDescent="0.2">
      <c r="A980" s="264" t="s">
        <v>547</v>
      </c>
      <c r="B980" s="202" t="s">
        <v>617</v>
      </c>
      <c r="C980" s="202" t="s">
        <v>498</v>
      </c>
      <c r="D980" s="202" t="s">
        <v>1359</v>
      </c>
      <c r="E980" s="202" t="s">
        <v>519</v>
      </c>
      <c r="F980" s="265">
        <v>254534</v>
      </c>
      <c r="G980" s="265">
        <v>0</v>
      </c>
      <c r="H980" s="265">
        <v>254534</v>
      </c>
      <c r="I980" s="265">
        <v>0</v>
      </c>
      <c r="J980" s="265">
        <f t="shared" si="343"/>
        <v>0</v>
      </c>
      <c r="K980" s="265">
        <f t="shared" si="344"/>
        <v>0</v>
      </c>
      <c r="L980" s="265">
        <v>254534</v>
      </c>
      <c r="M980" s="226">
        <v>0</v>
      </c>
      <c r="N980" s="265">
        <v>254534</v>
      </c>
      <c r="O980" s="226">
        <v>0</v>
      </c>
      <c r="P980" s="265">
        <f t="shared" si="345"/>
        <v>0</v>
      </c>
      <c r="Q980" s="271">
        <f t="shared" si="346"/>
        <v>0</v>
      </c>
    </row>
    <row r="981" spans="1:17" x14ac:dyDescent="0.2">
      <c r="A981" s="264" t="s">
        <v>571</v>
      </c>
      <c r="B981" s="202" t="s">
        <v>617</v>
      </c>
      <c r="C981" s="202" t="s">
        <v>498</v>
      </c>
      <c r="D981" s="202" t="s">
        <v>1359</v>
      </c>
      <c r="E981" s="202" t="s">
        <v>522</v>
      </c>
      <c r="F981" s="265">
        <v>178063</v>
      </c>
      <c r="G981" s="265">
        <v>0</v>
      </c>
      <c r="H981" s="265">
        <v>178063</v>
      </c>
      <c r="I981" s="265">
        <v>0</v>
      </c>
      <c r="J981" s="265">
        <f t="shared" si="343"/>
        <v>0</v>
      </c>
      <c r="K981" s="265">
        <f t="shared" si="344"/>
        <v>0</v>
      </c>
      <c r="L981" s="265">
        <v>178063</v>
      </c>
      <c r="M981" s="226">
        <v>0</v>
      </c>
      <c r="N981" s="265">
        <v>178063</v>
      </c>
      <c r="O981" s="226">
        <v>0</v>
      </c>
      <c r="P981" s="265">
        <f t="shared" si="345"/>
        <v>0</v>
      </c>
      <c r="Q981" s="271">
        <f t="shared" si="346"/>
        <v>0</v>
      </c>
    </row>
    <row r="982" spans="1:17" x14ac:dyDescent="0.2">
      <c r="A982" s="264" t="s">
        <v>546</v>
      </c>
      <c r="B982" s="202" t="s">
        <v>617</v>
      </c>
      <c r="C982" s="202" t="s">
        <v>498</v>
      </c>
      <c r="D982" s="202" t="s">
        <v>1359</v>
      </c>
      <c r="E982" s="202" t="s">
        <v>544</v>
      </c>
      <c r="F982" s="265">
        <v>76471</v>
      </c>
      <c r="G982" s="265">
        <v>0</v>
      </c>
      <c r="H982" s="265">
        <v>76471</v>
      </c>
      <c r="I982" s="265">
        <v>0</v>
      </c>
      <c r="J982" s="265">
        <f t="shared" si="343"/>
        <v>0</v>
      </c>
      <c r="K982" s="265">
        <f t="shared" si="344"/>
        <v>0</v>
      </c>
      <c r="L982" s="265">
        <v>76471</v>
      </c>
      <c r="M982" s="226">
        <v>0</v>
      </c>
      <c r="N982" s="265">
        <v>76471</v>
      </c>
      <c r="O982" s="226">
        <v>0</v>
      </c>
      <c r="P982" s="265">
        <f t="shared" si="345"/>
        <v>0</v>
      </c>
      <c r="Q982" s="271">
        <f t="shared" si="346"/>
        <v>0</v>
      </c>
    </row>
    <row r="983" spans="1:17" x14ac:dyDescent="0.2">
      <c r="A983" s="264" t="s">
        <v>602</v>
      </c>
      <c r="B983" s="202" t="s">
        <v>617</v>
      </c>
      <c r="C983" s="202" t="s">
        <v>498</v>
      </c>
      <c r="D983" s="202" t="s">
        <v>624</v>
      </c>
      <c r="E983" s="202"/>
      <c r="F983" s="265">
        <v>4310</v>
      </c>
      <c r="G983" s="265">
        <v>0</v>
      </c>
      <c r="H983" s="265">
        <f>H984</f>
        <v>4310</v>
      </c>
      <c r="I983" s="265">
        <v>0</v>
      </c>
      <c r="J983" s="281">
        <f t="shared" si="343"/>
        <v>0</v>
      </c>
      <c r="K983" s="265">
        <f t="shared" si="344"/>
        <v>0</v>
      </c>
      <c r="L983" s="265">
        <v>4310</v>
      </c>
      <c r="M983" s="226">
        <v>0</v>
      </c>
      <c r="N983" s="265">
        <f>N984</f>
        <v>4310</v>
      </c>
      <c r="O983" s="226">
        <v>0</v>
      </c>
      <c r="P983" s="281">
        <f t="shared" si="345"/>
        <v>0</v>
      </c>
      <c r="Q983" s="271">
        <f t="shared" si="346"/>
        <v>0</v>
      </c>
    </row>
    <row r="984" spans="1:17" ht="22.5" x14ac:dyDescent="0.2">
      <c r="A984" s="264" t="s">
        <v>600</v>
      </c>
      <c r="B984" s="202" t="s">
        <v>617</v>
      </c>
      <c r="C984" s="202" t="s">
        <v>498</v>
      </c>
      <c r="D984" s="202" t="s">
        <v>623</v>
      </c>
      <c r="E984" s="202"/>
      <c r="F984" s="265">
        <v>4310</v>
      </c>
      <c r="G984" s="265">
        <v>0</v>
      </c>
      <c r="H984" s="265">
        <f>H985</f>
        <v>4310</v>
      </c>
      <c r="I984" s="265">
        <v>0</v>
      </c>
      <c r="J984" s="281">
        <f t="shared" si="343"/>
        <v>0</v>
      </c>
      <c r="K984" s="265">
        <f t="shared" si="344"/>
        <v>0</v>
      </c>
      <c r="L984" s="265">
        <v>4310</v>
      </c>
      <c r="M984" s="226">
        <v>0</v>
      </c>
      <c r="N984" s="265">
        <f>N985</f>
        <v>4310</v>
      </c>
      <c r="O984" s="226">
        <v>0</v>
      </c>
      <c r="P984" s="281">
        <f t="shared" si="345"/>
        <v>0</v>
      </c>
      <c r="Q984" s="271">
        <f t="shared" si="346"/>
        <v>0</v>
      </c>
    </row>
    <row r="985" spans="1:17" x14ac:dyDescent="0.2">
      <c r="A985" s="264" t="s">
        <v>622</v>
      </c>
      <c r="B985" s="202" t="s">
        <v>617</v>
      </c>
      <c r="C985" s="202" t="s">
        <v>498</v>
      </c>
      <c r="D985" s="202" t="s">
        <v>620</v>
      </c>
      <c r="E985" s="202"/>
      <c r="F985" s="265">
        <v>4310</v>
      </c>
      <c r="G985" s="265">
        <v>0</v>
      </c>
      <c r="H985" s="265">
        <f>H986+H988</f>
        <v>4310</v>
      </c>
      <c r="I985" s="265">
        <v>0</v>
      </c>
      <c r="J985" s="281">
        <f t="shared" si="343"/>
        <v>0</v>
      </c>
      <c r="K985" s="265">
        <f t="shared" si="344"/>
        <v>0</v>
      </c>
      <c r="L985" s="265">
        <v>4310</v>
      </c>
      <c r="M985" s="226">
        <v>0</v>
      </c>
      <c r="N985" s="265">
        <f>N986+N988</f>
        <v>4310</v>
      </c>
      <c r="O985" s="226">
        <v>0</v>
      </c>
      <c r="P985" s="281">
        <f t="shared" si="345"/>
        <v>0</v>
      </c>
      <c r="Q985" s="271">
        <f t="shared" si="346"/>
        <v>0</v>
      </c>
    </row>
    <row r="986" spans="1:17" x14ac:dyDescent="0.2">
      <c r="A986" s="264" t="s">
        <v>1347</v>
      </c>
      <c r="B986" s="202" t="s">
        <v>617</v>
      </c>
      <c r="C986" s="202" t="s">
        <v>498</v>
      </c>
      <c r="D986" s="202" t="s">
        <v>620</v>
      </c>
      <c r="E986" s="202" t="s">
        <v>535</v>
      </c>
      <c r="F986" s="265">
        <v>1950</v>
      </c>
      <c r="G986" s="265">
        <v>0</v>
      </c>
      <c r="H986" s="265">
        <f>H987</f>
        <v>1950</v>
      </c>
      <c r="I986" s="265">
        <v>0</v>
      </c>
      <c r="J986" s="281">
        <f t="shared" si="343"/>
        <v>0</v>
      </c>
      <c r="K986" s="265">
        <f t="shared" si="344"/>
        <v>0</v>
      </c>
      <c r="L986" s="265">
        <v>1950</v>
      </c>
      <c r="M986" s="226">
        <v>0</v>
      </c>
      <c r="N986" s="265">
        <f>N987</f>
        <v>1950</v>
      </c>
      <c r="O986" s="226">
        <v>0</v>
      </c>
      <c r="P986" s="281">
        <f t="shared" si="345"/>
        <v>0</v>
      </c>
      <c r="Q986" s="271">
        <f t="shared" si="346"/>
        <v>0</v>
      </c>
    </row>
    <row r="987" spans="1:17" x14ac:dyDescent="0.2">
      <c r="A987" s="264" t="s">
        <v>534</v>
      </c>
      <c r="B987" s="202" t="s">
        <v>617</v>
      </c>
      <c r="C987" s="202" t="s">
        <v>498</v>
      </c>
      <c r="D987" s="202" t="s">
        <v>620</v>
      </c>
      <c r="E987" s="202" t="s">
        <v>529</v>
      </c>
      <c r="F987" s="265">
        <v>1950</v>
      </c>
      <c r="G987" s="265">
        <v>0</v>
      </c>
      <c r="H987" s="265">
        <f>'Ведомственная 2021-2022'!H1209</f>
        <v>1950</v>
      </c>
      <c r="I987" s="265">
        <v>0</v>
      </c>
      <c r="J987" s="281">
        <f t="shared" si="343"/>
        <v>0</v>
      </c>
      <c r="K987" s="265">
        <f t="shared" si="344"/>
        <v>0</v>
      </c>
      <c r="L987" s="265">
        <v>1950</v>
      </c>
      <c r="M987" s="226">
        <v>0</v>
      </c>
      <c r="N987" s="265">
        <f>'Ведомственная 2021-2022'!K1209</f>
        <v>1950</v>
      </c>
      <c r="O987" s="226">
        <v>0</v>
      </c>
      <c r="P987" s="281">
        <f t="shared" si="345"/>
        <v>0</v>
      </c>
      <c r="Q987" s="271">
        <f t="shared" si="346"/>
        <v>0</v>
      </c>
    </row>
    <row r="988" spans="1:17" x14ac:dyDescent="0.2">
      <c r="A988" s="264" t="s">
        <v>553</v>
      </c>
      <c r="B988" s="202" t="s">
        <v>617</v>
      </c>
      <c r="C988" s="202" t="s">
        <v>498</v>
      </c>
      <c r="D988" s="202" t="s">
        <v>620</v>
      </c>
      <c r="E988" s="202" t="s">
        <v>552</v>
      </c>
      <c r="F988" s="265">
        <v>2360</v>
      </c>
      <c r="G988" s="265">
        <v>0</v>
      </c>
      <c r="H988" s="265">
        <v>2360</v>
      </c>
      <c r="I988" s="265">
        <v>0</v>
      </c>
      <c r="J988" s="265">
        <f t="shared" si="343"/>
        <v>0</v>
      </c>
      <c r="K988" s="265">
        <f t="shared" si="344"/>
        <v>0</v>
      </c>
      <c r="L988" s="265">
        <v>2360</v>
      </c>
      <c r="M988" s="226">
        <v>0</v>
      </c>
      <c r="N988" s="265">
        <v>2360</v>
      </c>
      <c r="O988" s="226">
        <v>0</v>
      </c>
      <c r="P988" s="265">
        <f t="shared" si="345"/>
        <v>0</v>
      </c>
      <c r="Q988" s="271">
        <f t="shared" si="346"/>
        <v>0</v>
      </c>
    </row>
    <row r="989" spans="1:17" x14ac:dyDescent="0.2">
      <c r="A989" s="264" t="s">
        <v>621</v>
      </c>
      <c r="B989" s="202" t="s">
        <v>617</v>
      </c>
      <c r="C989" s="202" t="s">
        <v>498</v>
      </c>
      <c r="D989" s="202" t="s">
        <v>620</v>
      </c>
      <c r="E989" s="202" t="s">
        <v>619</v>
      </c>
      <c r="F989" s="265">
        <v>2360</v>
      </c>
      <c r="G989" s="265">
        <v>0</v>
      </c>
      <c r="H989" s="265">
        <v>2360</v>
      </c>
      <c r="I989" s="265">
        <v>0</v>
      </c>
      <c r="J989" s="265">
        <f t="shared" si="343"/>
        <v>0</v>
      </c>
      <c r="K989" s="265">
        <f t="shared" si="344"/>
        <v>0</v>
      </c>
      <c r="L989" s="265">
        <v>2360</v>
      </c>
      <c r="M989" s="226">
        <v>0</v>
      </c>
      <c r="N989" s="265">
        <v>2360</v>
      </c>
      <c r="O989" s="226">
        <v>0</v>
      </c>
      <c r="P989" s="265">
        <f t="shared" si="345"/>
        <v>0</v>
      </c>
      <c r="Q989" s="271">
        <f t="shared" si="346"/>
        <v>0</v>
      </c>
    </row>
    <row r="990" spans="1:17" x14ac:dyDescent="0.2">
      <c r="A990" s="264" t="s">
        <v>568</v>
      </c>
      <c r="B990" s="202" t="s">
        <v>617</v>
      </c>
      <c r="C990" s="202" t="s">
        <v>498</v>
      </c>
      <c r="D990" s="202" t="s">
        <v>567</v>
      </c>
      <c r="E990" s="202"/>
      <c r="F990" s="265">
        <v>350</v>
      </c>
      <c r="G990" s="265">
        <v>0</v>
      </c>
      <c r="H990" s="265">
        <f>H991</f>
        <v>350</v>
      </c>
      <c r="I990" s="265">
        <v>0</v>
      </c>
      <c r="J990" s="281">
        <f t="shared" si="343"/>
        <v>0</v>
      </c>
      <c r="K990" s="265">
        <f t="shared" si="344"/>
        <v>0</v>
      </c>
      <c r="L990" s="265">
        <v>350</v>
      </c>
      <c r="M990" s="226">
        <v>0</v>
      </c>
      <c r="N990" s="265">
        <f>N991</f>
        <v>350</v>
      </c>
      <c r="O990" s="226">
        <v>0</v>
      </c>
      <c r="P990" s="281">
        <f t="shared" si="345"/>
        <v>0</v>
      </c>
      <c r="Q990" s="271">
        <f t="shared" si="346"/>
        <v>0</v>
      </c>
    </row>
    <row r="991" spans="1:17" x14ac:dyDescent="0.2">
      <c r="A991" s="264" t="s">
        <v>566</v>
      </c>
      <c r="B991" s="202" t="s">
        <v>617</v>
      </c>
      <c r="C991" s="202" t="s">
        <v>498</v>
      </c>
      <c r="D991" s="202" t="s">
        <v>565</v>
      </c>
      <c r="E991" s="202"/>
      <c r="F991" s="265">
        <v>350</v>
      </c>
      <c r="G991" s="265">
        <v>0</v>
      </c>
      <c r="H991" s="265">
        <f>H992+H996</f>
        <v>350</v>
      </c>
      <c r="I991" s="265">
        <v>0</v>
      </c>
      <c r="J991" s="281">
        <f t="shared" si="343"/>
        <v>0</v>
      </c>
      <c r="K991" s="265">
        <f t="shared" si="344"/>
        <v>0</v>
      </c>
      <c r="L991" s="265">
        <v>350</v>
      </c>
      <c r="M991" s="226">
        <v>0</v>
      </c>
      <c r="N991" s="265">
        <f>N992+N996</f>
        <v>350</v>
      </c>
      <c r="O991" s="226">
        <v>0</v>
      </c>
      <c r="P991" s="281">
        <f t="shared" si="345"/>
        <v>0</v>
      </c>
      <c r="Q991" s="271">
        <f t="shared" si="346"/>
        <v>0</v>
      </c>
    </row>
    <row r="992" spans="1:17" ht="22.5" x14ac:dyDescent="0.2">
      <c r="A992" s="202" t="s">
        <v>1387</v>
      </c>
      <c r="B992" s="202" t="s">
        <v>617</v>
      </c>
      <c r="C992" s="202" t="s">
        <v>498</v>
      </c>
      <c r="D992" s="202" t="s">
        <v>578</v>
      </c>
      <c r="E992" s="202"/>
      <c r="F992" s="265">
        <v>300</v>
      </c>
      <c r="G992" s="265">
        <v>0</v>
      </c>
      <c r="H992" s="265">
        <f>H993</f>
        <v>300</v>
      </c>
      <c r="I992" s="265">
        <v>0</v>
      </c>
      <c r="J992" s="281">
        <f t="shared" si="343"/>
        <v>0</v>
      </c>
      <c r="K992" s="265">
        <f t="shared" si="344"/>
        <v>0</v>
      </c>
      <c r="L992" s="265">
        <v>300</v>
      </c>
      <c r="M992" s="226">
        <v>0</v>
      </c>
      <c r="N992" s="265">
        <f>N993</f>
        <v>300</v>
      </c>
      <c r="O992" s="226">
        <v>0</v>
      </c>
      <c r="P992" s="281">
        <f t="shared" si="345"/>
        <v>0</v>
      </c>
      <c r="Q992" s="271">
        <f t="shared" si="346"/>
        <v>0</v>
      </c>
    </row>
    <row r="993" spans="1:17" ht="34.5" customHeight="1" x14ac:dyDescent="0.2">
      <c r="A993" s="202" t="s">
        <v>1388</v>
      </c>
      <c r="B993" s="202" t="s">
        <v>617</v>
      </c>
      <c r="C993" s="202" t="s">
        <v>498</v>
      </c>
      <c r="D993" s="202" t="s">
        <v>577</v>
      </c>
      <c r="E993" s="202"/>
      <c r="F993" s="265">
        <v>300</v>
      </c>
      <c r="G993" s="265">
        <v>0</v>
      </c>
      <c r="H993" s="265">
        <f>H994</f>
        <v>300</v>
      </c>
      <c r="I993" s="265">
        <v>0</v>
      </c>
      <c r="J993" s="281">
        <f t="shared" si="343"/>
        <v>0</v>
      </c>
      <c r="K993" s="265">
        <f t="shared" si="344"/>
        <v>0</v>
      </c>
      <c r="L993" s="265">
        <v>300</v>
      </c>
      <c r="M993" s="226">
        <v>0</v>
      </c>
      <c r="N993" s="265">
        <f>N994</f>
        <v>300</v>
      </c>
      <c r="O993" s="226">
        <v>0</v>
      </c>
      <c r="P993" s="281">
        <f t="shared" si="345"/>
        <v>0</v>
      </c>
      <c r="Q993" s="271">
        <f t="shared" si="346"/>
        <v>0</v>
      </c>
    </row>
    <row r="994" spans="1:17" ht="27.75" customHeight="1" x14ac:dyDescent="0.2">
      <c r="A994" s="264" t="s">
        <v>547</v>
      </c>
      <c r="B994" s="202" t="s">
        <v>617</v>
      </c>
      <c r="C994" s="202" t="s">
        <v>498</v>
      </c>
      <c r="D994" s="202" t="s">
        <v>577</v>
      </c>
      <c r="E994" s="202" t="s">
        <v>519</v>
      </c>
      <c r="F994" s="265">
        <v>300</v>
      </c>
      <c r="G994" s="265">
        <v>0</v>
      </c>
      <c r="H994" s="265">
        <f>H995</f>
        <v>300</v>
      </c>
      <c r="I994" s="265">
        <v>0</v>
      </c>
      <c r="J994" s="281">
        <f t="shared" si="343"/>
        <v>0</v>
      </c>
      <c r="K994" s="265">
        <f t="shared" si="344"/>
        <v>0</v>
      </c>
      <c r="L994" s="265">
        <v>300</v>
      </c>
      <c r="M994" s="226">
        <v>0</v>
      </c>
      <c r="N994" s="265">
        <f>N995</f>
        <v>300</v>
      </c>
      <c r="O994" s="226">
        <v>0</v>
      </c>
      <c r="P994" s="281">
        <f t="shared" si="345"/>
        <v>0</v>
      </c>
      <c r="Q994" s="271">
        <f t="shared" si="346"/>
        <v>0</v>
      </c>
    </row>
    <row r="995" spans="1:17" s="304" customFormat="1" x14ac:dyDescent="0.2">
      <c r="A995" s="264" t="s">
        <v>546</v>
      </c>
      <c r="B995" s="202" t="s">
        <v>617</v>
      </c>
      <c r="C995" s="202" t="s">
        <v>498</v>
      </c>
      <c r="D995" s="202" t="s">
        <v>577</v>
      </c>
      <c r="E995" s="202">
        <v>620</v>
      </c>
      <c r="F995" s="265">
        <v>300</v>
      </c>
      <c r="G995" s="265">
        <v>0</v>
      </c>
      <c r="H995" s="265">
        <f>'Ведомственная 2021-2022'!H1217</f>
        <v>300</v>
      </c>
      <c r="I995" s="265">
        <v>0</v>
      </c>
      <c r="J995" s="281">
        <f t="shared" si="343"/>
        <v>0</v>
      </c>
      <c r="K995" s="265">
        <f t="shared" si="344"/>
        <v>0</v>
      </c>
      <c r="L995" s="265">
        <v>300</v>
      </c>
      <c r="M995" s="226">
        <v>0</v>
      </c>
      <c r="N995" s="265">
        <f>'Ведомственная 2021-2022'!K1217</f>
        <v>300</v>
      </c>
      <c r="O995" s="226">
        <v>0</v>
      </c>
      <c r="P995" s="281">
        <f t="shared" si="345"/>
        <v>0</v>
      </c>
      <c r="Q995" s="271">
        <f t="shared" si="346"/>
        <v>0</v>
      </c>
    </row>
    <row r="996" spans="1:17" ht="22.5" x14ac:dyDescent="0.2">
      <c r="A996" s="264" t="s">
        <v>564</v>
      </c>
      <c r="B996" s="202" t="s">
        <v>617</v>
      </c>
      <c r="C996" s="202" t="s">
        <v>498</v>
      </c>
      <c r="D996" s="202" t="s">
        <v>563</v>
      </c>
      <c r="E996" s="202"/>
      <c r="F996" s="265">
        <v>50</v>
      </c>
      <c r="G996" s="265">
        <v>0</v>
      </c>
      <c r="H996" s="265">
        <f>H997</f>
        <v>50</v>
      </c>
      <c r="I996" s="265">
        <v>0</v>
      </c>
      <c r="J996" s="265">
        <f t="shared" si="343"/>
        <v>0</v>
      </c>
      <c r="K996" s="265">
        <f t="shared" si="344"/>
        <v>0</v>
      </c>
      <c r="L996" s="265">
        <v>50</v>
      </c>
      <c r="M996" s="226">
        <v>0</v>
      </c>
      <c r="N996" s="265">
        <f>N997</f>
        <v>50</v>
      </c>
      <c r="O996" s="226">
        <v>0</v>
      </c>
      <c r="P996" s="265">
        <f t="shared" si="345"/>
        <v>0</v>
      </c>
      <c r="Q996" s="271">
        <f t="shared" si="346"/>
        <v>0</v>
      </c>
    </row>
    <row r="997" spans="1:17" ht="22.5" x14ac:dyDescent="0.2">
      <c r="A997" s="264" t="s">
        <v>562</v>
      </c>
      <c r="B997" s="202" t="s">
        <v>617</v>
      </c>
      <c r="C997" s="202" t="s">
        <v>498</v>
      </c>
      <c r="D997" s="202" t="s">
        <v>561</v>
      </c>
      <c r="E997" s="202"/>
      <c r="F997" s="265">
        <v>50</v>
      </c>
      <c r="G997" s="265">
        <v>0</v>
      </c>
      <c r="H997" s="265">
        <f>H998</f>
        <v>50</v>
      </c>
      <c r="I997" s="265">
        <v>0</v>
      </c>
      <c r="J997" s="265">
        <f t="shared" si="343"/>
        <v>0</v>
      </c>
      <c r="K997" s="265">
        <f t="shared" si="344"/>
        <v>0</v>
      </c>
      <c r="L997" s="265">
        <v>50</v>
      </c>
      <c r="M997" s="226">
        <v>0</v>
      </c>
      <c r="N997" s="265">
        <f>N998</f>
        <v>50</v>
      </c>
      <c r="O997" s="226">
        <v>0</v>
      </c>
      <c r="P997" s="265">
        <f t="shared" si="345"/>
        <v>0</v>
      </c>
      <c r="Q997" s="271">
        <f t="shared" si="346"/>
        <v>0</v>
      </c>
    </row>
    <row r="998" spans="1:17" x14ac:dyDescent="0.2">
      <c r="A998" s="264" t="s">
        <v>547</v>
      </c>
      <c r="B998" s="202" t="s">
        <v>617</v>
      </c>
      <c r="C998" s="202" t="s">
        <v>498</v>
      </c>
      <c r="D998" s="202" t="s">
        <v>561</v>
      </c>
      <c r="E998" s="202" t="s">
        <v>519</v>
      </c>
      <c r="F998" s="265">
        <v>50</v>
      </c>
      <c r="G998" s="265">
        <v>0</v>
      </c>
      <c r="H998" s="265">
        <f>H999</f>
        <v>50</v>
      </c>
      <c r="I998" s="265">
        <v>0</v>
      </c>
      <c r="J998" s="265">
        <f t="shared" si="343"/>
        <v>0</v>
      </c>
      <c r="K998" s="265">
        <f t="shared" si="344"/>
        <v>0</v>
      </c>
      <c r="L998" s="265">
        <v>50</v>
      </c>
      <c r="M998" s="226">
        <v>0</v>
      </c>
      <c r="N998" s="265">
        <f>N999</f>
        <v>50</v>
      </c>
      <c r="O998" s="226">
        <v>0</v>
      </c>
      <c r="P998" s="265">
        <f t="shared" si="345"/>
        <v>0</v>
      </c>
      <c r="Q998" s="271">
        <f t="shared" si="346"/>
        <v>0</v>
      </c>
    </row>
    <row r="999" spans="1:17" s="304" customFormat="1" x14ac:dyDescent="0.2">
      <c r="A999" s="264" t="s">
        <v>546</v>
      </c>
      <c r="B999" s="202" t="s">
        <v>617</v>
      </c>
      <c r="C999" s="202" t="s">
        <v>498</v>
      </c>
      <c r="D999" s="202" t="s">
        <v>561</v>
      </c>
      <c r="E999" s="202">
        <v>620</v>
      </c>
      <c r="F999" s="265">
        <v>50</v>
      </c>
      <c r="G999" s="265">
        <v>0</v>
      </c>
      <c r="H999" s="265">
        <f>'Ведомственная 2021-2022'!H1221</f>
        <v>50</v>
      </c>
      <c r="I999" s="265">
        <v>0</v>
      </c>
      <c r="J999" s="265">
        <f t="shared" si="343"/>
        <v>0</v>
      </c>
      <c r="K999" s="265">
        <f t="shared" si="344"/>
        <v>0</v>
      </c>
      <c r="L999" s="265">
        <v>50</v>
      </c>
      <c r="M999" s="226">
        <v>0</v>
      </c>
      <c r="N999" s="265">
        <f>'Ведомственная 2021-2022'!K1221</f>
        <v>50</v>
      </c>
      <c r="O999" s="226">
        <v>0</v>
      </c>
      <c r="P999" s="265">
        <f t="shared" si="345"/>
        <v>0</v>
      </c>
      <c r="Q999" s="271">
        <f t="shared" si="346"/>
        <v>0</v>
      </c>
    </row>
    <row r="1000" spans="1:17" x14ac:dyDescent="0.2">
      <c r="A1000" s="264" t="s">
        <v>879</v>
      </c>
      <c r="B1000" s="202" t="s">
        <v>617</v>
      </c>
      <c r="C1000" s="202" t="s">
        <v>498</v>
      </c>
      <c r="D1000" s="202" t="s">
        <v>878</v>
      </c>
      <c r="E1000" s="202"/>
      <c r="F1000" s="265">
        <v>3260.8</v>
      </c>
      <c r="G1000" s="265">
        <v>0</v>
      </c>
      <c r="H1000" s="265">
        <v>3260.8</v>
      </c>
      <c r="I1000" s="265">
        <v>0</v>
      </c>
      <c r="J1000" s="265">
        <f t="shared" si="343"/>
        <v>0</v>
      </c>
      <c r="K1000" s="265">
        <f t="shared" si="344"/>
        <v>0</v>
      </c>
      <c r="L1000" s="265">
        <v>3260.8</v>
      </c>
      <c r="M1000" s="226">
        <v>0</v>
      </c>
      <c r="N1000" s="265">
        <v>3260.8</v>
      </c>
      <c r="O1000" s="226">
        <v>0</v>
      </c>
      <c r="P1000" s="265">
        <f t="shared" si="345"/>
        <v>0</v>
      </c>
      <c r="Q1000" s="271">
        <f t="shared" si="346"/>
        <v>0</v>
      </c>
    </row>
    <row r="1001" spans="1:17" x14ac:dyDescent="0.2">
      <c r="A1001" s="264" t="s">
        <v>877</v>
      </c>
      <c r="B1001" s="202" t="s">
        <v>617</v>
      </c>
      <c r="C1001" s="202" t="s">
        <v>498</v>
      </c>
      <c r="D1001" s="202" t="s">
        <v>876</v>
      </c>
      <c r="E1001" s="202"/>
      <c r="F1001" s="265">
        <v>3260.8</v>
      </c>
      <c r="G1001" s="265">
        <v>0</v>
      </c>
      <c r="H1001" s="265">
        <v>3260.8</v>
      </c>
      <c r="I1001" s="265">
        <v>0</v>
      </c>
      <c r="J1001" s="265">
        <f t="shared" si="343"/>
        <v>0</v>
      </c>
      <c r="K1001" s="265">
        <f t="shared" si="344"/>
        <v>0</v>
      </c>
      <c r="L1001" s="265">
        <v>3260.8</v>
      </c>
      <c r="M1001" s="226">
        <v>0</v>
      </c>
      <c r="N1001" s="265">
        <v>3260.8</v>
      </c>
      <c r="O1001" s="226">
        <v>0</v>
      </c>
      <c r="P1001" s="265">
        <f t="shared" si="345"/>
        <v>0</v>
      </c>
      <c r="Q1001" s="271">
        <f t="shared" si="346"/>
        <v>0</v>
      </c>
    </row>
    <row r="1002" spans="1:17" x14ac:dyDescent="0.2">
      <c r="A1002" s="264" t="s">
        <v>875</v>
      </c>
      <c r="B1002" s="202" t="s">
        <v>617</v>
      </c>
      <c r="C1002" s="202" t="s">
        <v>498</v>
      </c>
      <c r="D1002" s="202" t="s">
        <v>874</v>
      </c>
      <c r="E1002" s="202"/>
      <c r="F1002" s="265">
        <v>3260.8</v>
      </c>
      <c r="G1002" s="265">
        <v>0</v>
      </c>
      <c r="H1002" s="265">
        <v>3260.8</v>
      </c>
      <c r="I1002" s="265">
        <v>0</v>
      </c>
      <c r="J1002" s="265">
        <f t="shared" si="343"/>
        <v>0</v>
      </c>
      <c r="K1002" s="265">
        <f t="shared" si="344"/>
        <v>0</v>
      </c>
      <c r="L1002" s="265">
        <v>3260.8</v>
      </c>
      <c r="M1002" s="226">
        <v>0</v>
      </c>
      <c r="N1002" s="265">
        <v>3260.8</v>
      </c>
      <c r="O1002" s="226">
        <v>0</v>
      </c>
      <c r="P1002" s="265">
        <f t="shared" si="345"/>
        <v>0</v>
      </c>
      <c r="Q1002" s="271">
        <f t="shared" si="346"/>
        <v>0</v>
      </c>
    </row>
    <row r="1003" spans="1:17" ht="22.5" x14ac:dyDescent="0.2">
      <c r="A1003" s="264" t="s">
        <v>873</v>
      </c>
      <c r="B1003" s="202" t="s">
        <v>617</v>
      </c>
      <c r="C1003" s="202" t="s">
        <v>498</v>
      </c>
      <c r="D1003" s="202" t="s">
        <v>872</v>
      </c>
      <c r="E1003" s="202"/>
      <c r="F1003" s="265">
        <v>3260.8</v>
      </c>
      <c r="G1003" s="265">
        <v>0</v>
      </c>
      <c r="H1003" s="265">
        <v>3260.8</v>
      </c>
      <c r="I1003" s="265">
        <v>0</v>
      </c>
      <c r="J1003" s="265">
        <f t="shared" si="343"/>
        <v>0</v>
      </c>
      <c r="K1003" s="265">
        <f t="shared" si="344"/>
        <v>0</v>
      </c>
      <c r="L1003" s="265">
        <v>3260.8</v>
      </c>
      <c r="M1003" s="226">
        <v>0</v>
      </c>
      <c r="N1003" s="265">
        <v>3260.8</v>
      </c>
      <c r="O1003" s="226">
        <v>0</v>
      </c>
      <c r="P1003" s="265">
        <f t="shared" si="345"/>
        <v>0</v>
      </c>
      <c r="Q1003" s="271">
        <f t="shared" si="346"/>
        <v>0</v>
      </c>
    </row>
    <row r="1004" spans="1:17" x14ac:dyDescent="0.2">
      <c r="A1004" s="264" t="s">
        <v>1347</v>
      </c>
      <c r="B1004" s="202" t="s">
        <v>617</v>
      </c>
      <c r="C1004" s="202" t="s">
        <v>498</v>
      </c>
      <c r="D1004" s="202" t="s">
        <v>872</v>
      </c>
      <c r="E1004" s="202" t="s">
        <v>535</v>
      </c>
      <c r="F1004" s="265">
        <v>3260.8</v>
      </c>
      <c r="G1004" s="265">
        <v>0</v>
      </c>
      <c r="H1004" s="265">
        <v>3260.8</v>
      </c>
      <c r="I1004" s="265">
        <v>0</v>
      </c>
      <c r="J1004" s="265">
        <f t="shared" si="343"/>
        <v>0</v>
      </c>
      <c r="K1004" s="265">
        <f t="shared" si="344"/>
        <v>0</v>
      </c>
      <c r="L1004" s="265">
        <v>3260.8</v>
      </c>
      <c r="M1004" s="226">
        <v>0</v>
      </c>
      <c r="N1004" s="265">
        <v>3260.8</v>
      </c>
      <c r="O1004" s="226">
        <v>0</v>
      </c>
      <c r="P1004" s="265">
        <f t="shared" si="345"/>
        <v>0</v>
      </c>
      <c r="Q1004" s="271">
        <f t="shared" si="346"/>
        <v>0</v>
      </c>
    </row>
    <row r="1005" spans="1:17" x14ac:dyDescent="0.2">
      <c r="A1005" s="264" t="s">
        <v>534</v>
      </c>
      <c r="B1005" s="202" t="s">
        <v>617</v>
      </c>
      <c r="C1005" s="202" t="s">
        <v>498</v>
      </c>
      <c r="D1005" s="202" t="s">
        <v>872</v>
      </c>
      <c r="E1005" s="202" t="s">
        <v>529</v>
      </c>
      <c r="F1005" s="265">
        <v>3260.8</v>
      </c>
      <c r="G1005" s="265">
        <v>0</v>
      </c>
      <c r="H1005" s="265">
        <v>3260.8</v>
      </c>
      <c r="I1005" s="265">
        <v>0</v>
      </c>
      <c r="J1005" s="265">
        <f t="shared" si="343"/>
        <v>0</v>
      </c>
      <c r="K1005" s="265">
        <f t="shared" si="344"/>
        <v>0</v>
      </c>
      <c r="L1005" s="265">
        <v>3260.8</v>
      </c>
      <c r="M1005" s="226">
        <v>0</v>
      </c>
      <c r="N1005" s="265">
        <v>3260.8</v>
      </c>
      <c r="O1005" s="226">
        <v>0</v>
      </c>
      <c r="P1005" s="265">
        <f t="shared" si="345"/>
        <v>0</v>
      </c>
      <c r="Q1005" s="271">
        <f t="shared" si="346"/>
        <v>0</v>
      </c>
    </row>
    <row r="1006" spans="1:17" x14ac:dyDescent="0.2">
      <c r="A1006" s="264" t="s">
        <v>595</v>
      </c>
      <c r="B1006" s="202" t="s">
        <v>617</v>
      </c>
      <c r="C1006" s="202" t="s">
        <v>498</v>
      </c>
      <c r="D1006" s="202" t="s">
        <v>594</v>
      </c>
      <c r="E1006" s="202"/>
      <c r="F1006" s="265">
        <v>1525.2</v>
      </c>
      <c r="G1006" s="265">
        <v>0</v>
      </c>
      <c r="H1006" s="265">
        <v>1525.2</v>
      </c>
      <c r="I1006" s="265">
        <v>0</v>
      </c>
      <c r="J1006" s="265">
        <f t="shared" si="343"/>
        <v>0</v>
      </c>
      <c r="K1006" s="265">
        <f t="shared" si="344"/>
        <v>0</v>
      </c>
      <c r="L1006" s="265">
        <v>2815.2</v>
      </c>
      <c r="M1006" s="226">
        <v>0</v>
      </c>
      <c r="N1006" s="265">
        <v>2815.2</v>
      </c>
      <c r="O1006" s="226">
        <v>0</v>
      </c>
      <c r="P1006" s="265">
        <f t="shared" si="345"/>
        <v>0</v>
      </c>
      <c r="Q1006" s="271">
        <f t="shared" si="346"/>
        <v>0</v>
      </c>
    </row>
    <row r="1007" spans="1:17" x14ac:dyDescent="0.2">
      <c r="A1007" s="264" t="s">
        <v>871</v>
      </c>
      <c r="B1007" s="202" t="s">
        <v>617</v>
      </c>
      <c r="C1007" s="202" t="s">
        <v>498</v>
      </c>
      <c r="D1007" s="202" t="s">
        <v>870</v>
      </c>
      <c r="E1007" s="202"/>
      <c r="F1007" s="265">
        <v>1525.2</v>
      </c>
      <c r="G1007" s="265">
        <v>0</v>
      </c>
      <c r="H1007" s="265">
        <v>1525.2</v>
      </c>
      <c r="I1007" s="265">
        <v>0</v>
      </c>
      <c r="J1007" s="265">
        <f t="shared" si="343"/>
        <v>0</v>
      </c>
      <c r="K1007" s="265">
        <f t="shared" si="344"/>
        <v>0</v>
      </c>
      <c r="L1007" s="265">
        <v>2815.2</v>
      </c>
      <c r="M1007" s="226">
        <v>0</v>
      </c>
      <c r="N1007" s="265">
        <v>2815.2</v>
      </c>
      <c r="O1007" s="226">
        <v>0</v>
      </c>
      <c r="P1007" s="265">
        <f t="shared" si="345"/>
        <v>0</v>
      </c>
      <c r="Q1007" s="271">
        <f t="shared" si="346"/>
        <v>0</v>
      </c>
    </row>
    <row r="1008" spans="1:17" x14ac:dyDescent="0.2">
      <c r="A1008" s="264" t="s">
        <v>1347</v>
      </c>
      <c r="B1008" s="202" t="s">
        <v>617</v>
      </c>
      <c r="C1008" s="202" t="s">
        <v>498</v>
      </c>
      <c r="D1008" s="202" t="s">
        <v>870</v>
      </c>
      <c r="E1008" s="202" t="s">
        <v>535</v>
      </c>
      <c r="F1008" s="265">
        <v>1525.2</v>
      </c>
      <c r="G1008" s="265">
        <v>0</v>
      </c>
      <c r="H1008" s="265">
        <v>1525.2</v>
      </c>
      <c r="I1008" s="265">
        <v>0</v>
      </c>
      <c r="J1008" s="265">
        <f t="shared" si="343"/>
        <v>0</v>
      </c>
      <c r="K1008" s="265">
        <f t="shared" si="344"/>
        <v>0</v>
      </c>
      <c r="L1008" s="265">
        <v>2815.2</v>
      </c>
      <c r="M1008" s="226">
        <v>0</v>
      </c>
      <c r="N1008" s="265">
        <v>2815.2</v>
      </c>
      <c r="O1008" s="226">
        <v>0</v>
      </c>
      <c r="P1008" s="265">
        <f t="shared" si="345"/>
        <v>0</v>
      </c>
      <c r="Q1008" s="271">
        <f t="shared" si="346"/>
        <v>0</v>
      </c>
    </row>
    <row r="1009" spans="1:17" x14ac:dyDescent="0.2">
      <c r="A1009" s="264" t="s">
        <v>534</v>
      </c>
      <c r="B1009" s="202" t="s">
        <v>617</v>
      </c>
      <c r="C1009" s="202" t="s">
        <v>498</v>
      </c>
      <c r="D1009" s="202" t="s">
        <v>870</v>
      </c>
      <c r="E1009" s="202" t="s">
        <v>529</v>
      </c>
      <c r="F1009" s="265">
        <v>1525.2</v>
      </c>
      <c r="G1009" s="265">
        <v>0</v>
      </c>
      <c r="H1009" s="265">
        <v>1525.2</v>
      </c>
      <c r="I1009" s="265">
        <v>0</v>
      </c>
      <c r="J1009" s="265">
        <f t="shared" si="343"/>
        <v>0</v>
      </c>
      <c r="K1009" s="265">
        <f t="shared" si="344"/>
        <v>0</v>
      </c>
      <c r="L1009" s="265">
        <v>2815.2</v>
      </c>
      <c r="M1009" s="226">
        <v>0</v>
      </c>
      <c r="N1009" s="265">
        <v>2815.2</v>
      </c>
      <c r="O1009" s="226">
        <v>0</v>
      </c>
      <c r="P1009" s="265">
        <f t="shared" si="345"/>
        <v>0</v>
      </c>
      <c r="Q1009" s="271">
        <f t="shared" si="346"/>
        <v>0</v>
      </c>
    </row>
    <row r="1010" spans="1:17" s="97" customFormat="1" x14ac:dyDescent="0.2">
      <c r="A1010" s="262" t="s">
        <v>668</v>
      </c>
      <c r="B1010" s="199" t="s">
        <v>657</v>
      </c>
      <c r="C1010" s="199"/>
      <c r="D1010" s="199"/>
      <c r="E1010" s="199"/>
      <c r="F1010" s="263">
        <v>318643</v>
      </c>
      <c r="G1010" s="263">
        <v>276689</v>
      </c>
      <c r="H1010" s="263">
        <f>H1011+H1018+H1063+H1083</f>
        <v>323643</v>
      </c>
      <c r="I1010" s="263">
        <v>276689</v>
      </c>
      <c r="J1010" s="263">
        <f t="shared" si="343"/>
        <v>5000</v>
      </c>
      <c r="K1010" s="263">
        <f t="shared" si="344"/>
        <v>0</v>
      </c>
      <c r="L1010" s="263">
        <v>369791.2</v>
      </c>
      <c r="M1010" s="205">
        <v>268476</v>
      </c>
      <c r="N1010" s="263">
        <f>N1011+N1018+N1063+N1083</f>
        <v>369791.2</v>
      </c>
      <c r="O1010" s="205">
        <v>268476</v>
      </c>
      <c r="P1010" s="263">
        <f t="shared" si="345"/>
        <v>0</v>
      </c>
      <c r="Q1010" s="272">
        <f t="shared" si="346"/>
        <v>0</v>
      </c>
    </row>
    <row r="1011" spans="1:17" x14ac:dyDescent="0.2">
      <c r="A1011" s="264" t="s">
        <v>869</v>
      </c>
      <c r="B1011" s="202" t="s">
        <v>657</v>
      </c>
      <c r="C1011" s="202" t="s">
        <v>498</v>
      </c>
      <c r="D1011" s="202"/>
      <c r="E1011" s="202"/>
      <c r="F1011" s="265">
        <v>27100</v>
      </c>
      <c r="G1011" s="265">
        <v>0</v>
      </c>
      <c r="H1011" s="265">
        <v>27100</v>
      </c>
      <c r="I1011" s="265">
        <v>0</v>
      </c>
      <c r="J1011" s="265">
        <f t="shared" si="343"/>
        <v>0</v>
      </c>
      <c r="K1011" s="265">
        <f t="shared" si="344"/>
        <v>0</v>
      </c>
      <c r="L1011" s="265">
        <v>27100</v>
      </c>
      <c r="M1011" s="226">
        <v>0</v>
      </c>
      <c r="N1011" s="265">
        <v>27100</v>
      </c>
      <c r="O1011" s="226">
        <v>0</v>
      </c>
      <c r="P1011" s="265">
        <f t="shared" si="345"/>
        <v>0</v>
      </c>
      <c r="Q1011" s="271">
        <f t="shared" si="346"/>
        <v>0</v>
      </c>
    </row>
    <row r="1012" spans="1:17" x14ac:dyDescent="0.2">
      <c r="A1012" s="264" t="s">
        <v>568</v>
      </c>
      <c r="B1012" s="202" t="s">
        <v>657</v>
      </c>
      <c r="C1012" s="202" t="s">
        <v>498</v>
      </c>
      <c r="D1012" s="202" t="s">
        <v>567</v>
      </c>
      <c r="E1012" s="202"/>
      <c r="F1012" s="265">
        <v>27100</v>
      </c>
      <c r="G1012" s="265">
        <v>0</v>
      </c>
      <c r="H1012" s="265">
        <v>27100</v>
      </c>
      <c r="I1012" s="265">
        <v>0</v>
      </c>
      <c r="J1012" s="265">
        <f t="shared" si="343"/>
        <v>0</v>
      </c>
      <c r="K1012" s="265">
        <f t="shared" si="344"/>
        <v>0</v>
      </c>
      <c r="L1012" s="265">
        <v>27100</v>
      </c>
      <c r="M1012" s="226">
        <v>0</v>
      </c>
      <c r="N1012" s="265">
        <v>27100</v>
      </c>
      <c r="O1012" s="226">
        <v>0</v>
      </c>
      <c r="P1012" s="265">
        <f t="shared" si="345"/>
        <v>0</v>
      </c>
      <c r="Q1012" s="271">
        <f t="shared" si="346"/>
        <v>0</v>
      </c>
    </row>
    <row r="1013" spans="1:17" x14ac:dyDescent="0.2">
      <c r="A1013" s="264" t="s">
        <v>855</v>
      </c>
      <c r="B1013" s="202" t="s">
        <v>657</v>
      </c>
      <c r="C1013" s="202" t="s">
        <v>498</v>
      </c>
      <c r="D1013" s="202" t="s">
        <v>854</v>
      </c>
      <c r="E1013" s="202"/>
      <c r="F1013" s="265">
        <v>27100</v>
      </c>
      <c r="G1013" s="265">
        <v>0</v>
      </c>
      <c r="H1013" s="265">
        <v>27100</v>
      </c>
      <c r="I1013" s="265">
        <v>0</v>
      </c>
      <c r="J1013" s="265">
        <f t="shared" si="343"/>
        <v>0</v>
      </c>
      <c r="K1013" s="265">
        <f t="shared" si="344"/>
        <v>0</v>
      </c>
      <c r="L1013" s="265">
        <v>27100</v>
      </c>
      <c r="M1013" s="226">
        <v>0</v>
      </c>
      <c r="N1013" s="265">
        <v>27100</v>
      </c>
      <c r="O1013" s="226">
        <v>0</v>
      </c>
      <c r="P1013" s="265">
        <f t="shared" si="345"/>
        <v>0</v>
      </c>
      <c r="Q1013" s="271">
        <f t="shared" si="346"/>
        <v>0</v>
      </c>
    </row>
    <row r="1014" spans="1:17" ht="22.5" x14ac:dyDescent="0.2">
      <c r="A1014" s="264" t="s">
        <v>868</v>
      </c>
      <c r="B1014" s="202" t="s">
        <v>657</v>
      </c>
      <c r="C1014" s="202" t="s">
        <v>498</v>
      </c>
      <c r="D1014" s="202" t="s">
        <v>867</v>
      </c>
      <c r="E1014" s="202"/>
      <c r="F1014" s="265">
        <v>27100</v>
      </c>
      <c r="G1014" s="265">
        <v>0</v>
      </c>
      <c r="H1014" s="265">
        <v>27100</v>
      </c>
      <c r="I1014" s="265">
        <v>0</v>
      </c>
      <c r="J1014" s="265">
        <f t="shared" si="343"/>
        <v>0</v>
      </c>
      <c r="K1014" s="265">
        <f t="shared" si="344"/>
        <v>0</v>
      </c>
      <c r="L1014" s="265">
        <v>27100</v>
      </c>
      <c r="M1014" s="226">
        <v>0</v>
      </c>
      <c r="N1014" s="265">
        <v>27100</v>
      </c>
      <c r="O1014" s="226">
        <v>0</v>
      </c>
      <c r="P1014" s="265">
        <f t="shared" si="345"/>
        <v>0</v>
      </c>
      <c r="Q1014" s="271">
        <f t="shared" si="346"/>
        <v>0</v>
      </c>
    </row>
    <row r="1015" spans="1:17" ht="22.5" x14ac:dyDescent="0.2">
      <c r="A1015" s="264" t="s">
        <v>866</v>
      </c>
      <c r="B1015" s="202" t="s">
        <v>657</v>
      </c>
      <c r="C1015" s="202" t="s">
        <v>498</v>
      </c>
      <c r="D1015" s="202" t="s">
        <v>865</v>
      </c>
      <c r="E1015" s="202"/>
      <c r="F1015" s="265">
        <v>27100</v>
      </c>
      <c r="G1015" s="265">
        <v>0</v>
      </c>
      <c r="H1015" s="265">
        <v>27100</v>
      </c>
      <c r="I1015" s="265">
        <v>0</v>
      </c>
      <c r="J1015" s="265">
        <f t="shared" si="343"/>
        <v>0</v>
      </c>
      <c r="K1015" s="265">
        <f t="shared" si="344"/>
        <v>0</v>
      </c>
      <c r="L1015" s="265">
        <v>27100</v>
      </c>
      <c r="M1015" s="226">
        <v>0</v>
      </c>
      <c r="N1015" s="265">
        <v>27100</v>
      </c>
      <c r="O1015" s="226">
        <v>0</v>
      </c>
      <c r="P1015" s="265">
        <f t="shared" si="345"/>
        <v>0</v>
      </c>
      <c r="Q1015" s="271">
        <f t="shared" si="346"/>
        <v>0</v>
      </c>
    </row>
    <row r="1016" spans="1:17" x14ac:dyDescent="0.2">
      <c r="A1016" s="264" t="s">
        <v>553</v>
      </c>
      <c r="B1016" s="202" t="s">
        <v>657</v>
      </c>
      <c r="C1016" s="202" t="s">
        <v>498</v>
      </c>
      <c r="D1016" s="202" t="s">
        <v>865</v>
      </c>
      <c r="E1016" s="202" t="s">
        <v>552</v>
      </c>
      <c r="F1016" s="265">
        <v>27100</v>
      </c>
      <c r="G1016" s="265">
        <v>0</v>
      </c>
      <c r="H1016" s="265">
        <v>27100</v>
      </c>
      <c r="I1016" s="265">
        <v>0</v>
      </c>
      <c r="J1016" s="265">
        <f t="shared" si="343"/>
        <v>0</v>
      </c>
      <c r="K1016" s="265">
        <f t="shared" si="344"/>
        <v>0</v>
      </c>
      <c r="L1016" s="265">
        <v>27100</v>
      </c>
      <c r="M1016" s="226">
        <v>0</v>
      </c>
      <c r="N1016" s="265">
        <v>27100</v>
      </c>
      <c r="O1016" s="226">
        <v>0</v>
      </c>
      <c r="P1016" s="265">
        <f t="shared" si="345"/>
        <v>0</v>
      </c>
      <c r="Q1016" s="271">
        <f t="shared" si="346"/>
        <v>0</v>
      </c>
    </row>
    <row r="1017" spans="1:17" x14ac:dyDescent="0.2">
      <c r="A1017" s="264" t="s">
        <v>832</v>
      </c>
      <c r="B1017" s="202" t="s">
        <v>657</v>
      </c>
      <c r="C1017" s="202" t="s">
        <v>498</v>
      </c>
      <c r="D1017" s="202" t="s">
        <v>865</v>
      </c>
      <c r="E1017" s="202" t="s">
        <v>830</v>
      </c>
      <c r="F1017" s="265">
        <v>27100</v>
      </c>
      <c r="G1017" s="265">
        <v>0</v>
      </c>
      <c r="H1017" s="265">
        <v>27100</v>
      </c>
      <c r="I1017" s="265">
        <v>0</v>
      </c>
      <c r="J1017" s="265">
        <f t="shared" si="343"/>
        <v>0</v>
      </c>
      <c r="K1017" s="265">
        <f t="shared" si="344"/>
        <v>0</v>
      </c>
      <c r="L1017" s="265">
        <v>27100</v>
      </c>
      <c r="M1017" s="226">
        <v>0</v>
      </c>
      <c r="N1017" s="265">
        <v>27100</v>
      </c>
      <c r="O1017" s="226">
        <v>0</v>
      </c>
      <c r="P1017" s="265">
        <f t="shared" si="345"/>
        <v>0</v>
      </c>
      <c r="Q1017" s="271">
        <f t="shared" si="346"/>
        <v>0</v>
      </c>
    </row>
    <row r="1018" spans="1:17" x14ac:dyDescent="0.2">
      <c r="A1018" s="264" t="s">
        <v>864</v>
      </c>
      <c r="B1018" s="202" t="s">
        <v>657</v>
      </c>
      <c r="C1018" s="202" t="s">
        <v>531</v>
      </c>
      <c r="D1018" s="202"/>
      <c r="E1018" s="202"/>
      <c r="F1018" s="265">
        <v>139991</v>
      </c>
      <c r="G1018" s="265">
        <v>130337</v>
      </c>
      <c r="H1018" s="265">
        <v>139991</v>
      </c>
      <c r="I1018" s="265">
        <v>130337</v>
      </c>
      <c r="J1018" s="265">
        <f t="shared" si="343"/>
        <v>0</v>
      </c>
      <c r="K1018" s="265">
        <f t="shared" si="344"/>
        <v>0</v>
      </c>
      <c r="L1018" s="265">
        <v>199749.9</v>
      </c>
      <c r="M1018" s="226">
        <v>138015</v>
      </c>
      <c r="N1018" s="265">
        <v>199749.9</v>
      </c>
      <c r="O1018" s="226">
        <v>138015</v>
      </c>
      <c r="P1018" s="265">
        <f t="shared" si="345"/>
        <v>0</v>
      </c>
      <c r="Q1018" s="271">
        <f t="shared" si="346"/>
        <v>0</v>
      </c>
    </row>
    <row r="1019" spans="1:17" x14ac:dyDescent="0.2">
      <c r="A1019" s="264" t="s">
        <v>863</v>
      </c>
      <c r="B1019" s="202" t="s">
        <v>657</v>
      </c>
      <c r="C1019" s="202" t="s">
        <v>531</v>
      </c>
      <c r="D1019" s="202" t="s">
        <v>862</v>
      </c>
      <c r="E1019" s="202"/>
      <c r="F1019" s="265">
        <v>4860</v>
      </c>
      <c r="G1019" s="265">
        <v>0</v>
      </c>
      <c r="H1019" s="265">
        <v>4860</v>
      </c>
      <c r="I1019" s="265">
        <v>0</v>
      </c>
      <c r="J1019" s="265">
        <f t="shared" si="343"/>
        <v>0</v>
      </c>
      <c r="K1019" s="265">
        <f t="shared" si="344"/>
        <v>0</v>
      </c>
      <c r="L1019" s="265">
        <v>4860</v>
      </c>
      <c r="M1019" s="226">
        <v>0</v>
      </c>
      <c r="N1019" s="265">
        <v>4860</v>
      </c>
      <c r="O1019" s="226">
        <v>0</v>
      </c>
      <c r="P1019" s="265">
        <f t="shared" si="345"/>
        <v>0</v>
      </c>
      <c r="Q1019" s="271">
        <f t="shared" si="346"/>
        <v>0</v>
      </c>
    </row>
    <row r="1020" spans="1:17" x14ac:dyDescent="0.2">
      <c r="A1020" s="264" t="s">
        <v>861</v>
      </c>
      <c r="B1020" s="202" t="s">
        <v>657</v>
      </c>
      <c r="C1020" s="202" t="s">
        <v>531</v>
      </c>
      <c r="D1020" s="202" t="s">
        <v>860</v>
      </c>
      <c r="E1020" s="202"/>
      <c r="F1020" s="265">
        <v>4860</v>
      </c>
      <c r="G1020" s="265">
        <v>0</v>
      </c>
      <c r="H1020" s="265">
        <v>4860</v>
      </c>
      <c r="I1020" s="265">
        <v>0</v>
      </c>
      <c r="J1020" s="265">
        <f t="shared" si="343"/>
        <v>0</v>
      </c>
      <c r="K1020" s="265">
        <f t="shared" si="344"/>
        <v>0</v>
      </c>
      <c r="L1020" s="265">
        <v>4860</v>
      </c>
      <c r="M1020" s="226">
        <v>0</v>
      </c>
      <c r="N1020" s="265">
        <v>4860</v>
      </c>
      <c r="O1020" s="226">
        <v>0</v>
      </c>
      <c r="P1020" s="265">
        <f t="shared" si="345"/>
        <v>0</v>
      </c>
      <c r="Q1020" s="271">
        <f t="shared" si="346"/>
        <v>0</v>
      </c>
    </row>
    <row r="1021" spans="1:17" x14ac:dyDescent="0.2">
      <c r="A1021" s="264" t="s">
        <v>859</v>
      </c>
      <c r="B1021" s="202" t="s">
        <v>657</v>
      </c>
      <c r="C1021" s="202" t="s">
        <v>531</v>
      </c>
      <c r="D1021" s="202" t="s">
        <v>858</v>
      </c>
      <c r="E1021" s="202"/>
      <c r="F1021" s="265">
        <v>4860</v>
      </c>
      <c r="G1021" s="265">
        <v>0</v>
      </c>
      <c r="H1021" s="265">
        <v>4860</v>
      </c>
      <c r="I1021" s="265">
        <v>0</v>
      </c>
      <c r="J1021" s="265">
        <f t="shared" si="343"/>
        <v>0</v>
      </c>
      <c r="K1021" s="265">
        <f t="shared" si="344"/>
        <v>0</v>
      </c>
      <c r="L1021" s="265">
        <v>4860</v>
      </c>
      <c r="M1021" s="226">
        <v>0</v>
      </c>
      <c r="N1021" s="265">
        <v>4860</v>
      </c>
      <c r="O1021" s="226">
        <v>0</v>
      </c>
      <c r="P1021" s="265">
        <f t="shared" si="345"/>
        <v>0</v>
      </c>
      <c r="Q1021" s="271">
        <f t="shared" si="346"/>
        <v>0</v>
      </c>
    </row>
    <row r="1022" spans="1:17" ht="33.75" x14ac:dyDescent="0.2">
      <c r="A1022" s="264" t="s">
        <v>857</v>
      </c>
      <c r="B1022" s="202" t="s">
        <v>657</v>
      </c>
      <c r="C1022" s="202" t="s">
        <v>531</v>
      </c>
      <c r="D1022" s="202" t="s">
        <v>856</v>
      </c>
      <c r="E1022" s="202"/>
      <c r="F1022" s="265">
        <v>4860</v>
      </c>
      <c r="G1022" s="265">
        <v>0</v>
      </c>
      <c r="H1022" s="265">
        <v>4860</v>
      </c>
      <c r="I1022" s="265">
        <v>0</v>
      </c>
      <c r="J1022" s="265">
        <f t="shared" si="343"/>
        <v>0</v>
      </c>
      <c r="K1022" s="265">
        <f t="shared" si="344"/>
        <v>0</v>
      </c>
      <c r="L1022" s="265">
        <v>4860</v>
      </c>
      <c r="M1022" s="226">
        <v>0</v>
      </c>
      <c r="N1022" s="265">
        <v>4860</v>
      </c>
      <c r="O1022" s="226">
        <v>0</v>
      </c>
      <c r="P1022" s="265">
        <f t="shared" si="345"/>
        <v>0</v>
      </c>
      <c r="Q1022" s="271">
        <f t="shared" si="346"/>
        <v>0</v>
      </c>
    </row>
    <row r="1023" spans="1:17" x14ac:dyDescent="0.2">
      <c r="A1023" s="264" t="s">
        <v>553</v>
      </c>
      <c r="B1023" s="202" t="s">
        <v>657</v>
      </c>
      <c r="C1023" s="202" t="s">
        <v>531</v>
      </c>
      <c r="D1023" s="202" t="s">
        <v>856</v>
      </c>
      <c r="E1023" s="202" t="s">
        <v>552</v>
      </c>
      <c r="F1023" s="265">
        <v>4860</v>
      </c>
      <c r="G1023" s="265">
        <v>0</v>
      </c>
      <c r="H1023" s="265">
        <v>4860</v>
      </c>
      <c r="I1023" s="265">
        <v>0</v>
      </c>
      <c r="J1023" s="265">
        <f t="shared" si="343"/>
        <v>0</v>
      </c>
      <c r="K1023" s="265">
        <f t="shared" si="344"/>
        <v>0</v>
      </c>
      <c r="L1023" s="265">
        <v>4860</v>
      </c>
      <c r="M1023" s="226">
        <v>0</v>
      </c>
      <c r="N1023" s="265">
        <v>4860</v>
      </c>
      <c r="O1023" s="226">
        <v>0</v>
      </c>
      <c r="P1023" s="265">
        <f t="shared" si="345"/>
        <v>0</v>
      </c>
      <c r="Q1023" s="271">
        <f t="shared" si="346"/>
        <v>0</v>
      </c>
    </row>
    <row r="1024" spans="1:17" x14ac:dyDescent="0.2">
      <c r="A1024" s="264" t="s">
        <v>659</v>
      </c>
      <c r="B1024" s="202" t="s">
        <v>657</v>
      </c>
      <c r="C1024" s="202" t="s">
        <v>531</v>
      </c>
      <c r="D1024" s="202" t="s">
        <v>856</v>
      </c>
      <c r="E1024" s="202" t="s">
        <v>655</v>
      </c>
      <c r="F1024" s="265">
        <v>4860</v>
      </c>
      <c r="G1024" s="265">
        <v>0</v>
      </c>
      <c r="H1024" s="265">
        <v>4860</v>
      </c>
      <c r="I1024" s="265">
        <v>0</v>
      </c>
      <c r="J1024" s="265">
        <f t="shared" si="343"/>
        <v>0</v>
      </c>
      <c r="K1024" s="265">
        <f t="shared" si="344"/>
        <v>0</v>
      </c>
      <c r="L1024" s="265">
        <v>4860</v>
      </c>
      <c r="M1024" s="226">
        <v>0</v>
      </c>
      <c r="N1024" s="265">
        <v>4860</v>
      </c>
      <c r="O1024" s="226">
        <v>0</v>
      </c>
      <c r="P1024" s="265">
        <f t="shared" si="345"/>
        <v>0</v>
      </c>
      <c r="Q1024" s="271">
        <f t="shared" si="346"/>
        <v>0</v>
      </c>
    </row>
    <row r="1025" spans="1:17" x14ac:dyDescent="0.2">
      <c r="A1025" s="264" t="s">
        <v>568</v>
      </c>
      <c r="B1025" s="202" t="s">
        <v>657</v>
      </c>
      <c r="C1025" s="202" t="s">
        <v>531</v>
      </c>
      <c r="D1025" s="202" t="s">
        <v>567</v>
      </c>
      <c r="E1025" s="202"/>
      <c r="F1025" s="265">
        <v>130337</v>
      </c>
      <c r="G1025" s="265">
        <v>130337</v>
      </c>
      <c r="H1025" s="265">
        <v>130337</v>
      </c>
      <c r="I1025" s="265">
        <v>130337</v>
      </c>
      <c r="J1025" s="265">
        <f t="shared" si="343"/>
        <v>0</v>
      </c>
      <c r="K1025" s="265">
        <f t="shared" si="344"/>
        <v>0</v>
      </c>
      <c r="L1025" s="265">
        <v>163688.79999999999</v>
      </c>
      <c r="M1025" s="226">
        <v>135811</v>
      </c>
      <c r="N1025" s="265">
        <v>163688.79999999999</v>
      </c>
      <c r="O1025" s="226">
        <v>135811</v>
      </c>
      <c r="P1025" s="265">
        <f t="shared" si="345"/>
        <v>0</v>
      </c>
      <c r="Q1025" s="271">
        <f t="shared" si="346"/>
        <v>0</v>
      </c>
    </row>
    <row r="1026" spans="1:17" x14ac:dyDescent="0.2">
      <c r="A1026" s="264" t="s">
        <v>855</v>
      </c>
      <c r="B1026" s="202" t="s">
        <v>657</v>
      </c>
      <c r="C1026" s="202" t="s">
        <v>531</v>
      </c>
      <c r="D1026" s="202" t="s">
        <v>854</v>
      </c>
      <c r="E1026" s="202"/>
      <c r="F1026" s="265">
        <v>130337</v>
      </c>
      <c r="G1026" s="265">
        <v>130337</v>
      </c>
      <c r="H1026" s="265">
        <v>130337</v>
      </c>
      <c r="I1026" s="265">
        <v>130337</v>
      </c>
      <c r="J1026" s="265">
        <f t="shared" si="343"/>
        <v>0</v>
      </c>
      <c r="K1026" s="265">
        <f t="shared" si="344"/>
        <v>0</v>
      </c>
      <c r="L1026" s="265">
        <v>163688.79999999999</v>
      </c>
      <c r="M1026" s="226">
        <v>135811</v>
      </c>
      <c r="N1026" s="265">
        <v>163688.79999999999</v>
      </c>
      <c r="O1026" s="226">
        <v>135811</v>
      </c>
      <c r="P1026" s="265">
        <f t="shared" si="345"/>
        <v>0</v>
      </c>
      <c r="Q1026" s="271">
        <f t="shared" si="346"/>
        <v>0</v>
      </c>
    </row>
    <row r="1027" spans="1:17" ht="33.75" x14ac:dyDescent="0.2">
      <c r="A1027" s="264" t="s">
        <v>853</v>
      </c>
      <c r="B1027" s="202" t="s">
        <v>657</v>
      </c>
      <c r="C1027" s="202" t="s">
        <v>531</v>
      </c>
      <c r="D1027" s="202" t="s">
        <v>852</v>
      </c>
      <c r="E1027" s="202"/>
      <c r="F1027" s="265">
        <v>130337</v>
      </c>
      <c r="G1027" s="265">
        <v>130337</v>
      </c>
      <c r="H1027" s="265">
        <v>130337</v>
      </c>
      <c r="I1027" s="265">
        <v>130337</v>
      </c>
      <c r="J1027" s="265">
        <f t="shared" si="343"/>
        <v>0</v>
      </c>
      <c r="K1027" s="265">
        <f t="shared" si="344"/>
        <v>0</v>
      </c>
      <c r="L1027" s="265">
        <v>135811</v>
      </c>
      <c r="M1027" s="226">
        <v>135811</v>
      </c>
      <c r="N1027" s="265">
        <v>135811</v>
      </c>
      <c r="O1027" s="226">
        <v>135811</v>
      </c>
      <c r="P1027" s="265">
        <f t="shared" si="345"/>
        <v>0</v>
      </c>
      <c r="Q1027" s="271">
        <f t="shared" si="346"/>
        <v>0</v>
      </c>
    </row>
    <row r="1028" spans="1:17" x14ac:dyDescent="0.2">
      <c r="A1028" s="264" t="s">
        <v>851</v>
      </c>
      <c r="B1028" s="202" t="s">
        <v>657</v>
      </c>
      <c r="C1028" s="202" t="s">
        <v>531</v>
      </c>
      <c r="D1028" s="202" t="s">
        <v>850</v>
      </c>
      <c r="E1028" s="202"/>
      <c r="F1028" s="265">
        <v>130337</v>
      </c>
      <c r="G1028" s="265">
        <v>130337</v>
      </c>
      <c r="H1028" s="265">
        <v>130337</v>
      </c>
      <c r="I1028" s="265">
        <v>130337</v>
      </c>
      <c r="J1028" s="265">
        <f t="shared" si="343"/>
        <v>0</v>
      </c>
      <c r="K1028" s="265">
        <f t="shared" si="344"/>
        <v>0</v>
      </c>
      <c r="L1028" s="265">
        <v>135811</v>
      </c>
      <c r="M1028" s="226">
        <v>135811</v>
      </c>
      <c r="N1028" s="265">
        <v>135811</v>
      </c>
      <c r="O1028" s="226">
        <v>135811</v>
      </c>
      <c r="P1028" s="265">
        <f t="shared" si="345"/>
        <v>0</v>
      </c>
      <c r="Q1028" s="271">
        <f t="shared" si="346"/>
        <v>0</v>
      </c>
    </row>
    <row r="1029" spans="1:17" x14ac:dyDescent="0.2">
      <c r="A1029" s="264" t="s">
        <v>1347</v>
      </c>
      <c r="B1029" s="202" t="s">
        <v>657</v>
      </c>
      <c r="C1029" s="202" t="s">
        <v>531</v>
      </c>
      <c r="D1029" s="202" t="s">
        <v>850</v>
      </c>
      <c r="E1029" s="202" t="s">
        <v>535</v>
      </c>
      <c r="F1029" s="265">
        <v>974.1</v>
      </c>
      <c r="G1029" s="265">
        <v>974.1</v>
      </c>
      <c r="H1029" s="265">
        <v>974.1</v>
      </c>
      <c r="I1029" s="265">
        <v>974.1</v>
      </c>
      <c r="J1029" s="265">
        <f t="shared" si="343"/>
        <v>0</v>
      </c>
      <c r="K1029" s="265">
        <f t="shared" si="344"/>
        <v>0</v>
      </c>
      <c r="L1029" s="265">
        <v>1015.1</v>
      </c>
      <c r="M1029" s="226">
        <v>1015.1</v>
      </c>
      <c r="N1029" s="265">
        <v>1015.1</v>
      </c>
      <c r="O1029" s="226">
        <v>1015.1</v>
      </c>
      <c r="P1029" s="265">
        <f t="shared" si="345"/>
        <v>0</v>
      </c>
      <c r="Q1029" s="271">
        <f t="shared" si="346"/>
        <v>0</v>
      </c>
    </row>
    <row r="1030" spans="1:17" x14ac:dyDescent="0.2">
      <c r="A1030" s="264" t="s">
        <v>534</v>
      </c>
      <c r="B1030" s="202" t="s">
        <v>657</v>
      </c>
      <c r="C1030" s="202" t="s">
        <v>531</v>
      </c>
      <c r="D1030" s="202" t="s">
        <v>850</v>
      </c>
      <c r="E1030" s="202" t="s">
        <v>529</v>
      </c>
      <c r="F1030" s="265">
        <v>974.1</v>
      </c>
      <c r="G1030" s="265">
        <v>974.1</v>
      </c>
      <c r="H1030" s="265">
        <v>974.1</v>
      </c>
      <c r="I1030" s="265">
        <v>974.1</v>
      </c>
      <c r="J1030" s="265">
        <f t="shared" si="343"/>
        <v>0</v>
      </c>
      <c r="K1030" s="265">
        <f t="shared" si="344"/>
        <v>0</v>
      </c>
      <c r="L1030" s="265">
        <v>1015.1</v>
      </c>
      <c r="M1030" s="226">
        <v>1015.1</v>
      </c>
      <c r="N1030" s="265">
        <v>1015.1</v>
      </c>
      <c r="O1030" s="226">
        <v>1015.1</v>
      </c>
      <c r="P1030" s="265">
        <f t="shared" si="345"/>
        <v>0</v>
      </c>
      <c r="Q1030" s="271">
        <f t="shared" si="346"/>
        <v>0</v>
      </c>
    </row>
    <row r="1031" spans="1:17" x14ac:dyDescent="0.2">
      <c r="A1031" s="264" t="s">
        <v>553</v>
      </c>
      <c r="B1031" s="202" t="s">
        <v>657</v>
      </c>
      <c r="C1031" s="202" t="s">
        <v>531</v>
      </c>
      <c r="D1031" s="202" t="s">
        <v>850</v>
      </c>
      <c r="E1031" s="202" t="s">
        <v>552</v>
      </c>
      <c r="F1031" s="265">
        <v>129362.9</v>
      </c>
      <c r="G1031" s="265">
        <v>129362.9</v>
      </c>
      <c r="H1031" s="265">
        <v>129362.9</v>
      </c>
      <c r="I1031" s="265">
        <v>129362.9</v>
      </c>
      <c r="J1031" s="265">
        <f t="shared" si="343"/>
        <v>0</v>
      </c>
      <c r="K1031" s="265">
        <f t="shared" si="344"/>
        <v>0</v>
      </c>
      <c r="L1031" s="265">
        <v>134795.9</v>
      </c>
      <c r="M1031" s="226">
        <v>134795.9</v>
      </c>
      <c r="N1031" s="265">
        <v>134795.9</v>
      </c>
      <c r="O1031" s="226">
        <v>134795.9</v>
      </c>
      <c r="P1031" s="265">
        <f t="shared" si="345"/>
        <v>0</v>
      </c>
      <c r="Q1031" s="271">
        <f t="shared" si="346"/>
        <v>0</v>
      </c>
    </row>
    <row r="1032" spans="1:17" x14ac:dyDescent="0.2">
      <c r="A1032" s="264" t="s">
        <v>832</v>
      </c>
      <c r="B1032" s="202" t="s">
        <v>657</v>
      </c>
      <c r="C1032" s="202" t="s">
        <v>531</v>
      </c>
      <c r="D1032" s="202" t="s">
        <v>850</v>
      </c>
      <c r="E1032" s="202" t="s">
        <v>830</v>
      </c>
      <c r="F1032" s="265">
        <v>129362.9</v>
      </c>
      <c r="G1032" s="265">
        <v>129362.9</v>
      </c>
      <c r="H1032" s="265">
        <v>129362.9</v>
      </c>
      <c r="I1032" s="265">
        <v>129362.9</v>
      </c>
      <c r="J1032" s="265">
        <f t="shared" si="343"/>
        <v>0</v>
      </c>
      <c r="K1032" s="265">
        <f t="shared" si="344"/>
        <v>0</v>
      </c>
      <c r="L1032" s="265">
        <v>134795.9</v>
      </c>
      <c r="M1032" s="226">
        <v>134795.9</v>
      </c>
      <c r="N1032" s="265">
        <v>134795.9</v>
      </c>
      <c r="O1032" s="226">
        <v>134795.9</v>
      </c>
      <c r="P1032" s="265">
        <f t="shared" si="345"/>
        <v>0</v>
      </c>
      <c r="Q1032" s="271">
        <f t="shared" si="346"/>
        <v>0</v>
      </c>
    </row>
    <row r="1033" spans="1:17" x14ac:dyDescent="0.2">
      <c r="A1033" s="264" t="s">
        <v>1294</v>
      </c>
      <c r="B1033" s="202" t="s">
        <v>657</v>
      </c>
      <c r="C1033" s="202" t="s">
        <v>531</v>
      </c>
      <c r="D1033" s="202" t="s">
        <v>1295</v>
      </c>
      <c r="E1033" s="202"/>
      <c r="F1033" s="265">
        <v>0</v>
      </c>
      <c r="G1033" s="265">
        <v>0</v>
      </c>
      <c r="H1033" s="265">
        <v>0</v>
      </c>
      <c r="I1033" s="265">
        <v>0</v>
      </c>
      <c r="J1033" s="265">
        <f t="shared" si="343"/>
        <v>0</v>
      </c>
      <c r="K1033" s="265">
        <f t="shared" si="344"/>
        <v>0</v>
      </c>
      <c r="L1033" s="265">
        <v>27877.8</v>
      </c>
      <c r="M1033" s="226">
        <v>0</v>
      </c>
      <c r="N1033" s="265">
        <v>27877.8</v>
      </c>
      <c r="O1033" s="226">
        <v>0</v>
      </c>
      <c r="P1033" s="265">
        <f t="shared" si="345"/>
        <v>0</v>
      </c>
      <c r="Q1033" s="271">
        <f t="shared" si="346"/>
        <v>0</v>
      </c>
    </row>
    <row r="1034" spans="1:17" x14ac:dyDescent="0.2">
      <c r="A1034" s="264" t="s">
        <v>1296</v>
      </c>
      <c r="B1034" s="202" t="s">
        <v>657</v>
      </c>
      <c r="C1034" s="202" t="s">
        <v>531</v>
      </c>
      <c r="D1034" s="202" t="s">
        <v>1297</v>
      </c>
      <c r="E1034" s="202"/>
      <c r="F1034" s="265">
        <v>0</v>
      </c>
      <c r="G1034" s="265">
        <v>0</v>
      </c>
      <c r="H1034" s="265">
        <v>0</v>
      </c>
      <c r="I1034" s="265">
        <v>0</v>
      </c>
      <c r="J1034" s="265">
        <f t="shared" ref="J1034:J1097" si="347">H1034-F1034</f>
        <v>0</v>
      </c>
      <c r="K1034" s="265">
        <f t="shared" ref="K1034:K1097" si="348">I1034-G1034</f>
        <v>0</v>
      </c>
      <c r="L1034" s="265">
        <v>27877.8</v>
      </c>
      <c r="M1034" s="226">
        <v>0</v>
      </c>
      <c r="N1034" s="265">
        <v>27877.8</v>
      </c>
      <c r="O1034" s="226">
        <v>0</v>
      </c>
      <c r="P1034" s="265">
        <f t="shared" ref="P1034:P1097" si="349">N1034-L1034</f>
        <v>0</v>
      </c>
      <c r="Q1034" s="271">
        <f t="shared" ref="Q1034:Q1097" si="350">O1034-M1034</f>
        <v>0</v>
      </c>
    </row>
    <row r="1035" spans="1:17" x14ac:dyDescent="0.2">
      <c r="A1035" s="264" t="s">
        <v>553</v>
      </c>
      <c r="B1035" s="202" t="s">
        <v>657</v>
      </c>
      <c r="C1035" s="202" t="s">
        <v>531</v>
      </c>
      <c r="D1035" s="202" t="s">
        <v>1297</v>
      </c>
      <c r="E1035" s="202" t="s">
        <v>552</v>
      </c>
      <c r="F1035" s="265">
        <v>0</v>
      </c>
      <c r="G1035" s="265">
        <v>0</v>
      </c>
      <c r="H1035" s="265">
        <v>0</v>
      </c>
      <c r="I1035" s="265">
        <v>0</v>
      </c>
      <c r="J1035" s="265">
        <f t="shared" si="347"/>
        <v>0</v>
      </c>
      <c r="K1035" s="265">
        <f t="shared" si="348"/>
        <v>0</v>
      </c>
      <c r="L1035" s="265">
        <v>27877.8</v>
      </c>
      <c r="M1035" s="226">
        <v>0</v>
      </c>
      <c r="N1035" s="265">
        <v>27877.8</v>
      </c>
      <c r="O1035" s="226">
        <v>0</v>
      </c>
      <c r="P1035" s="265">
        <f t="shared" si="349"/>
        <v>0</v>
      </c>
      <c r="Q1035" s="271">
        <f t="shared" si="350"/>
        <v>0</v>
      </c>
    </row>
    <row r="1036" spans="1:17" x14ac:dyDescent="0.2">
      <c r="A1036" s="264" t="s">
        <v>832</v>
      </c>
      <c r="B1036" s="202" t="s">
        <v>657</v>
      </c>
      <c r="C1036" s="202" t="s">
        <v>531</v>
      </c>
      <c r="D1036" s="202" t="s">
        <v>1297</v>
      </c>
      <c r="E1036" s="202" t="s">
        <v>830</v>
      </c>
      <c r="F1036" s="265">
        <v>0</v>
      </c>
      <c r="G1036" s="265">
        <v>0</v>
      </c>
      <c r="H1036" s="265">
        <v>0</v>
      </c>
      <c r="I1036" s="265">
        <v>0</v>
      </c>
      <c r="J1036" s="265">
        <f t="shared" si="347"/>
        <v>0</v>
      </c>
      <c r="K1036" s="265">
        <f t="shared" si="348"/>
        <v>0</v>
      </c>
      <c r="L1036" s="265">
        <v>27877.8</v>
      </c>
      <c r="M1036" s="226">
        <v>0</v>
      </c>
      <c r="N1036" s="265">
        <v>27877.8</v>
      </c>
      <c r="O1036" s="226">
        <v>0</v>
      </c>
      <c r="P1036" s="265">
        <f t="shared" si="349"/>
        <v>0</v>
      </c>
      <c r="Q1036" s="271">
        <f t="shared" si="350"/>
        <v>0</v>
      </c>
    </row>
    <row r="1037" spans="1:17" x14ac:dyDescent="0.2">
      <c r="A1037" s="264" t="s">
        <v>839</v>
      </c>
      <c r="B1037" s="202" t="s">
        <v>657</v>
      </c>
      <c r="C1037" s="202" t="s">
        <v>531</v>
      </c>
      <c r="D1037" s="202" t="s">
        <v>838</v>
      </c>
      <c r="E1037" s="202"/>
      <c r="F1037" s="265">
        <v>294</v>
      </c>
      <c r="G1037" s="265">
        <v>0</v>
      </c>
      <c r="H1037" s="265">
        <v>294</v>
      </c>
      <c r="I1037" s="265">
        <v>0</v>
      </c>
      <c r="J1037" s="265">
        <f t="shared" si="347"/>
        <v>0</v>
      </c>
      <c r="K1037" s="265">
        <f t="shared" si="348"/>
        <v>0</v>
      </c>
      <c r="L1037" s="265">
        <v>22201.1</v>
      </c>
      <c r="M1037" s="226">
        <v>2204</v>
      </c>
      <c r="N1037" s="265">
        <v>22201.1</v>
      </c>
      <c r="O1037" s="226">
        <v>2204</v>
      </c>
      <c r="P1037" s="265">
        <f t="shared" si="349"/>
        <v>0</v>
      </c>
      <c r="Q1037" s="271">
        <f t="shared" si="350"/>
        <v>0</v>
      </c>
    </row>
    <row r="1038" spans="1:17" x14ac:dyDescent="0.2">
      <c r="A1038" s="264" t="s">
        <v>849</v>
      </c>
      <c r="B1038" s="202" t="s">
        <v>657</v>
      </c>
      <c r="C1038" s="202" t="s">
        <v>531</v>
      </c>
      <c r="D1038" s="202" t="s">
        <v>848</v>
      </c>
      <c r="E1038" s="202"/>
      <c r="F1038" s="265">
        <v>294</v>
      </c>
      <c r="G1038" s="265">
        <v>0</v>
      </c>
      <c r="H1038" s="265">
        <v>294</v>
      </c>
      <c r="I1038" s="265">
        <v>0</v>
      </c>
      <c r="J1038" s="265">
        <f t="shared" si="347"/>
        <v>0</v>
      </c>
      <c r="K1038" s="265">
        <f t="shared" si="348"/>
        <v>0</v>
      </c>
      <c r="L1038" s="265">
        <v>294</v>
      </c>
      <c r="M1038" s="226">
        <v>0</v>
      </c>
      <c r="N1038" s="265">
        <v>294</v>
      </c>
      <c r="O1038" s="226">
        <v>0</v>
      </c>
      <c r="P1038" s="265">
        <f t="shared" si="349"/>
        <v>0</v>
      </c>
      <c r="Q1038" s="271">
        <f t="shared" si="350"/>
        <v>0</v>
      </c>
    </row>
    <row r="1039" spans="1:17" ht="22.5" x14ac:dyDescent="0.2">
      <c r="A1039" s="264" t="s">
        <v>847</v>
      </c>
      <c r="B1039" s="202" t="s">
        <v>657</v>
      </c>
      <c r="C1039" s="202" t="s">
        <v>531</v>
      </c>
      <c r="D1039" s="202" t="s">
        <v>846</v>
      </c>
      <c r="E1039" s="202"/>
      <c r="F1039" s="265">
        <v>294</v>
      </c>
      <c r="G1039" s="265">
        <v>0</v>
      </c>
      <c r="H1039" s="265">
        <v>294</v>
      </c>
      <c r="I1039" s="265">
        <v>0</v>
      </c>
      <c r="J1039" s="265">
        <f t="shared" si="347"/>
        <v>0</v>
      </c>
      <c r="K1039" s="265">
        <f t="shared" si="348"/>
        <v>0</v>
      </c>
      <c r="L1039" s="265">
        <v>294</v>
      </c>
      <c r="M1039" s="226">
        <v>0</v>
      </c>
      <c r="N1039" s="265">
        <v>294</v>
      </c>
      <c r="O1039" s="226">
        <v>0</v>
      </c>
      <c r="P1039" s="265">
        <f t="shared" si="349"/>
        <v>0</v>
      </c>
      <c r="Q1039" s="271">
        <f t="shared" si="350"/>
        <v>0</v>
      </c>
    </row>
    <row r="1040" spans="1:17" x14ac:dyDescent="0.2">
      <c r="A1040" s="264" t="s">
        <v>845</v>
      </c>
      <c r="B1040" s="202" t="s">
        <v>657</v>
      </c>
      <c r="C1040" s="202" t="s">
        <v>531</v>
      </c>
      <c r="D1040" s="202" t="s">
        <v>844</v>
      </c>
      <c r="E1040" s="202"/>
      <c r="F1040" s="265">
        <v>294</v>
      </c>
      <c r="G1040" s="265">
        <v>0</v>
      </c>
      <c r="H1040" s="265">
        <v>294</v>
      </c>
      <c r="I1040" s="265">
        <v>0</v>
      </c>
      <c r="J1040" s="265">
        <f t="shared" si="347"/>
        <v>0</v>
      </c>
      <c r="K1040" s="265">
        <f t="shared" si="348"/>
        <v>0</v>
      </c>
      <c r="L1040" s="265">
        <v>294</v>
      </c>
      <c r="M1040" s="226">
        <v>0</v>
      </c>
      <c r="N1040" s="265">
        <v>294</v>
      </c>
      <c r="O1040" s="226">
        <v>0</v>
      </c>
      <c r="P1040" s="265">
        <f t="shared" si="349"/>
        <v>0</v>
      </c>
      <c r="Q1040" s="271">
        <f t="shared" si="350"/>
        <v>0</v>
      </c>
    </row>
    <row r="1041" spans="1:17" x14ac:dyDescent="0.2">
      <c r="A1041" s="264" t="s">
        <v>553</v>
      </c>
      <c r="B1041" s="202" t="s">
        <v>657</v>
      </c>
      <c r="C1041" s="202" t="s">
        <v>531</v>
      </c>
      <c r="D1041" s="202" t="s">
        <v>844</v>
      </c>
      <c r="E1041" s="202" t="s">
        <v>552</v>
      </c>
      <c r="F1041" s="265">
        <v>294</v>
      </c>
      <c r="G1041" s="265">
        <v>0</v>
      </c>
      <c r="H1041" s="265">
        <v>294</v>
      </c>
      <c r="I1041" s="265">
        <v>0</v>
      </c>
      <c r="J1041" s="265">
        <f t="shared" si="347"/>
        <v>0</v>
      </c>
      <c r="K1041" s="265">
        <f t="shared" si="348"/>
        <v>0</v>
      </c>
      <c r="L1041" s="265">
        <v>294</v>
      </c>
      <c r="M1041" s="226">
        <v>0</v>
      </c>
      <c r="N1041" s="265">
        <v>294</v>
      </c>
      <c r="O1041" s="226">
        <v>0</v>
      </c>
      <c r="P1041" s="265">
        <f t="shared" si="349"/>
        <v>0</v>
      </c>
      <c r="Q1041" s="271">
        <f t="shared" si="350"/>
        <v>0</v>
      </c>
    </row>
    <row r="1042" spans="1:17" x14ac:dyDescent="0.2">
      <c r="A1042" s="264" t="s">
        <v>832</v>
      </c>
      <c r="B1042" s="202" t="s">
        <v>657</v>
      </c>
      <c r="C1042" s="202" t="s">
        <v>531</v>
      </c>
      <c r="D1042" s="202" t="s">
        <v>844</v>
      </c>
      <c r="E1042" s="202" t="s">
        <v>830</v>
      </c>
      <c r="F1042" s="265">
        <v>294</v>
      </c>
      <c r="G1042" s="265">
        <v>0</v>
      </c>
      <c r="H1042" s="265">
        <v>294</v>
      </c>
      <c r="I1042" s="265">
        <v>0</v>
      </c>
      <c r="J1042" s="265">
        <f t="shared" si="347"/>
        <v>0</v>
      </c>
      <c r="K1042" s="265">
        <f t="shared" si="348"/>
        <v>0</v>
      </c>
      <c r="L1042" s="265">
        <v>294</v>
      </c>
      <c r="M1042" s="226">
        <v>0</v>
      </c>
      <c r="N1042" s="265">
        <v>294</v>
      </c>
      <c r="O1042" s="226">
        <v>0</v>
      </c>
      <c r="P1042" s="265">
        <f t="shared" si="349"/>
        <v>0</v>
      </c>
      <c r="Q1042" s="271">
        <f t="shared" si="350"/>
        <v>0</v>
      </c>
    </row>
    <row r="1043" spans="1:17" x14ac:dyDescent="0.2">
      <c r="A1043" s="264" t="s">
        <v>1298</v>
      </c>
      <c r="B1043" s="202" t="s">
        <v>657</v>
      </c>
      <c r="C1043" s="202" t="s">
        <v>531</v>
      </c>
      <c r="D1043" s="202" t="s">
        <v>1299</v>
      </c>
      <c r="E1043" s="202"/>
      <c r="F1043" s="265">
        <v>0</v>
      </c>
      <c r="G1043" s="265">
        <v>0</v>
      </c>
      <c r="H1043" s="265">
        <v>0</v>
      </c>
      <c r="I1043" s="265">
        <v>0</v>
      </c>
      <c r="J1043" s="265">
        <f t="shared" si="347"/>
        <v>0</v>
      </c>
      <c r="K1043" s="265">
        <f t="shared" si="348"/>
        <v>0</v>
      </c>
      <c r="L1043" s="265">
        <v>19703.099999999999</v>
      </c>
      <c r="M1043" s="226">
        <v>0</v>
      </c>
      <c r="N1043" s="265">
        <v>19703.099999999999</v>
      </c>
      <c r="O1043" s="226">
        <v>0</v>
      </c>
      <c r="P1043" s="265">
        <f t="shared" si="349"/>
        <v>0</v>
      </c>
      <c r="Q1043" s="271">
        <f t="shared" si="350"/>
        <v>0</v>
      </c>
    </row>
    <row r="1044" spans="1:17" ht="22.5" x14ac:dyDescent="0.2">
      <c r="A1044" s="264" t="s">
        <v>1300</v>
      </c>
      <c r="B1044" s="202" t="s">
        <v>657</v>
      </c>
      <c r="C1044" s="202" t="s">
        <v>531</v>
      </c>
      <c r="D1044" s="202" t="s">
        <v>1301</v>
      </c>
      <c r="E1044" s="202"/>
      <c r="F1044" s="265">
        <v>0</v>
      </c>
      <c r="G1044" s="265">
        <v>0</v>
      </c>
      <c r="H1044" s="265">
        <v>0</v>
      </c>
      <c r="I1044" s="265">
        <v>0</v>
      </c>
      <c r="J1044" s="265">
        <f t="shared" si="347"/>
        <v>0</v>
      </c>
      <c r="K1044" s="265">
        <f t="shared" si="348"/>
        <v>0</v>
      </c>
      <c r="L1044" s="265">
        <v>19703.099999999999</v>
      </c>
      <c r="M1044" s="226">
        <v>0</v>
      </c>
      <c r="N1044" s="265">
        <v>19703.099999999999</v>
      </c>
      <c r="O1044" s="226">
        <v>0</v>
      </c>
      <c r="P1044" s="265">
        <f t="shared" si="349"/>
        <v>0</v>
      </c>
      <c r="Q1044" s="271">
        <f t="shared" si="350"/>
        <v>0</v>
      </c>
    </row>
    <row r="1045" spans="1:17" x14ac:dyDescent="0.2">
      <c r="A1045" s="264" t="s">
        <v>1302</v>
      </c>
      <c r="B1045" s="202" t="s">
        <v>657</v>
      </c>
      <c r="C1045" s="202" t="s">
        <v>531</v>
      </c>
      <c r="D1045" s="202" t="s">
        <v>1303</v>
      </c>
      <c r="E1045" s="202"/>
      <c r="F1045" s="265">
        <v>0</v>
      </c>
      <c r="G1045" s="265">
        <v>0</v>
      </c>
      <c r="H1045" s="265">
        <v>0</v>
      </c>
      <c r="I1045" s="265">
        <v>0</v>
      </c>
      <c r="J1045" s="265">
        <f t="shared" si="347"/>
        <v>0</v>
      </c>
      <c r="K1045" s="265">
        <f t="shared" si="348"/>
        <v>0</v>
      </c>
      <c r="L1045" s="265">
        <v>19703.099999999999</v>
      </c>
      <c r="M1045" s="226">
        <v>0</v>
      </c>
      <c r="N1045" s="265">
        <v>19703.099999999999</v>
      </c>
      <c r="O1045" s="226">
        <v>0</v>
      </c>
      <c r="P1045" s="265">
        <f t="shared" si="349"/>
        <v>0</v>
      </c>
      <c r="Q1045" s="271">
        <f t="shared" si="350"/>
        <v>0</v>
      </c>
    </row>
    <row r="1046" spans="1:17" x14ac:dyDescent="0.2">
      <c r="A1046" s="264" t="s">
        <v>553</v>
      </c>
      <c r="B1046" s="202" t="s">
        <v>657</v>
      </c>
      <c r="C1046" s="202" t="s">
        <v>531</v>
      </c>
      <c r="D1046" s="202" t="s">
        <v>1303</v>
      </c>
      <c r="E1046" s="202" t="s">
        <v>552</v>
      </c>
      <c r="F1046" s="265">
        <v>0</v>
      </c>
      <c r="G1046" s="265">
        <v>0</v>
      </c>
      <c r="H1046" s="265">
        <v>0</v>
      </c>
      <c r="I1046" s="265">
        <v>0</v>
      </c>
      <c r="J1046" s="265">
        <f t="shared" si="347"/>
        <v>0</v>
      </c>
      <c r="K1046" s="265">
        <f t="shared" si="348"/>
        <v>0</v>
      </c>
      <c r="L1046" s="265">
        <v>19703.099999999999</v>
      </c>
      <c r="M1046" s="226">
        <v>0</v>
      </c>
      <c r="N1046" s="265">
        <v>19703.099999999999</v>
      </c>
      <c r="O1046" s="226">
        <v>0</v>
      </c>
      <c r="P1046" s="265">
        <f t="shared" si="349"/>
        <v>0</v>
      </c>
      <c r="Q1046" s="271">
        <f t="shared" si="350"/>
        <v>0</v>
      </c>
    </row>
    <row r="1047" spans="1:17" x14ac:dyDescent="0.2">
      <c r="A1047" s="264" t="s">
        <v>832</v>
      </c>
      <c r="B1047" s="202" t="s">
        <v>657</v>
      </c>
      <c r="C1047" s="202" t="s">
        <v>531</v>
      </c>
      <c r="D1047" s="202" t="s">
        <v>1303</v>
      </c>
      <c r="E1047" s="202" t="s">
        <v>830</v>
      </c>
      <c r="F1047" s="265">
        <v>0</v>
      </c>
      <c r="G1047" s="265">
        <v>0</v>
      </c>
      <c r="H1047" s="265">
        <v>0</v>
      </c>
      <c r="I1047" s="265">
        <v>0</v>
      </c>
      <c r="J1047" s="265">
        <f t="shared" si="347"/>
        <v>0</v>
      </c>
      <c r="K1047" s="265">
        <f t="shared" si="348"/>
        <v>0</v>
      </c>
      <c r="L1047" s="265">
        <v>19703.099999999999</v>
      </c>
      <c r="M1047" s="226">
        <v>0</v>
      </c>
      <c r="N1047" s="265">
        <v>19703.099999999999</v>
      </c>
      <c r="O1047" s="226">
        <v>0</v>
      </c>
      <c r="P1047" s="265">
        <f t="shared" si="349"/>
        <v>0</v>
      </c>
      <c r="Q1047" s="271">
        <f t="shared" si="350"/>
        <v>0</v>
      </c>
    </row>
    <row r="1048" spans="1:17" ht="22.5" x14ac:dyDescent="0.2">
      <c r="A1048" s="264" t="s">
        <v>1304</v>
      </c>
      <c r="B1048" s="202" t="s">
        <v>657</v>
      </c>
      <c r="C1048" s="202" t="s">
        <v>531</v>
      </c>
      <c r="D1048" s="202" t="s">
        <v>1305</v>
      </c>
      <c r="E1048" s="202"/>
      <c r="F1048" s="265">
        <v>0</v>
      </c>
      <c r="G1048" s="265">
        <v>0</v>
      </c>
      <c r="H1048" s="265">
        <v>0</v>
      </c>
      <c r="I1048" s="265">
        <v>0</v>
      </c>
      <c r="J1048" s="265">
        <f t="shared" si="347"/>
        <v>0</v>
      </c>
      <c r="K1048" s="265">
        <f t="shared" si="348"/>
        <v>0</v>
      </c>
      <c r="L1048" s="265">
        <v>2204</v>
      </c>
      <c r="M1048" s="226">
        <v>2204</v>
      </c>
      <c r="N1048" s="265">
        <v>2204</v>
      </c>
      <c r="O1048" s="226">
        <v>2204</v>
      </c>
      <c r="P1048" s="265">
        <f t="shared" si="349"/>
        <v>0</v>
      </c>
      <c r="Q1048" s="271">
        <f t="shared" si="350"/>
        <v>0</v>
      </c>
    </row>
    <row r="1049" spans="1:17" ht="45" x14ac:dyDescent="0.2">
      <c r="A1049" s="264" t="s">
        <v>1306</v>
      </c>
      <c r="B1049" s="202" t="s">
        <v>657</v>
      </c>
      <c r="C1049" s="202" t="s">
        <v>531</v>
      </c>
      <c r="D1049" s="202" t="s">
        <v>1307</v>
      </c>
      <c r="E1049" s="202"/>
      <c r="F1049" s="265">
        <v>0</v>
      </c>
      <c r="G1049" s="265">
        <v>0</v>
      </c>
      <c r="H1049" s="265">
        <v>0</v>
      </c>
      <c r="I1049" s="265">
        <v>0</v>
      </c>
      <c r="J1049" s="265">
        <f t="shared" si="347"/>
        <v>0</v>
      </c>
      <c r="K1049" s="265">
        <f t="shared" si="348"/>
        <v>0</v>
      </c>
      <c r="L1049" s="265">
        <v>2204</v>
      </c>
      <c r="M1049" s="226">
        <v>2204</v>
      </c>
      <c r="N1049" s="265">
        <v>2204</v>
      </c>
      <c r="O1049" s="226">
        <v>2204</v>
      </c>
      <c r="P1049" s="265">
        <f t="shared" si="349"/>
        <v>0</v>
      </c>
      <c r="Q1049" s="271">
        <f t="shared" si="350"/>
        <v>0</v>
      </c>
    </row>
    <row r="1050" spans="1:17" ht="22.5" x14ac:dyDescent="0.2">
      <c r="A1050" s="264" t="s">
        <v>1308</v>
      </c>
      <c r="B1050" s="202" t="s">
        <v>657</v>
      </c>
      <c r="C1050" s="202" t="s">
        <v>531</v>
      </c>
      <c r="D1050" s="202" t="s">
        <v>1309</v>
      </c>
      <c r="E1050" s="202"/>
      <c r="F1050" s="265">
        <v>0</v>
      </c>
      <c r="G1050" s="265">
        <v>0</v>
      </c>
      <c r="H1050" s="265">
        <v>0</v>
      </c>
      <c r="I1050" s="265">
        <v>0</v>
      </c>
      <c r="J1050" s="265">
        <f t="shared" si="347"/>
        <v>0</v>
      </c>
      <c r="K1050" s="265">
        <f t="shared" si="348"/>
        <v>0</v>
      </c>
      <c r="L1050" s="265">
        <v>1102</v>
      </c>
      <c r="M1050" s="226">
        <v>1102</v>
      </c>
      <c r="N1050" s="265">
        <v>1102</v>
      </c>
      <c r="O1050" s="226">
        <v>1102</v>
      </c>
      <c r="P1050" s="265">
        <f t="shared" si="349"/>
        <v>0</v>
      </c>
      <c r="Q1050" s="271">
        <f t="shared" si="350"/>
        <v>0</v>
      </c>
    </row>
    <row r="1051" spans="1:17" x14ac:dyDescent="0.2">
      <c r="A1051" s="264" t="s">
        <v>553</v>
      </c>
      <c r="B1051" s="202" t="s">
        <v>657</v>
      </c>
      <c r="C1051" s="202" t="s">
        <v>531</v>
      </c>
      <c r="D1051" s="202" t="s">
        <v>1309</v>
      </c>
      <c r="E1051" s="202" t="s">
        <v>552</v>
      </c>
      <c r="F1051" s="265">
        <v>0</v>
      </c>
      <c r="G1051" s="265">
        <v>0</v>
      </c>
      <c r="H1051" s="265">
        <v>0</v>
      </c>
      <c r="I1051" s="265">
        <v>0</v>
      </c>
      <c r="J1051" s="265">
        <f t="shared" si="347"/>
        <v>0</v>
      </c>
      <c r="K1051" s="265">
        <f t="shared" si="348"/>
        <v>0</v>
      </c>
      <c r="L1051" s="265">
        <v>1102</v>
      </c>
      <c r="M1051" s="226">
        <v>1102</v>
      </c>
      <c r="N1051" s="265">
        <v>1102</v>
      </c>
      <c r="O1051" s="226">
        <v>1102</v>
      </c>
      <c r="P1051" s="265">
        <f t="shared" si="349"/>
        <v>0</v>
      </c>
      <c r="Q1051" s="271">
        <f t="shared" si="350"/>
        <v>0</v>
      </c>
    </row>
    <row r="1052" spans="1:17" x14ac:dyDescent="0.2">
      <c r="A1052" s="264" t="s">
        <v>832</v>
      </c>
      <c r="B1052" s="202" t="s">
        <v>657</v>
      </c>
      <c r="C1052" s="202" t="s">
        <v>531</v>
      </c>
      <c r="D1052" s="202" t="s">
        <v>1309</v>
      </c>
      <c r="E1052" s="202" t="s">
        <v>830</v>
      </c>
      <c r="F1052" s="265">
        <v>0</v>
      </c>
      <c r="G1052" s="265">
        <v>0</v>
      </c>
      <c r="H1052" s="265">
        <v>0</v>
      </c>
      <c r="I1052" s="265">
        <v>0</v>
      </c>
      <c r="J1052" s="265">
        <f t="shared" si="347"/>
        <v>0</v>
      </c>
      <c r="K1052" s="265">
        <f t="shared" si="348"/>
        <v>0</v>
      </c>
      <c r="L1052" s="265">
        <v>1102</v>
      </c>
      <c r="M1052" s="226">
        <v>1102</v>
      </c>
      <c r="N1052" s="265">
        <v>1102</v>
      </c>
      <c r="O1052" s="226">
        <v>1102</v>
      </c>
      <c r="P1052" s="265">
        <f t="shared" si="349"/>
        <v>0</v>
      </c>
      <c r="Q1052" s="271">
        <f t="shared" si="350"/>
        <v>0</v>
      </c>
    </row>
    <row r="1053" spans="1:17" ht="33.75" x14ac:dyDescent="0.2">
      <c r="A1053" s="264" t="s">
        <v>1310</v>
      </c>
      <c r="B1053" s="202" t="s">
        <v>657</v>
      </c>
      <c r="C1053" s="202" t="s">
        <v>531</v>
      </c>
      <c r="D1053" s="202" t="s">
        <v>1311</v>
      </c>
      <c r="E1053" s="202"/>
      <c r="F1053" s="265">
        <v>0</v>
      </c>
      <c r="G1053" s="265">
        <v>0</v>
      </c>
      <c r="H1053" s="265">
        <v>0</v>
      </c>
      <c r="I1053" s="265">
        <v>0</v>
      </c>
      <c r="J1053" s="265">
        <f t="shared" si="347"/>
        <v>0</v>
      </c>
      <c r="K1053" s="265">
        <f t="shared" si="348"/>
        <v>0</v>
      </c>
      <c r="L1053" s="265">
        <v>1102</v>
      </c>
      <c r="M1053" s="226">
        <v>1102</v>
      </c>
      <c r="N1053" s="265">
        <v>1102</v>
      </c>
      <c r="O1053" s="226">
        <v>1102</v>
      </c>
      <c r="P1053" s="265">
        <f t="shared" si="349"/>
        <v>0</v>
      </c>
      <c r="Q1053" s="271">
        <f t="shared" si="350"/>
        <v>0</v>
      </c>
    </row>
    <row r="1054" spans="1:17" x14ac:dyDescent="0.2">
      <c r="A1054" s="264" t="s">
        <v>553</v>
      </c>
      <c r="B1054" s="202" t="s">
        <v>657</v>
      </c>
      <c r="C1054" s="202" t="s">
        <v>531</v>
      </c>
      <c r="D1054" s="202" t="s">
        <v>1311</v>
      </c>
      <c r="E1054" s="202" t="s">
        <v>552</v>
      </c>
      <c r="F1054" s="265">
        <v>0</v>
      </c>
      <c r="G1054" s="265">
        <v>0</v>
      </c>
      <c r="H1054" s="265">
        <v>0</v>
      </c>
      <c r="I1054" s="265">
        <v>0</v>
      </c>
      <c r="J1054" s="265">
        <f t="shared" si="347"/>
        <v>0</v>
      </c>
      <c r="K1054" s="265">
        <f t="shared" si="348"/>
        <v>0</v>
      </c>
      <c r="L1054" s="265">
        <v>1102</v>
      </c>
      <c r="M1054" s="226">
        <v>1102</v>
      </c>
      <c r="N1054" s="265">
        <v>1102</v>
      </c>
      <c r="O1054" s="226">
        <v>1102</v>
      </c>
      <c r="P1054" s="265">
        <f t="shared" si="349"/>
        <v>0</v>
      </c>
      <c r="Q1054" s="271">
        <f t="shared" si="350"/>
        <v>0</v>
      </c>
    </row>
    <row r="1055" spans="1:17" x14ac:dyDescent="0.2">
      <c r="A1055" s="264" t="s">
        <v>832</v>
      </c>
      <c r="B1055" s="202" t="s">
        <v>657</v>
      </c>
      <c r="C1055" s="202" t="s">
        <v>531</v>
      </c>
      <c r="D1055" s="202" t="s">
        <v>1311</v>
      </c>
      <c r="E1055" s="202" t="s">
        <v>830</v>
      </c>
      <c r="F1055" s="265">
        <v>0</v>
      </c>
      <c r="G1055" s="265">
        <v>0</v>
      </c>
      <c r="H1055" s="265">
        <v>0</v>
      </c>
      <c r="I1055" s="265">
        <v>0</v>
      </c>
      <c r="J1055" s="265">
        <f t="shared" si="347"/>
        <v>0</v>
      </c>
      <c r="K1055" s="265">
        <f t="shared" si="348"/>
        <v>0</v>
      </c>
      <c r="L1055" s="265">
        <v>1102</v>
      </c>
      <c r="M1055" s="226">
        <v>1102</v>
      </c>
      <c r="N1055" s="265">
        <v>1102</v>
      </c>
      <c r="O1055" s="226">
        <v>1102</v>
      </c>
      <c r="P1055" s="265">
        <f t="shared" si="349"/>
        <v>0</v>
      </c>
      <c r="Q1055" s="271">
        <f t="shared" si="350"/>
        <v>0</v>
      </c>
    </row>
    <row r="1056" spans="1:17" x14ac:dyDescent="0.2">
      <c r="A1056" s="264" t="s">
        <v>595</v>
      </c>
      <c r="B1056" s="202" t="s">
        <v>657</v>
      </c>
      <c r="C1056" s="202" t="s">
        <v>531</v>
      </c>
      <c r="D1056" s="202" t="s">
        <v>594</v>
      </c>
      <c r="E1056" s="202"/>
      <c r="F1056" s="265">
        <v>4500</v>
      </c>
      <c r="G1056" s="265">
        <v>0</v>
      </c>
      <c r="H1056" s="265">
        <v>4500</v>
      </c>
      <c r="I1056" s="265">
        <v>0</v>
      </c>
      <c r="J1056" s="265">
        <f t="shared" si="347"/>
        <v>0</v>
      </c>
      <c r="K1056" s="265">
        <f t="shared" si="348"/>
        <v>0</v>
      </c>
      <c r="L1056" s="265">
        <v>9000</v>
      </c>
      <c r="M1056" s="226">
        <v>0</v>
      </c>
      <c r="N1056" s="265">
        <v>9000</v>
      </c>
      <c r="O1056" s="226">
        <v>0</v>
      </c>
      <c r="P1056" s="265">
        <f t="shared" si="349"/>
        <v>0</v>
      </c>
      <c r="Q1056" s="271">
        <f t="shared" si="350"/>
        <v>0</v>
      </c>
    </row>
    <row r="1057" spans="1:17" x14ac:dyDescent="0.2">
      <c r="A1057" s="264" t="s">
        <v>843</v>
      </c>
      <c r="B1057" s="202" t="s">
        <v>657</v>
      </c>
      <c r="C1057" s="202" t="s">
        <v>531</v>
      </c>
      <c r="D1057" s="202" t="s">
        <v>842</v>
      </c>
      <c r="E1057" s="202"/>
      <c r="F1057" s="265">
        <v>4500</v>
      </c>
      <c r="G1057" s="265">
        <v>0</v>
      </c>
      <c r="H1057" s="265">
        <v>4500</v>
      </c>
      <c r="I1057" s="265">
        <v>0</v>
      </c>
      <c r="J1057" s="265">
        <f t="shared" si="347"/>
        <v>0</v>
      </c>
      <c r="K1057" s="265">
        <f t="shared" si="348"/>
        <v>0</v>
      </c>
      <c r="L1057" s="265">
        <v>7500</v>
      </c>
      <c r="M1057" s="226">
        <v>0</v>
      </c>
      <c r="N1057" s="265">
        <v>7500</v>
      </c>
      <c r="O1057" s="226">
        <v>0</v>
      </c>
      <c r="P1057" s="265">
        <f t="shared" si="349"/>
        <v>0</v>
      </c>
      <c r="Q1057" s="271">
        <f t="shared" si="350"/>
        <v>0</v>
      </c>
    </row>
    <row r="1058" spans="1:17" x14ac:dyDescent="0.2">
      <c r="A1058" s="264" t="s">
        <v>553</v>
      </c>
      <c r="B1058" s="202" t="s">
        <v>657</v>
      </c>
      <c r="C1058" s="202" t="s">
        <v>531</v>
      </c>
      <c r="D1058" s="202" t="s">
        <v>842</v>
      </c>
      <c r="E1058" s="202" t="s">
        <v>552</v>
      </c>
      <c r="F1058" s="265">
        <v>4500</v>
      </c>
      <c r="G1058" s="265">
        <v>0</v>
      </c>
      <c r="H1058" s="265">
        <v>4500</v>
      </c>
      <c r="I1058" s="265">
        <v>0</v>
      </c>
      <c r="J1058" s="265">
        <f t="shared" si="347"/>
        <v>0</v>
      </c>
      <c r="K1058" s="265">
        <f t="shared" si="348"/>
        <v>0</v>
      </c>
      <c r="L1058" s="265">
        <v>7500</v>
      </c>
      <c r="M1058" s="226">
        <v>0</v>
      </c>
      <c r="N1058" s="265">
        <v>7500</v>
      </c>
      <c r="O1058" s="226">
        <v>0</v>
      </c>
      <c r="P1058" s="265">
        <f t="shared" si="349"/>
        <v>0</v>
      </c>
      <c r="Q1058" s="271">
        <f t="shared" si="350"/>
        <v>0</v>
      </c>
    </row>
    <row r="1059" spans="1:17" x14ac:dyDescent="0.2">
      <c r="A1059" s="264" t="s">
        <v>659</v>
      </c>
      <c r="B1059" s="202" t="s">
        <v>657</v>
      </c>
      <c r="C1059" s="202" t="s">
        <v>531</v>
      </c>
      <c r="D1059" s="202" t="s">
        <v>842</v>
      </c>
      <c r="E1059" s="202" t="s">
        <v>655</v>
      </c>
      <c r="F1059" s="265">
        <v>4500</v>
      </c>
      <c r="G1059" s="265">
        <v>0</v>
      </c>
      <c r="H1059" s="265">
        <v>4500</v>
      </c>
      <c r="I1059" s="265">
        <v>0</v>
      </c>
      <c r="J1059" s="265">
        <f t="shared" si="347"/>
        <v>0</v>
      </c>
      <c r="K1059" s="265">
        <f t="shared" si="348"/>
        <v>0</v>
      </c>
      <c r="L1059" s="265">
        <v>7500</v>
      </c>
      <c r="M1059" s="226">
        <v>0</v>
      </c>
      <c r="N1059" s="265">
        <v>7500</v>
      </c>
      <c r="O1059" s="226">
        <v>0</v>
      </c>
      <c r="P1059" s="265">
        <f t="shared" si="349"/>
        <v>0</v>
      </c>
      <c r="Q1059" s="271">
        <f t="shared" si="350"/>
        <v>0</v>
      </c>
    </row>
    <row r="1060" spans="1:17" ht="22.5" x14ac:dyDescent="0.2">
      <c r="A1060" s="264" t="s">
        <v>593</v>
      </c>
      <c r="B1060" s="202" t="s">
        <v>657</v>
      </c>
      <c r="C1060" s="202" t="s">
        <v>531</v>
      </c>
      <c r="D1060" s="202" t="s">
        <v>591</v>
      </c>
      <c r="E1060" s="202"/>
      <c r="F1060" s="265">
        <v>0</v>
      </c>
      <c r="G1060" s="265">
        <v>0</v>
      </c>
      <c r="H1060" s="265">
        <v>0</v>
      </c>
      <c r="I1060" s="265">
        <v>0</v>
      </c>
      <c r="J1060" s="265">
        <f t="shared" si="347"/>
        <v>0</v>
      </c>
      <c r="K1060" s="265">
        <f t="shared" si="348"/>
        <v>0</v>
      </c>
      <c r="L1060" s="265">
        <v>1500</v>
      </c>
      <c r="M1060" s="226">
        <v>0</v>
      </c>
      <c r="N1060" s="265">
        <v>1500</v>
      </c>
      <c r="O1060" s="226">
        <v>0</v>
      </c>
      <c r="P1060" s="265">
        <f t="shared" si="349"/>
        <v>0</v>
      </c>
      <c r="Q1060" s="271">
        <f t="shared" si="350"/>
        <v>0</v>
      </c>
    </row>
    <row r="1061" spans="1:17" x14ac:dyDescent="0.2">
      <c r="A1061" s="264" t="s">
        <v>553</v>
      </c>
      <c r="B1061" s="202" t="s">
        <v>657</v>
      </c>
      <c r="C1061" s="202" t="s">
        <v>531</v>
      </c>
      <c r="D1061" s="202" t="s">
        <v>591</v>
      </c>
      <c r="E1061" s="202" t="s">
        <v>552</v>
      </c>
      <c r="F1061" s="265">
        <v>0</v>
      </c>
      <c r="G1061" s="265">
        <v>0</v>
      </c>
      <c r="H1061" s="265">
        <v>0</v>
      </c>
      <c r="I1061" s="265">
        <v>0</v>
      </c>
      <c r="J1061" s="265">
        <f t="shared" si="347"/>
        <v>0</v>
      </c>
      <c r="K1061" s="265">
        <f t="shared" si="348"/>
        <v>0</v>
      </c>
      <c r="L1061" s="265">
        <v>1500</v>
      </c>
      <c r="M1061" s="226">
        <v>0</v>
      </c>
      <c r="N1061" s="265">
        <v>1500</v>
      </c>
      <c r="O1061" s="226">
        <v>0</v>
      </c>
      <c r="P1061" s="265">
        <f t="shared" si="349"/>
        <v>0</v>
      </c>
      <c r="Q1061" s="271">
        <f t="shared" si="350"/>
        <v>0</v>
      </c>
    </row>
    <row r="1062" spans="1:17" x14ac:dyDescent="0.2">
      <c r="A1062" s="264" t="s">
        <v>841</v>
      </c>
      <c r="B1062" s="202" t="s">
        <v>657</v>
      </c>
      <c r="C1062" s="202" t="s">
        <v>531</v>
      </c>
      <c r="D1062" s="202" t="s">
        <v>591</v>
      </c>
      <c r="E1062" s="202" t="s">
        <v>840</v>
      </c>
      <c r="F1062" s="265">
        <v>0</v>
      </c>
      <c r="G1062" s="265">
        <v>0</v>
      </c>
      <c r="H1062" s="265">
        <v>0</v>
      </c>
      <c r="I1062" s="265">
        <v>0</v>
      </c>
      <c r="J1062" s="265">
        <f t="shared" si="347"/>
        <v>0</v>
      </c>
      <c r="K1062" s="265">
        <f t="shared" si="348"/>
        <v>0</v>
      </c>
      <c r="L1062" s="265">
        <v>1500</v>
      </c>
      <c r="M1062" s="226">
        <v>0</v>
      </c>
      <c r="N1062" s="265">
        <v>1500</v>
      </c>
      <c r="O1062" s="226">
        <v>0</v>
      </c>
      <c r="P1062" s="265">
        <f t="shared" si="349"/>
        <v>0</v>
      </c>
      <c r="Q1062" s="271">
        <f t="shared" si="350"/>
        <v>0</v>
      </c>
    </row>
    <row r="1063" spans="1:17" x14ac:dyDescent="0.2">
      <c r="A1063" s="264" t="s">
        <v>667</v>
      </c>
      <c r="B1063" s="202" t="s">
        <v>657</v>
      </c>
      <c r="C1063" s="202" t="s">
        <v>507</v>
      </c>
      <c r="D1063" s="202"/>
      <c r="E1063" s="202"/>
      <c r="F1063" s="265">
        <v>151352</v>
      </c>
      <c r="G1063" s="265">
        <v>146352</v>
      </c>
      <c r="H1063" s="265">
        <f>H1064+H1072</f>
        <v>156352</v>
      </c>
      <c r="I1063" s="265">
        <v>146352</v>
      </c>
      <c r="J1063" s="265">
        <f t="shared" si="347"/>
        <v>5000</v>
      </c>
      <c r="K1063" s="265">
        <f t="shared" si="348"/>
        <v>0</v>
      </c>
      <c r="L1063" s="265">
        <v>135461</v>
      </c>
      <c r="M1063" s="226">
        <v>130461</v>
      </c>
      <c r="N1063" s="265">
        <f>N1064+N1072</f>
        <v>135461</v>
      </c>
      <c r="O1063" s="226">
        <v>130461</v>
      </c>
      <c r="P1063" s="265">
        <f t="shared" si="349"/>
        <v>0</v>
      </c>
      <c r="Q1063" s="271">
        <f t="shared" si="350"/>
        <v>0</v>
      </c>
    </row>
    <row r="1064" spans="1:17" x14ac:dyDescent="0.2">
      <c r="A1064" s="264" t="s">
        <v>666</v>
      </c>
      <c r="B1064" s="202" t="s">
        <v>657</v>
      </c>
      <c r="C1064" s="202" t="s">
        <v>507</v>
      </c>
      <c r="D1064" s="202" t="s">
        <v>665</v>
      </c>
      <c r="E1064" s="202"/>
      <c r="F1064" s="265">
        <v>106623</v>
      </c>
      <c r="G1064" s="265">
        <v>106623</v>
      </c>
      <c r="H1064" s="265">
        <v>106623</v>
      </c>
      <c r="I1064" s="265">
        <v>106623</v>
      </c>
      <c r="J1064" s="265">
        <f t="shared" si="347"/>
        <v>0</v>
      </c>
      <c r="K1064" s="265">
        <f t="shared" si="348"/>
        <v>0</v>
      </c>
      <c r="L1064" s="265">
        <v>106623</v>
      </c>
      <c r="M1064" s="226">
        <v>106623</v>
      </c>
      <c r="N1064" s="265">
        <v>106623</v>
      </c>
      <c r="O1064" s="226">
        <v>106623</v>
      </c>
      <c r="P1064" s="265">
        <f t="shared" si="349"/>
        <v>0</v>
      </c>
      <c r="Q1064" s="271">
        <f t="shared" si="350"/>
        <v>0</v>
      </c>
    </row>
    <row r="1065" spans="1:17" x14ac:dyDescent="0.2">
      <c r="A1065" s="264" t="s">
        <v>664</v>
      </c>
      <c r="B1065" s="202" t="s">
        <v>657</v>
      </c>
      <c r="C1065" s="202" t="s">
        <v>507</v>
      </c>
      <c r="D1065" s="202" t="s">
        <v>663</v>
      </c>
      <c r="E1065" s="202"/>
      <c r="F1065" s="265">
        <v>106623</v>
      </c>
      <c r="G1065" s="265">
        <v>106623</v>
      </c>
      <c r="H1065" s="265">
        <v>106623</v>
      </c>
      <c r="I1065" s="265">
        <v>106623</v>
      </c>
      <c r="J1065" s="265">
        <f t="shared" si="347"/>
        <v>0</v>
      </c>
      <c r="K1065" s="265">
        <f t="shared" si="348"/>
        <v>0</v>
      </c>
      <c r="L1065" s="265">
        <v>106623</v>
      </c>
      <c r="M1065" s="226">
        <v>106623</v>
      </c>
      <c r="N1065" s="265">
        <v>106623</v>
      </c>
      <c r="O1065" s="226">
        <v>106623</v>
      </c>
      <c r="P1065" s="265">
        <f t="shared" si="349"/>
        <v>0</v>
      </c>
      <c r="Q1065" s="271">
        <f t="shared" si="350"/>
        <v>0</v>
      </c>
    </row>
    <row r="1066" spans="1:17" ht="22.5" x14ac:dyDescent="0.2">
      <c r="A1066" s="264" t="s">
        <v>662</v>
      </c>
      <c r="B1066" s="202" t="s">
        <v>657</v>
      </c>
      <c r="C1066" s="202" t="s">
        <v>507</v>
      </c>
      <c r="D1066" s="202" t="s">
        <v>661</v>
      </c>
      <c r="E1066" s="202"/>
      <c r="F1066" s="265">
        <v>106623</v>
      </c>
      <c r="G1066" s="265">
        <v>106623</v>
      </c>
      <c r="H1066" s="265">
        <v>106623</v>
      </c>
      <c r="I1066" s="265">
        <v>106623</v>
      </c>
      <c r="J1066" s="265">
        <f t="shared" si="347"/>
        <v>0</v>
      </c>
      <c r="K1066" s="265">
        <f t="shared" si="348"/>
        <v>0</v>
      </c>
      <c r="L1066" s="265">
        <v>106623</v>
      </c>
      <c r="M1066" s="226">
        <v>106623</v>
      </c>
      <c r="N1066" s="265">
        <v>106623</v>
      </c>
      <c r="O1066" s="226">
        <v>106623</v>
      </c>
      <c r="P1066" s="265">
        <f t="shared" si="349"/>
        <v>0</v>
      </c>
      <c r="Q1066" s="271">
        <f t="shared" si="350"/>
        <v>0</v>
      </c>
    </row>
    <row r="1067" spans="1:17" ht="33.75" x14ac:dyDescent="0.2">
      <c r="A1067" s="264" t="s">
        <v>660</v>
      </c>
      <c r="B1067" s="202" t="s">
        <v>657</v>
      </c>
      <c r="C1067" s="202" t="s">
        <v>507</v>
      </c>
      <c r="D1067" s="202" t="s">
        <v>656</v>
      </c>
      <c r="E1067" s="202"/>
      <c r="F1067" s="265">
        <v>106623</v>
      </c>
      <c r="G1067" s="265">
        <v>106623</v>
      </c>
      <c r="H1067" s="265">
        <v>106623</v>
      </c>
      <c r="I1067" s="265">
        <v>106623</v>
      </c>
      <c r="J1067" s="265">
        <f t="shared" si="347"/>
        <v>0</v>
      </c>
      <c r="K1067" s="265">
        <f t="shared" si="348"/>
        <v>0</v>
      </c>
      <c r="L1067" s="265">
        <v>106623</v>
      </c>
      <c r="M1067" s="226">
        <v>106623</v>
      </c>
      <c r="N1067" s="265">
        <v>106623</v>
      </c>
      <c r="O1067" s="226">
        <v>106623</v>
      </c>
      <c r="P1067" s="265">
        <f t="shared" si="349"/>
        <v>0</v>
      </c>
      <c r="Q1067" s="271">
        <f t="shared" si="350"/>
        <v>0</v>
      </c>
    </row>
    <row r="1068" spans="1:17" x14ac:dyDescent="0.2">
      <c r="A1068" s="264" t="s">
        <v>1347</v>
      </c>
      <c r="B1068" s="202" t="s">
        <v>657</v>
      </c>
      <c r="C1068" s="202" t="s">
        <v>507</v>
      </c>
      <c r="D1068" s="202" t="s">
        <v>656</v>
      </c>
      <c r="E1068" s="202" t="s">
        <v>535</v>
      </c>
      <c r="F1068" s="265">
        <v>1056</v>
      </c>
      <c r="G1068" s="265">
        <v>1056</v>
      </c>
      <c r="H1068" s="265">
        <v>1056</v>
      </c>
      <c r="I1068" s="265">
        <v>1056</v>
      </c>
      <c r="J1068" s="265">
        <f t="shared" si="347"/>
        <v>0</v>
      </c>
      <c r="K1068" s="265">
        <f t="shared" si="348"/>
        <v>0</v>
      </c>
      <c r="L1068" s="265">
        <v>1056</v>
      </c>
      <c r="M1068" s="226">
        <v>1056</v>
      </c>
      <c r="N1068" s="265">
        <v>1056</v>
      </c>
      <c r="O1068" s="226">
        <v>1056</v>
      </c>
      <c r="P1068" s="265">
        <f t="shared" si="349"/>
        <v>0</v>
      </c>
      <c r="Q1068" s="271">
        <f t="shared" si="350"/>
        <v>0</v>
      </c>
    </row>
    <row r="1069" spans="1:17" x14ac:dyDescent="0.2">
      <c r="A1069" s="264" t="s">
        <v>534</v>
      </c>
      <c r="B1069" s="202" t="s">
        <v>657</v>
      </c>
      <c r="C1069" s="202" t="s">
        <v>507</v>
      </c>
      <c r="D1069" s="202" t="s">
        <v>656</v>
      </c>
      <c r="E1069" s="202" t="s">
        <v>529</v>
      </c>
      <c r="F1069" s="265">
        <v>1056</v>
      </c>
      <c r="G1069" s="265">
        <v>1056</v>
      </c>
      <c r="H1069" s="265">
        <v>1056</v>
      </c>
      <c r="I1069" s="265">
        <v>1056</v>
      </c>
      <c r="J1069" s="265">
        <f t="shared" si="347"/>
        <v>0</v>
      </c>
      <c r="K1069" s="265">
        <f t="shared" si="348"/>
        <v>0</v>
      </c>
      <c r="L1069" s="265">
        <v>1056</v>
      </c>
      <c r="M1069" s="226">
        <v>1056</v>
      </c>
      <c r="N1069" s="265">
        <v>1056</v>
      </c>
      <c r="O1069" s="226">
        <v>1056</v>
      </c>
      <c r="P1069" s="265">
        <f t="shared" si="349"/>
        <v>0</v>
      </c>
      <c r="Q1069" s="271">
        <f t="shared" si="350"/>
        <v>0</v>
      </c>
    </row>
    <row r="1070" spans="1:17" x14ac:dyDescent="0.2">
      <c r="A1070" s="264" t="s">
        <v>553</v>
      </c>
      <c r="B1070" s="202" t="s">
        <v>657</v>
      </c>
      <c r="C1070" s="202" t="s">
        <v>507</v>
      </c>
      <c r="D1070" s="202" t="s">
        <v>656</v>
      </c>
      <c r="E1070" s="202" t="s">
        <v>552</v>
      </c>
      <c r="F1070" s="265">
        <v>105567</v>
      </c>
      <c r="G1070" s="265">
        <v>105567</v>
      </c>
      <c r="H1070" s="265">
        <v>105567</v>
      </c>
      <c r="I1070" s="265">
        <v>105567</v>
      </c>
      <c r="J1070" s="265">
        <f t="shared" si="347"/>
        <v>0</v>
      </c>
      <c r="K1070" s="265">
        <f t="shared" si="348"/>
        <v>0</v>
      </c>
      <c r="L1070" s="265">
        <v>105567</v>
      </c>
      <c r="M1070" s="226">
        <v>105567</v>
      </c>
      <c r="N1070" s="265">
        <v>105567</v>
      </c>
      <c r="O1070" s="226">
        <v>105567</v>
      </c>
      <c r="P1070" s="265">
        <f t="shared" si="349"/>
        <v>0</v>
      </c>
      <c r="Q1070" s="271">
        <f t="shared" si="350"/>
        <v>0</v>
      </c>
    </row>
    <row r="1071" spans="1:17" x14ac:dyDescent="0.2">
      <c r="A1071" s="264" t="s">
        <v>659</v>
      </c>
      <c r="B1071" s="202" t="s">
        <v>657</v>
      </c>
      <c r="C1071" s="202" t="s">
        <v>507</v>
      </c>
      <c r="D1071" s="202" t="s">
        <v>656</v>
      </c>
      <c r="E1071" s="202" t="s">
        <v>655</v>
      </c>
      <c r="F1071" s="265">
        <v>105567</v>
      </c>
      <c r="G1071" s="265">
        <v>105567</v>
      </c>
      <c r="H1071" s="265">
        <v>105567</v>
      </c>
      <c r="I1071" s="265">
        <v>105567</v>
      </c>
      <c r="J1071" s="265">
        <f t="shared" si="347"/>
        <v>0</v>
      </c>
      <c r="K1071" s="265">
        <f t="shared" si="348"/>
        <v>0</v>
      </c>
      <c r="L1071" s="265">
        <v>105567</v>
      </c>
      <c r="M1071" s="226">
        <v>105567</v>
      </c>
      <c r="N1071" s="265">
        <v>105567</v>
      </c>
      <c r="O1071" s="226">
        <v>105567</v>
      </c>
      <c r="P1071" s="265">
        <f t="shared" si="349"/>
        <v>0</v>
      </c>
      <c r="Q1071" s="271">
        <f t="shared" si="350"/>
        <v>0</v>
      </c>
    </row>
    <row r="1072" spans="1:17" x14ac:dyDescent="0.2">
      <c r="A1072" s="264" t="s">
        <v>839</v>
      </c>
      <c r="B1072" s="202" t="s">
        <v>657</v>
      </c>
      <c r="C1072" s="202" t="s">
        <v>507</v>
      </c>
      <c r="D1072" s="202" t="s">
        <v>838</v>
      </c>
      <c r="E1072" s="202"/>
      <c r="F1072" s="265">
        <v>44729</v>
      </c>
      <c r="G1072" s="265">
        <v>39729</v>
      </c>
      <c r="H1072" s="265">
        <f>H1073+H1078</f>
        <v>49729</v>
      </c>
      <c r="I1072" s="265">
        <v>39729</v>
      </c>
      <c r="J1072" s="265">
        <f t="shared" si="347"/>
        <v>5000</v>
      </c>
      <c r="K1072" s="265">
        <f t="shared" si="348"/>
        <v>0</v>
      </c>
      <c r="L1072" s="265">
        <v>28838</v>
      </c>
      <c r="M1072" s="226">
        <v>23838</v>
      </c>
      <c r="N1072" s="265">
        <f>N1073+N1078</f>
        <v>28838</v>
      </c>
      <c r="O1072" s="226">
        <v>23838</v>
      </c>
      <c r="P1072" s="265">
        <f t="shared" si="349"/>
        <v>0</v>
      </c>
      <c r="Q1072" s="271">
        <f t="shared" si="350"/>
        <v>0</v>
      </c>
    </row>
    <row r="1073" spans="1:17" x14ac:dyDescent="0.2">
      <c r="A1073" s="264" t="s">
        <v>837</v>
      </c>
      <c r="B1073" s="202" t="s">
        <v>657</v>
      </c>
      <c r="C1073" s="202" t="s">
        <v>507</v>
      </c>
      <c r="D1073" s="202" t="s">
        <v>836</v>
      </c>
      <c r="E1073" s="202"/>
      <c r="F1073" s="265">
        <v>5000</v>
      </c>
      <c r="G1073" s="265">
        <v>0</v>
      </c>
      <c r="H1073" s="265">
        <f>H1074</f>
        <v>10000</v>
      </c>
      <c r="I1073" s="265">
        <v>0</v>
      </c>
      <c r="J1073" s="265">
        <f t="shared" si="347"/>
        <v>5000</v>
      </c>
      <c r="K1073" s="265">
        <f t="shared" si="348"/>
        <v>0</v>
      </c>
      <c r="L1073" s="265">
        <v>5000</v>
      </c>
      <c r="M1073" s="226">
        <v>0</v>
      </c>
      <c r="N1073" s="265">
        <f>N1074</f>
        <v>5000</v>
      </c>
      <c r="O1073" s="226">
        <v>0</v>
      </c>
      <c r="P1073" s="265">
        <f t="shared" si="349"/>
        <v>0</v>
      </c>
      <c r="Q1073" s="271">
        <f t="shared" si="350"/>
        <v>0</v>
      </c>
    </row>
    <row r="1074" spans="1:17" ht="33.75" x14ac:dyDescent="0.2">
      <c r="A1074" s="264" t="s">
        <v>835</v>
      </c>
      <c r="B1074" s="202" t="s">
        <v>657</v>
      </c>
      <c r="C1074" s="202" t="s">
        <v>507</v>
      </c>
      <c r="D1074" s="202" t="s">
        <v>834</v>
      </c>
      <c r="E1074" s="202"/>
      <c r="F1074" s="265">
        <v>5000</v>
      </c>
      <c r="G1074" s="265">
        <v>0</v>
      </c>
      <c r="H1074" s="265">
        <f>H1075</f>
        <v>10000</v>
      </c>
      <c r="I1074" s="265">
        <v>0</v>
      </c>
      <c r="J1074" s="265">
        <f t="shared" si="347"/>
        <v>5000</v>
      </c>
      <c r="K1074" s="265">
        <f t="shared" si="348"/>
        <v>0</v>
      </c>
      <c r="L1074" s="265">
        <v>5000</v>
      </c>
      <c r="M1074" s="226">
        <v>0</v>
      </c>
      <c r="N1074" s="265">
        <f>N1075</f>
        <v>5000</v>
      </c>
      <c r="O1074" s="226">
        <v>0</v>
      </c>
      <c r="P1074" s="265">
        <f t="shared" si="349"/>
        <v>0</v>
      </c>
      <c r="Q1074" s="271">
        <f t="shared" si="350"/>
        <v>0</v>
      </c>
    </row>
    <row r="1075" spans="1:17" x14ac:dyDescent="0.2">
      <c r="A1075" s="264" t="s">
        <v>833</v>
      </c>
      <c r="B1075" s="202" t="s">
        <v>657</v>
      </c>
      <c r="C1075" s="202" t="s">
        <v>507</v>
      </c>
      <c r="D1075" s="202" t="s">
        <v>831</v>
      </c>
      <c r="E1075" s="202"/>
      <c r="F1075" s="265">
        <v>5000</v>
      </c>
      <c r="G1075" s="265">
        <v>0</v>
      </c>
      <c r="H1075" s="265">
        <f>H1076</f>
        <v>10000</v>
      </c>
      <c r="I1075" s="265">
        <v>0</v>
      </c>
      <c r="J1075" s="265">
        <f t="shared" si="347"/>
        <v>5000</v>
      </c>
      <c r="K1075" s="265">
        <f t="shared" si="348"/>
        <v>0</v>
      </c>
      <c r="L1075" s="265">
        <v>5000</v>
      </c>
      <c r="M1075" s="226">
        <v>0</v>
      </c>
      <c r="N1075" s="265">
        <f>N1076</f>
        <v>5000</v>
      </c>
      <c r="O1075" s="226">
        <v>0</v>
      </c>
      <c r="P1075" s="265">
        <f t="shared" si="349"/>
        <v>0</v>
      </c>
      <c r="Q1075" s="271">
        <f t="shared" si="350"/>
        <v>0</v>
      </c>
    </row>
    <row r="1076" spans="1:17" x14ac:dyDescent="0.2">
      <c r="A1076" s="264" t="s">
        <v>553</v>
      </c>
      <c r="B1076" s="202" t="s">
        <v>657</v>
      </c>
      <c r="C1076" s="202" t="s">
        <v>507</v>
      </c>
      <c r="D1076" s="202" t="s">
        <v>831</v>
      </c>
      <c r="E1076" s="202" t="s">
        <v>552</v>
      </c>
      <c r="F1076" s="265">
        <v>5000</v>
      </c>
      <c r="G1076" s="265">
        <v>0</v>
      </c>
      <c r="H1076" s="265">
        <f>H1077</f>
        <v>10000</v>
      </c>
      <c r="I1076" s="265">
        <v>0</v>
      </c>
      <c r="J1076" s="265">
        <f t="shared" si="347"/>
        <v>5000</v>
      </c>
      <c r="K1076" s="265">
        <f t="shared" si="348"/>
        <v>0</v>
      </c>
      <c r="L1076" s="265">
        <v>5000</v>
      </c>
      <c r="M1076" s="226">
        <v>0</v>
      </c>
      <c r="N1076" s="265">
        <f>N1077</f>
        <v>5000</v>
      </c>
      <c r="O1076" s="226">
        <v>0</v>
      </c>
      <c r="P1076" s="265">
        <f t="shared" si="349"/>
        <v>0</v>
      </c>
      <c r="Q1076" s="271">
        <f t="shared" si="350"/>
        <v>0</v>
      </c>
    </row>
    <row r="1077" spans="1:17" x14ac:dyDescent="0.2">
      <c r="A1077" s="264" t="s">
        <v>832</v>
      </c>
      <c r="B1077" s="202" t="s">
        <v>657</v>
      </c>
      <c r="C1077" s="202" t="s">
        <v>507</v>
      </c>
      <c r="D1077" s="202" t="s">
        <v>831</v>
      </c>
      <c r="E1077" s="202" t="s">
        <v>830</v>
      </c>
      <c r="F1077" s="265">
        <v>5000</v>
      </c>
      <c r="G1077" s="265">
        <v>0</v>
      </c>
      <c r="H1077" s="265">
        <f>'Ведомственная 2021-2022'!H834</f>
        <v>10000</v>
      </c>
      <c r="I1077" s="265">
        <v>0</v>
      </c>
      <c r="J1077" s="265">
        <f t="shared" si="347"/>
        <v>5000</v>
      </c>
      <c r="K1077" s="265">
        <f t="shared" si="348"/>
        <v>0</v>
      </c>
      <c r="L1077" s="265">
        <v>5000</v>
      </c>
      <c r="M1077" s="226">
        <v>0</v>
      </c>
      <c r="N1077" s="265">
        <f>'Ведомственная 2021-2022'!K834</f>
        <v>5000</v>
      </c>
      <c r="O1077" s="226">
        <v>0</v>
      </c>
      <c r="P1077" s="265">
        <f t="shared" si="349"/>
        <v>0</v>
      </c>
      <c r="Q1077" s="271">
        <f t="shared" si="350"/>
        <v>0</v>
      </c>
    </row>
    <row r="1078" spans="1:17" ht="22.5" x14ac:dyDescent="0.2">
      <c r="A1078" s="264" t="s">
        <v>829</v>
      </c>
      <c r="B1078" s="202" t="s">
        <v>657</v>
      </c>
      <c r="C1078" s="202" t="s">
        <v>507</v>
      </c>
      <c r="D1078" s="202" t="s">
        <v>828</v>
      </c>
      <c r="E1078" s="202"/>
      <c r="F1078" s="265">
        <v>39729</v>
      </c>
      <c r="G1078" s="265">
        <v>39729</v>
      </c>
      <c r="H1078" s="265">
        <v>39729</v>
      </c>
      <c r="I1078" s="265">
        <v>39729</v>
      </c>
      <c r="J1078" s="265">
        <f t="shared" si="347"/>
        <v>0</v>
      </c>
      <c r="K1078" s="265">
        <f t="shared" si="348"/>
        <v>0</v>
      </c>
      <c r="L1078" s="265">
        <v>23838</v>
      </c>
      <c r="M1078" s="226">
        <v>23838</v>
      </c>
      <c r="N1078" s="265">
        <v>23838</v>
      </c>
      <c r="O1078" s="226">
        <v>23838</v>
      </c>
      <c r="P1078" s="265">
        <f t="shared" si="349"/>
        <v>0</v>
      </c>
      <c r="Q1078" s="271">
        <f t="shared" si="350"/>
        <v>0</v>
      </c>
    </row>
    <row r="1079" spans="1:17" ht="33.75" x14ac:dyDescent="0.2">
      <c r="A1079" s="264" t="s">
        <v>827</v>
      </c>
      <c r="B1079" s="202" t="s">
        <v>657</v>
      </c>
      <c r="C1079" s="202" t="s">
        <v>507</v>
      </c>
      <c r="D1079" s="202" t="s">
        <v>826</v>
      </c>
      <c r="E1079" s="202"/>
      <c r="F1079" s="265">
        <v>39729</v>
      </c>
      <c r="G1079" s="265">
        <v>39729</v>
      </c>
      <c r="H1079" s="265">
        <v>39729</v>
      </c>
      <c r="I1079" s="265">
        <v>39729</v>
      </c>
      <c r="J1079" s="265">
        <f t="shared" si="347"/>
        <v>0</v>
      </c>
      <c r="K1079" s="265">
        <f t="shared" si="348"/>
        <v>0</v>
      </c>
      <c r="L1079" s="265">
        <v>23838</v>
      </c>
      <c r="M1079" s="226">
        <v>23838</v>
      </c>
      <c r="N1079" s="265">
        <v>23838</v>
      </c>
      <c r="O1079" s="226">
        <v>23838</v>
      </c>
      <c r="P1079" s="265">
        <f t="shared" si="349"/>
        <v>0</v>
      </c>
      <c r="Q1079" s="271">
        <f t="shared" si="350"/>
        <v>0</v>
      </c>
    </row>
    <row r="1080" spans="1:17" ht="33.75" x14ac:dyDescent="0.2">
      <c r="A1080" s="264" t="s">
        <v>825</v>
      </c>
      <c r="B1080" s="202" t="s">
        <v>657</v>
      </c>
      <c r="C1080" s="202" t="s">
        <v>507</v>
      </c>
      <c r="D1080" s="202" t="s">
        <v>822</v>
      </c>
      <c r="E1080" s="202"/>
      <c r="F1080" s="265">
        <v>39729</v>
      </c>
      <c r="G1080" s="265">
        <v>39729</v>
      </c>
      <c r="H1080" s="265">
        <v>39729</v>
      </c>
      <c r="I1080" s="265">
        <v>39729</v>
      </c>
      <c r="J1080" s="265">
        <f t="shared" si="347"/>
        <v>0</v>
      </c>
      <c r="K1080" s="265">
        <f t="shared" si="348"/>
        <v>0</v>
      </c>
      <c r="L1080" s="265">
        <v>23838</v>
      </c>
      <c r="M1080" s="226">
        <v>23838</v>
      </c>
      <c r="N1080" s="265">
        <v>23838</v>
      </c>
      <c r="O1080" s="226">
        <v>23838</v>
      </c>
      <c r="P1080" s="265">
        <f t="shared" si="349"/>
        <v>0</v>
      </c>
      <c r="Q1080" s="271">
        <f t="shared" si="350"/>
        <v>0</v>
      </c>
    </row>
    <row r="1081" spans="1:17" x14ac:dyDescent="0.2">
      <c r="A1081" s="264" t="s">
        <v>1355</v>
      </c>
      <c r="B1081" s="202" t="s">
        <v>657</v>
      </c>
      <c r="C1081" s="202" t="s">
        <v>507</v>
      </c>
      <c r="D1081" s="202" t="s">
        <v>822</v>
      </c>
      <c r="E1081" s="202" t="s">
        <v>824</v>
      </c>
      <c r="F1081" s="265">
        <v>39729</v>
      </c>
      <c r="G1081" s="265">
        <v>39729</v>
      </c>
      <c r="H1081" s="265">
        <v>39729</v>
      </c>
      <c r="I1081" s="265">
        <v>39729</v>
      </c>
      <c r="J1081" s="265">
        <f t="shared" si="347"/>
        <v>0</v>
      </c>
      <c r="K1081" s="265">
        <f t="shared" si="348"/>
        <v>0</v>
      </c>
      <c r="L1081" s="265">
        <v>23838</v>
      </c>
      <c r="M1081" s="226">
        <v>23838</v>
      </c>
      <c r="N1081" s="265">
        <v>23838</v>
      </c>
      <c r="O1081" s="226">
        <v>23838</v>
      </c>
      <c r="P1081" s="265">
        <f t="shared" si="349"/>
        <v>0</v>
      </c>
      <c r="Q1081" s="271">
        <f t="shared" si="350"/>
        <v>0</v>
      </c>
    </row>
    <row r="1082" spans="1:17" x14ac:dyDescent="0.2">
      <c r="A1082" s="264" t="s">
        <v>823</v>
      </c>
      <c r="B1082" s="202" t="s">
        <v>657</v>
      </c>
      <c r="C1082" s="202" t="s">
        <v>507</v>
      </c>
      <c r="D1082" s="202" t="s">
        <v>822</v>
      </c>
      <c r="E1082" s="202" t="s">
        <v>821</v>
      </c>
      <c r="F1082" s="265">
        <v>39729</v>
      </c>
      <c r="G1082" s="265">
        <v>39729</v>
      </c>
      <c r="H1082" s="265">
        <v>39729</v>
      </c>
      <c r="I1082" s="265">
        <v>39729</v>
      </c>
      <c r="J1082" s="265">
        <f t="shared" si="347"/>
        <v>0</v>
      </c>
      <c r="K1082" s="265">
        <f t="shared" si="348"/>
        <v>0</v>
      </c>
      <c r="L1082" s="265">
        <v>23838</v>
      </c>
      <c r="M1082" s="226">
        <v>23838</v>
      </c>
      <c r="N1082" s="265">
        <v>23838</v>
      </c>
      <c r="O1082" s="226">
        <v>23838</v>
      </c>
      <c r="P1082" s="265">
        <f t="shared" si="349"/>
        <v>0</v>
      </c>
      <c r="Q1082" s="271">
        <f t="shared" si="350"/>
        <v>0</v>
      </c>
    </row>
    <row r="1083" spans="1:17" x14ac:dyDescent="0.2">
      <c r="A1083" s="264" t="s">
        <v>820</v>
      </c>
      <c r="B1083" s="202" t="s">
        <v>657</v>
      </c>
      <c r="C1083" s="202" t="s">
        <v>747</v>
      </c>
      <c r="D1083" s="202"/>
      <c r="E1083" s="202"/>
      <c r="F1083" s="265">
        <v>200</v>
      </c>
      <c r="G1083" s="265">
        <v>0</v>
      </c>
      <c r="H1083" s="265">
        <v>200</v>
      </c>
      <c r="I1083" s="265">
        <v>0</v>
      </c>
      <c r="J1083" s="265">
        <f t="shared" si="347"/>
        <v>0</v>
      </c>
      <c r="K1083" s="265">
        <f t="shared" si="348"/>
        <v>0</v>
      </c>
      <c r="L1083" s="265">
        <v>7480.3</v>
      </c>
      <c r="M1083" s="226">
        <v>0</v>
      </c>
      <c r="N1083" s="265">
        <v>7480.3</v>
      </c>
      <c r="O1083" s="226">
        <v>0</v>
      </c>
      <c r="P1083" s="265">
        <f t="shared" si="349"/>
        <v>0</v>
      </c>
      <c r="Q1083" s="271">
        <f t="shared" si="350"/>
        <v>0</v>
      </c>
    </row>
    <row r="1084" spans="1:17" x14ac:dyDescent="0.2">
      <c r="A1084" s="264" t="s">
        <v>568</v>
      </c>
      <c r="B1084" s="202" t="s">
        <v>657</v>
      </c>
      <c r="C1084" s="202" t="s">
        <v>747</v>
      </c>
      <c r="D1084" s="202" t="s">
        <v>567</v>
      </c>
      <c r="E1084" s="202"/>
      <c r="F1084" s="265">
        <v>200</v>
      </c>
      <c r="G1084" s="265">
        <v>0</v>
      </c>
      <c r="H1084" s="265">
        <v>200</v>
      </c>
      <c r="I1084" s="265">
        <v>0</v>
      </c>
      <c r="J1084" s="265">
        <f t="shared" si="347"/>
        <v>0</v>
      </c>
      <c r="K1084" s="265">
        <f t="shared" si="348"/>
        <v>0</v>
      </c>
      <c r="L1084" s="265">
        <v>7480.3</v>
      </c>
      <c r="M1084" s="226">
        <v>0</v>
      </c>
      <c r="N1084" s="265">
        <v>7480.3</v>
      </c>
      <c r="O1084" s="226">
        <v>0</v>
      </c>
      <c r="P1084" s="265">
        <f t="shared" si="349"/>
        <v>0</v>
      </c>
      <c r="Q1084" s="271">
        <f t="shared" si="350"/>
        <v>0</v>
      </c>
    </row>
    <row r="1085" spans="1:17" x14ac:dyDescent="0.2">
      <c r="A1085" s="264" t="s">
        <v>855</v>
      </c>
      <c r="B1085" s="202" t="s">
        <v>657</v>
      </c>
      <c r="C1085" s="202" t="s">
        <v>747</v>
      </c>
      <c r="D1085" s="202" t="s">
        <v>854</v>
      </c>
      <c r="E1085" s="202"/>
      <c r="F1085" s="265">
        <v>0</v>
      </c>
      <c r="G1085" s="265">
        <v>0</v>
      </c>
      <c r="H1085" s="265">
        <v>0</v>
      </c>
      <c r="I1085" s="265">
        <v>0</v>
      </c>
      <c r="J1085" s="265">
        <f t="shared" si="347"/>
        <v>0</v>
      </c>
      <c r="K1085" s="265">
        <f t="shared" si="348"/>
        <v>0</v>
      </c>
      <c r="L1085" s="265">
        <v>7280.3</v>
      </c>
      <c r="M1085" s="226">
        <v>0</v>
      </c>
      <c r="N1085" s="265">
        <v>7280.3</v>
      </c>
      <c r="O1085" s="226">
        <v>0</v>
      </c>
      <c r="P1085" s="265">
        <f t="shared" si="349"/>
        <v>0</v>
      </c>
      <c r="Q1085" s="271">
        <f t="shared" si="350"/>
        <v>0</v>
      </c>
    </row>
    <row r="1086" spans="1:17" x14ac:dyDescent="0.2">
      <c r="A1086" s="264" t="s">
        <v>1312</v>
      </c>
      <c r="B1086" s="202" t="s">
        <v>657</v>
      </c>
      <c r="C1086" s="202" t="s">
        <v>747</v>
      </c>
      <c r="D1086" s="202" t="s">
        <v>1313</v>
      </c>
      <c r="E1086" s="202"/>
      <c r="F1086" s="265">
        <v>0</v>
      </c>
      <c r="G1086" s="265">
        <v>0</v>
      </c>
      <c r="H1086" s="265">
        <v>0</v>
      </c>
      <c r="I1086" s="265">
        <v>0</v>
      </c>
      <c r="J1086" s="265">
        <f t="shared" si="347"/>
        <v>0</v>
      </c>
      <c r="K1086" s="265">
        <f t="shared" si="348"/>
        <v>0</v>
      </c>
      <c r="L1086" s="265">
        <v>7280.3</v>
      </c>
      <c r="M1086" s="226">
        <v>0</v>
      </c>
      <c r="N1086" s="265">
        <v>7280.3</v>
      </c>
      <c r="O1086" s="226">
        <v>0</v>
      </c>
      <c r="P1086" s="265">
        <f t="shared" si="349"/>
        <v>0</v>
      </c>
      <c r="Q1086" s="271">
        <f t="shared" si="350"/>
        <v>0</v>
      </c>
    </row>
    <row r="1087" spans="1:17" x14ac:dyDescent="0.2">
      <c r="A1087" s="264" t="s">
        <v>1314</v>
      </c>
      <c r="B1087" s="202" t="s">
        <v>657</v>
      </c>
      <c r="C1087" s="202" t="s">
        <v>747</v>
      </c>
      <c r="D1087" s="202" t="s">
        <v>1315</v>
      </c>
      <c r="E1087" s="202"/>
      <c r="F1087" s="265">
        <v>0</v>
      </c>
      <c r="G1087" s="265">
        <v>0</v>
      </c>
      <c r="H1087" s="265">
        <v>0</v>
      </c>
      <c r="I1087" s="265">
        <v>0</v>
      </c>
      <c r="J1087" s="265">
        <f t="shared" si="347"/>
        <v>0</v>
      </c>
      <c r="K1087" s="265">
        <f t="shared" si="348"/>
        <v>0</v>
      </c>
      <c r="L1087" s="265">
        <v>7280.3</v>
      </c>
      <c r="M1087" s="226">
        <v>0</v>
      </c>
      <c r="N1087" s="265">
        <v>7280.3</v>
      </c>
      <c r="O1087" s="226">
        <v>0</v>
      </c>
      <c r="P1087" s="265">
        <f t="shared" si="349"/>
        <v>0</v>
      </c>
      <c r="Q1087" s="271">
        <f t="shared" si="350"/>
        <v>0</v>
      </c>
    </row>
    <row r="1088" spans="1:17" x14ac:dyDescent="0.2">
      <c r="A1088" s="264" t="s">
        <v>1347</v>
      </c>
      <c r="B1088" s="202" t="s">
        <v>657</v>
      </c>
      <c r="C1088" s="202" t="s">
        <v>747</v>
      </c>
      <c r="D1088" s="202" t="s">
        <v>1315</v>
      </c>
      <c r="E1088" s="202" t="s">
        <v>535</v>
      </c>
      <c r="F1088" s="265">
        <v>0</v>
      </c>
      <c r="G1088" s="265">
        <v>0</v>
      </c>
      <c r="H1088" s="265">
        <v>0</v>
      </c>
      <c r="I1088" s="265">
        <v>0</v>
      </c>
      <c r="J1088" s="265">
        <f t="shared" si="347"/>
        <v>0</v>
      </c>
      <c r="K1088" s="265">
        <f t="shared" si="348"/>
        <v>0</v>
      </c>
      <c r="L1088" s="265">
        <v>7280.3</v>
      </c>
      <c r="M1088" s="226">
        <v>0</v>
      </c>
      <c r="N1088" s="265">
        <v>7280.3</v>
      </c>
      <c r="O1088" s="226">
        <v>0</v>
      </c>
      <c r="P1088" s="265">
        <f t="shared" si="349"/>
        <v>0</v>
      </c>
      <c r="Q1088" s="271">
        <f t="shared" si="350"/>
        <v>0</v>
      </c>
    </row>
    <row r="1089" spans="1:17" x14ac:dyDescent="0.2">
      <c r="A1089" s="264" t="s">
        <v>534</v>
      </c>
      <c r="B1089" s="202" t="s">
        <v>657</v>
      </c>
      <c r="C1089" s="202" t="s">
        <v>747</v>
      </c>
      <c r="D1089" s="202" t="s">
        <v>1315</v>
      </c>
      <c r="E1089" s="202" t="s">
        <v>529</v>
      </c>
      <c r="F1089" s="265">
        <v>0</v>
      </c>
      <c r="G1089" s="265">
        <v>0</v>
      </c>
      <c r="H1089" s="265">
        <v>0</v>
      </c>
      <c r="I1089" s="265">
        <v>0</v>
      </c>
      <c r="J1089" s="265">
        <f t="shared" si="347"/>
        <v>0</v>
      </c>
      <c r="K1089" s="265">
        <f t="shared" si="348"/>
        <v>0</v>
      </c>
      <c r="L1089" s="265">
        <v>7280.3</v>
      </c>
      <c r="M1089" s="226">
        <v>0</v>
      </c>
      <c r="N1089" s="265">
        <v>7280.3</v>
      </c>
      <c r="O1089" s="226">
        <v>0</v>
      </c>
      <c r="P1089" s="265">
        <f t="shared" si="349"/>
        <v>0</v>
      </c>
      <c r="Q1089" s="271">
        <f t="shared" si="350"/>
        <v>0</v>
      </c>
    </row>
    <row r="1090" spans="1:17" x14ac:dyDescent="0.2">
      <c r="A1090" s="264" t="s">
        <v>819</v>
      </c>
      <c r="B1090" s="202" t="s">
        <v>657</v>
      </c>
      <c r="C1090" s="202" t="s">
        <v>747</v>
      </c>
      <c r="D1090" s="202" t="s">
        <v>818</v>
      </c>
      <c r="E1090" s="202"/>
      <c r="F1090" s="265">
        <v>200</v>
      </c>
      <c r="G1090" s="265">
        <v>0</v>
      </c>
      <c r="H1090" s="265">
        <v>200</v>
      </c>
      <c r="I1090" s="265">
        <v>0</v>
      </c>
      <c r="J1090" s="265">
        <f t="shared" si="347"/>
        <v>0</v>
      </c>
      <c r="K1090" s="265">
        <f t="shared" si="348"/>
        <v>0</v>
      </c>
      <c r="L1090" s="265">
        <v>200</v>
      </c>
      <c r="M1090" s="226">
        <v>0</v>
      </c>
      <c r="N1090" s="265">
        <v>200</v>
      </c>
      <c r="O1090" s="226">
        <v>0</v>
      </c>
      <c r="P1090" s="265">
        <f t="shared" si="349"/>
        <v>0</v>
      </c>
      <c r="Q1090" s="271">
        <f t="shared" si="350"/>
        <v>0</v>
      </c>
    </row>
    <row r="1091" spans="1:17" x14ac:dyDescent="0.2">
      <c r="A1091" s="264" t="s">
        <v>817</v>
      </c>
      <c r="B1091" s="202" t="s">
        <v>657</v>
      </c>
      <c r="C1091" s="202" t="s">
        <v>747</v>
      </c>
      <c r="D1091" s="202" t="s">
        <v>816</v>
      </c>
      <c r="E1091" s="202"/>
      <c r="F1091" s="265">
        <v>200</v>
      </c>
      <c r="G1091" s="265">
        <v>0</v>
      </c>
      <c r="H1091" s="265">
        <v>200</v>
      </c>
      <c r="I1091" s="265">
        <v>0</v>
      </c>
      <c r="J1091" s="265">
        <f t="shared" si="347"/>
        <v>0</v>
      </c>
      <c r="K1091" s="265">
        <f t="shared" si="348"/>
        <v>0</v>
      </c>
      <c r="L1091" s="265">
        <v>200</v>
      </c>
      <c r="M1091" s="226">
        <v>0</v>
      </c>
      <c r="N1091" s="265">
        <v>200</v>
      </c>
      <c r="O1091" s="226">
        <v>0</v>
      </c>
      <c r="P1091" s="265">
        <f t="shared" si="349"/>
        <v>0</v>
      </c>
      <c r="Q1091" s="271">
        <f t="shared" si="350"/>
        <v>0</v>
      </c>
    </row>
    <row r="1092" spans="1:17" ht="22.5" x14ac:dyDescent="0.2">
      <c r="A1092" s="264" t="s">
        <v>815</v>
      </c>
      <c r="B1092" s="202" t="s">
        <v>657</v>
      </c>
      <c r="C1092" s="202" t="s">
        <v>747</v>
      </c>
      <c r="D1092" s="202" t="s">
        <v>814</v>
      </c>
      <c r="E1092" s="202"/>
      <c r="F1092" s="265">
        <v>200</v>
      </c>
      <c r="G1092" s="265">
        <v>0</v>
      </c>
      <c r="H1092" s="265">
        <v>200</v>
      </c>
      <c r="I1092" s="265">
        <v>0</v>
      </c>
      <c r="J1092" s="265">
        <f t="shared" si="347"/>
        <v>0</v>
      </c>
      <c r="K1092" s="265">
        <f t="shared" si="348"/>
        <v>0</v>
      </c>
      <c r="L1092" s="265">
        <v>200</v>
      </c>
      <c r="M1092" s="226">
        <v>0</v>
      </c>
      <c r="N1092" s="265">
        <v>200</v>
      </c>
      <c r="O1092" s="226">
        <v>0</v>
      </c>
      <c r="P1092" s="265">
        <f t="shared" si="349"/>
        <v>0</v>
      </c>
      <c r="Q1092" s="271">
        <f t="shared" si="350"/>
        <v>0</v>
      </c>
    </row>
    <row r="1093" spans="1:17" x14ac:dyDescent="0.2">
      <c r="A1093" s="264" t="s">
        <v>615</v>
      </c>
      <c r="B1093" s="202" t="s">
        <v>657</v>
      </c>
      <c r="C1093" s="202" t="s">
        <v>747</v>
      </c>
      <c r="D1093" s="202" t="s">
        <v>814</v>
      </c>
      <c r="E1093" s="202" t="s">
        <v>509</v>
      </c>
      <c r="F1093" s="265">
        <v>200</v>
      </c>
      <c r="G1093" s="265">
        <v>0</v>
      </c>
      <c r="H1093" s="265">
        <v>200</v>
      </c>
      <c r="I1093" s="265">
        <v>0</v>
      </c>
      <c r="J1093" s="265">
        <f t="shared" si="347"/>
        <v>0</v>
      </c>
      <c r="K1093" s="265">
        <f t="shared" si="348"/>
        <v>0</v>
      </c>
      <c r="L1093" s="265">
        <v>200</v>
      </c>
      <c r="M1093" s="226">
        <v>0</v>
      </c>
      <c r="N1093" s="265">
        <v>200</v>
      </c>
      <c r="O1093" s="226">
        <v>0</v>
      </c>
      <c r="P1093" s="265">
        <f t="shared" si="349"/>
        <v>0</v>
      </c>
      <c r="Q1093" s="271">
        <f t="shared" si="350"/>
        <v>0</v>
      </c>
    </row>
    <row r="1094" spans="1:17" ht="22.5" x14ac:dyDescent="0.2">
      <c r="A1094" s="264" t="s">
        <v>1346</v>
      </c>
      <c r="B1094" s="202" t="s">
        <v>657</v>
      </c>
      <c r="C1094" s="202" t="s">
        <v>747</v>
      </c>
      <c r="D1094" s="202" t="s">
        <v>814</v>
      </c>
      <c r="E1094" s="202" t="s">
        <v>511</v>
      </c>
      <c r="F1094" s="265">
        <v>200</v>
      </c>
      <c r="G1094" s="265">
        <v>0</v>
      </c>
      <c r="H1094" s="265">
        <v>200</v>
      </c>
      <c r="I1094" s="265">
        <v>0</v>
      </c>
      <c r="J1094" s="265">
        <f t="shared" si="347"/>
        <v>0</v>
      </c>
      <c r="K1094" s="265">
        <f t="shared" si="348"/>
        <v>0</v>
      </c>
      <c r="L1094" s="265">
        <v>200</v>
      </c>
      <c r="M1094" s="226">
        <v>0</v>
      </c>
      <c r="N1094" s="265">
        <v>200</v>
      </c>
      <c r="O1094" s="226">
        <v>0</v>
      </c>
      <c r="P1094" s="265">
        <f t="shared" si="349"/>
        <v>0</v>
      </c>
      <c r="Q1094" s="271">
        <f t="shared" si="350"/>
        <v>0</v>
      </c>
    </row>
    <row r="1095" spans="1:17" s="97" customFormat="1" x14ac:dyDescent="0.2">
      <c r="A1095" s="262" t="s">
        <v>580</v>
      </c>
      <c r="B1095" s="199" t="s">
        <v>532</v>
      </c>
      <c r="C1095" s="199"/>
      <c r="D1095" s="199"/>
      <c r="E1095" s="199"/>
      <c r="F1095" s="263">
        <v>505015</v>
      </c>
      <c r="G1095" s="263">
        <v>0</v>
      </c>
      <c r="H1095" s="263">
        <f>H1096+H1126</f>
        <v>505015</v>
      </c>
      <c r="I1095" s="263">
        <f>I1096+I1126</f>
        <v>0</v>
      </c>
      <c r="J1095" s="263">
        <f t="shared" si="347"/>
        <v>0</v>
      </c>
      <c r="K1095" s="263">
        <f t="shared" si="348"/>
        <v>0</v>
      </c>
      <c r="L1095" s="263">
        <v>575015</v>
      </c>
      <c r="M1095" s="205">
        <v>0</v>
      </c>
      <c r="N1095" s="263">
        <f>N1096+N1126</f>
        <v>575015</v>
      </c>
      <c r="O1095" s="205">
        <f>O1096+O1126</f>
        <v>0</v>
      </c>
      <c r="P1095" s="263">
        <f t="shared" si="349"/>
        <v>0</v>
      </c>
      <c r="Q1095" s="272">
        <f t="shared" si="350"/>
        <v>0</v>
      </c>
    </row>
    <row r="1096" spans="1:17" x14ac:dyDescent="0.2">
      <c r="A1096" s="264" t="s">
        <v>579</v>
      </c>
      <c r="B1096" s="202" t="s">
        <v>532</v>
      </c>
      <c r="C1096" s="202" t="s">
        <v>498</v>
      </c>
      <c r="D1096" s="202"/>
      <c r="E1096" s="202"/>
      <c r="F1096" s="265">
        <v>458535</v>
      </c>
      <c r="G1096" s="265">
        <v>0</v>
      </c>
      <c r="H1096" s="265">
        <f>H1097+H1104+H1120</f>
        <v>458535</v>
      </c>
      <c r="I1096" s="265">
        <f>I1097+I1104+I1120</f>
        <v>0</v>
      </c>
      <c r="J1096" s="265">
        <f t="shared" si="347"/>
        <v>0</v>
      </c>
      <c r="K1096" s="265">
        <f t="shared" si="348"/>
        <v>0</v>
      </c>
      <c r="L1096" s="265">
        <v>528535</v>
      </c>
      <c r="M1096" s="226">
        <v>0</v>
      </c>
      <c r="N1096" s="265">
        <f>N1097+N1104+N1120</f>
        <v>528535</v>
      </c>
      <c r="O1096" s="226">
        <f>O1097+O1104+O1120</f>
        <v>0</v>
      </c>
      <c r="P1096" s="265">
        <f t="shared" si="349"/>
        <v>0</v>
      </c>
      <c r="Q1096" s="271">
        <f t="shared" si="350"/>
        <v>0</v>
      </c>
    </row>
    <row r="1097" spans="1:17" x14ac:dyDescent="0.2">
      <c r="A1097" s="264" t="s">
        <v>568</v>
      </c>
      <c r="B1097" s="202" t="s">
        <v>532</v>
      </c>
      <c r="C1097" s="202" t="s">
        <v>498</v>
      </c>
      <c r="D1097" s="202" t="s">
        <v>567</v>
      </c>
      <c r="E1097" s="202"/>
      <c r="F1097" s="265">
        <v>500</v>
      </c>
      <c r="G1097" s="265">
        <v>0</v>
      </c>
      <c r="H1097" s="265">
        <v>500</v>
      </c>
      <c r="I1097" s="265">
        <v>0</v>
      </c>
      <c r="J1097" s="265">
        <f t="shared" si="347"/>
        <v>0</v>
      </c>
      <c r="K1097" s="265">
        <f t="shared" si="348"/>
        <v>0</v>
      </c>
      <c r="L1097" s="265">
        <v>500</v>
      </c>
      <c r="M1097" s="226">
        <v>0</v>
      </c>
      <c r="N1097" s="265">
        <v>500</v>
      </c>
      <c r="O1097" s="226">
        <v>0</v>
      </c>
      <c r="P1097" s="265">
        <f t="shared" si="349"/>
        <v>0</v>
      </c>
      <c r="Q1097" s="271">
        <f t="shared" si="350"/>
        <v>0</v>
      </c>
    </row>
    <row r="1098" spans="1:17" x14ac:dyDescent="0.2">
      <c r="A1098" s="264" t="s">
        <v>566</v>
      </c>
      <c r="B1098" s="202" t="s">
        <v>532</v>
      </c>
      <c r="C1098" s="202" t="s">
        <v>498</v>
      </c>
      <c r="D1098" s="202" t="s">
        <v>565</v>
      </c>
      <c r="E1098" s="202"/>
      <c r="F1098" s="265">
        <v>500</v>
      </c>
      <c r="G1098" s="265">
        <v>0</v>
      </c>
      <c r="H1098" s="265">
        <v>500</v>
      </c>
      <c r="I1098" s="265">
        <v>0</v>
      </c>
      <c r="J1098" s="265">
        <f t="shared" ref="J1098:J1161" si="351">H1098-F1098</f>
        <v>0</v>
      </c>
      <c r="K1098" s="265">
        <f t="shared" ref="K1098:K1161" si="352">I1098-G1098</f>
        <v>0</v>
      </c>
      <c r="L1098" s="265">
        <v>500</v>
      </c>
      <c r="M1098" s="226">
        <v>0</v>
      </c>
      <c r="N1098" s="265">
        <v>500</v>
      </c>
      <c r="O1098" s="226">
        <v>0</v>
      </c>
      <c r="P1098" s="265">
        <f t="shared" ref="P1098:P1161" si="353">N1098-L1098</f>
        <v>0</v>
      </c>
      <c r="Q1098" s="271">
        <f t="shared" ref="Q1098:Q1161" si="354">O1098-M1098</f>
        <v>0</v>
      </c>
    </row>
    <row r="1099" spans="1:17" ht="22.5" x14ac:dyDescent="0.2">
      <c r="A1099" s="202" t="s">
        <v>1387</v>
      </c>
      <c r="B1099" s="202" t="s">
        <v>532</v>
      </c>
      <c r="C1099" s="202" t="s">
        <v>498</v>
      </c>
      <c r="D1099" s="202" t="s">
        <v>578</v>
      </c>
      <c r="E1099" s="202"/>
      <c r="F1099" s="265">
        <v>500</v>
      </c>
      <c r="G1099" s="265">
        <v>0</v>
      </c>
      <c r="H1099" s="265">
        <v>500</v>
      </c>
      <c r="I1099" s="265">
        <v>0</v>
      </c>
      <c r="J1099" s="265">
        <f t="shared" si="351"/>
        <v>0</v>
      </c>
      <c r="K1099" s="265">
        <f t="shared" si="352"/>
        <v>0</v>
      </c>
      <c r="L1099" s="265">
        <v>500</v>
      </c>
      <c r="M1099" s="226">
        <v>0</v>
      </c>
      <c r="N1099" s="265">
        <v>500</v>
      </c>
      <c r="O1099" s="226">
        <v>0</v>
      </c>
      <c r="P1099" s="265">
        <f t="shared" si="353"/>
        <v>0</v>
      </c>
      <c r="Q1099" s="271">
        <f t="shared" si="354"/>
        <v>0</v>
      </c>
    </row>
    <row r="1100" spans="1:17" ht="33.75" x14ac:dyDescent="0.2">
      <c r="A1100" s="202" t="s">
        <v>1388</v>
      </c>
      <c r="B1100" s="202" t="s">
        <v>532</v>
      </c>
      <c r="C1100" s="202" t="s">
        <v>498</v>
      </c>
      <c r="D1100" s="202" t="s">
        <v>577</v>
      </c>
      <c r="E1100" s="202"/>
      <c r="F1100" s="265">
        <v>500</v>
      </c>
      <c r="G1100" s="265">
        <v>0</v>
      </c>
      <c r="H1100" s="265">
        <v>500</v>
      </c>
      <c r="I1100" s="265">
        <v>0</v>
      </c>
      <c r="J1100" s="265">
        <f t="shared" si="351"/>
        <v>0</v>
      </c>
      <c r="K1100" s="265">
        <f t="shared" si="352"/>
        <v>0</v>
      </c>
      <c r="L1100" s="265">
        <v>500</v>
      </c>
      <c r="M1100" s="226">
        <v>0</v>
      </c>
      <c r="N1100" s="265">
        <v>500</v>
      </c>
      <c r="O1100" s="226">
        <v>0</v>
      </c>
      <c r="P1100" s="265">
        <f t="shared" si="353"/>
        <v>0</v>
      </c>
      <c r="Q1100" s="271">
        <f t="shared" si="354"/>
        <v>0</v>
      </c>
    </row>
    <row r="1101" spans="1:17" x14ac:dyDescent="0.2">
      <c r="A1101" s="264" t="s">
        <v>547</v>
      </c>
      <c r="B1101" s="202" t="s">
        <v>532</v>
      </c>
      <c r="C1101" s="202" t="s">
        <v>498</v>
      </c>
      <c r="D1101" s="202" t="s">
        <v>577</v>
      </c>
      <c r="E1101" s="202" t="s">
        <v>519</v>
      </c>
      <c r="F1101" s="265">
        <v>500</v>
      </c>
      <c r="G1101" s="265">
        <v>0</v>
      </c>
      <c r="H1101" s="265">
        <v>500</v>
      </c>
      <c r="I1101" s="265">
        <v>0</v>
      </c>
      <c r="J1101" s="265">
        <f t="shared" si="351"/>
        <v>0</v>
      </c>
      <c r="K1101" s="265">
        <f t="shared" si="352"/>
        <v>0</v>
      </c>
      <c r="L1101" s="265">
        <v>500</v>
      </c>
      <c r="M1101" s="226">
        <v>0</v>
      </c>
      <c r="N1101" s="265">
        <v>500</v>
      </c>
      <c r="O1101" s="226">
        <v>0</v>
      </c>
      <c r="P1101" s="265">
        <f t="shared" si="353"/>
        <v>0</v>
      </c>
      <c r="Q1101" s="271">
        <f t="shared" si="354"/>
        <v>0</v>
      </c>
    </row>
    <row r="1102" spans="1:17" x14ac:dyDescent="0.2">
      <c r="A1102" s="264" t="s">
        <v>571</v>
      </c>
      <c r="B1102" s="202" t="s">
        <v>532</v>
      </c>
      <c r="C1102" s="202" t="s">
        <v>498</v>
      </c>
      <c r="D1102" s="202" t="s">
        <v>577</v>
      </c>
      <c r="E1102" s="202" t="s">
        <v>522</v>
      </c>
      <c r="F1102" s="265">
        <v>50</v>
      </c>
      <c r="G1102" s="265">
        <v>0</v>
      </c>
      <c r="H1102" s="265">
        <v>50</v>
      </c>
      <c r="I1102" s="265">
        <v>0</v>
      </c>
      <c r="J1102" s="265">
        <f t="shared" si="351"/>
        <v>0</v>
      </c>
      <c r="K1102" s="265">
        <f t="shared" si="352"/>
        <v>0</v>
      </c>
      <c r="L1102" s="265">
        <v>50</v>
      </c>
      <c r="M1102" s="226">
        <v>0</v>
      </c>
      <c r="N1102" s="265">
        <v>50</v>
      </c>
      <c r="O1102" s="226">
        <v>0</v>
      </c>
      <c r="P1102" s="265">
        <f t="shared" si="353"/>
        <v>0</v>
      </c>
      <c r="Q1102" s="271">
        <f t="shared" si="354"/>
        <v>0</v>
      </c>
    </row>
    <row r="1103" spans="1:17" x14ac:dyDescent="0.2">
      <c r="A1103" s="264" t="s">
        <v>546</v>
      </c>
      <c r="B1103" s="202" t="s">
        <v>532</v>
      </c>
      <c r="C1103" s="202" t="s">
        <v>498</v>
      </c>
      <c r="D1103" s="202" t="s">
        <v>577</v>
      </c>
      <c r="E1103" s="202" t="s">
        <v>544</v>
      </c>
      <c r="F1103" s="265">
        <v>450</v>
      </c>
      <c r="G1103" s="265">
        <v>0</v>
      </c>
      <c r="H1103" s="265">
        <v>450</v>
      </c>
      <c r="I1103" s="265">
        <v>0</v>
      </c>
      <c r="J1103" s="265">
        <f t="shared" si="351"/>
        <v>0</v>
      </c>
      <c r="K1103" s="265">
        <f t="shared" si="352"/>
        <v>0</v>
      </c>
      <c r="L1103" s="265">
        <v>450</v>
      </c>
      <c r="M1103" s="226">
        <v>0</v>
      </c>
      <c r="N1103" s="265">
        <v>450</v>
      </c>
      <c r="O1103" s="226">
        <v>0</v>
      </c>
      <c r="P1103" s="265">
        <f t="shared" si="353"/>
        <v>0</v>
      </c>
      <c r="Q1103" s="271">
        <f t="shared" si="354"/>
        <v>0</v>
      </c>
    </row>
    <row r="1104" spans="1:17" x14ac:dyDescent="0.2">
      <c r="A1104" s="264" t="s">
        <v>542</v>
      </c>
      <c r="B1104" s="202" t="s">
        <v>532</v>
      </c>
      <c r="C1104" s="202" t="s">
        <v>498</v>
      </c>
      <c r="D1104" s="202" t="s">
        <v>541</v>
      </c>
      <c r="E1104" s="202"/>
      <c r="F1104" s="265">
        <v>388035</v>
      </c>
      <c r="G1104" s="265">
        <v>0</v>
      </c>
      <c r="H1104" s="265">
        <v>388035</v>
      </c>
      <c r="I1104" s="265">
        <v>0</v>
      </c>
      <c r="J1104" s="265">
        <f t="shared" si="351"/>
        <v>0</v>
      </c>
      <c r="K1104" s="265">
        <f t="shared" si="352"/>
        <v>0</v>
      </c>
      <c r="L1104" s="265">
        <v>388035</v>
      </c>
      <c r="M1104" s="226">
        <v>0</v>
      </c>
      <c r="N1104" s="265">
        <v>388035</v>
      </c>
      <c r="O1104" s="226">
        <v>0</v>
      </c>
      <c r="P1104" s="265">
        <f t="shared" si="353"/>
        <v>0</v>
      </c>
      <c r="Q1104" s="271">
        <f t="shared" si="354"/>
        <v>0</v>
      </c>
    </row>
    <row r="1105" spans="1:17" x14ac:dyDescent="0.2">
      <c r="A1105" s="264" t="s">
        <v>560</v>
      </c>
      <c r="B1105" s="202" t="s">
        <v>532</v>
      </c>
      <c r="C1105" s="202" t="s">
        <v>498</v>
      </c>
      <c r="D1105" s="202" t="s">
        <v>559</v>
      </c>
      <c r="E1105" s="202"/>
      <c r="F1105" s="265">
        <v>206335</v>
      </c>
      <c r="G1105" s="265">
        <v>0</v>
      </c>
      <c r="H1105" s="265">
        <v>206335</v>
      </c>
      <c r="I1105" s="265">
        <v>0</v>
      </c>
      <c r="J1105" s="265">
        <f t="shared" si="351"/>
        <v>0</v>
      </c>
      <c r="K1105" s="265">
        <f t="shared" si="352"/>
        <v>0</v>
      </c>
      <c r="L1105" s="265">
        <v>206335</v>
      </c>
      <c r="M1105" s="226">
        <v>0</v>
      </c>
      <c r="N1105" s="265">
        <v>206335</v>
      </c>
      <c r="O1105" s="226">
        <v>0</v>
      </c>
      <c r="P1105" s="265">
        <f t="shared" si="353"/>
        <v>0</v>
      </c>
      <c r="Q1105" s="271">
        <f t="shared" si="354"/>
        <v>0</v>
      </c>
    </row>
    <row r="1106" spans="1:17" ht="22.5" x14ac:dyDescent="0.2">
      <c r="A1106" s="264" t="s">
        <v>558</v>
      </c>
      <c r="B1106" s="202" t="s">
        <v>532</v>
      </c>
      <c r="C1106" s="202" t="s">
        <v>498</v>
      </c>
      <c r="D1106" s="202" t="s">
        <v>557</v>
      </c>
      <c r="E1106" s="202"/>
      <c r="F1106" s="265">
        <v>206335</v>
      </c>
      <c r="G1106" s="265">
        <v>0</v>
      </c>
      <c r="H1106" s="265">
        <v>206335</v>
      </c>
      <c r="I1106" s="265">
        <v>0</v>
      </c>
      <c r="J1106" s="265">
        <f t="shared" si="351"/>
        <v>0</v>
      </c>
      <c r="K1106" s="265">
        <f t="shared" si="352"/>
        <v>0</v>
      </c>
      <c r="L1106" s="265">
        <v>206335</v>
      </c>
      <c r="M1106" s="226">
        <v>0</v>
      </c>
      <c r="N1106" s="265">
        <v>206335</v>
      </c>
      <c r="O1106" s="226">
        <v>0</v>
      </c>
      <c r="P1106" s="265">
        <f t="shared" si="353"/>
        <v>0</v>
      </c>
      <c r="Q1106" s="271">
        <f t="shared" si="354"/>
        <v>0</v>
      </c>
    </row>
    <row r="1107" spans="1:17" ht="22.5" x14ac:dyDescent="0.2">
      <c r="A1107" s="264" t="s">
        <v>576</v>
      </c>
      <c r="B1107" s="202" t="s">
        <v>532</v>
      </c>
      <c r="C1107" s="202" t="s">
        <v>498</v>
      </c>
      <c r="D1107" s="202" t="s">
        <v>575</v>
      </c>
      <c r="E1107" s="202"/>
      <c r="F1107" s="265">
        <v>4335</v>
      </c>
      <c r="G1107" s="265">
        <v>0</v>
      </c>
      <c r="H1107" s="265">
        <v>4335</v>
      </c>
      <c r="I1107" s="265">
        <v>0</v>
      </c>
      <c r="J1107" s="265">
        <f t="shared" si="351"/>
        <v>0</v>
      </c>
      <c r="K1107" s="265">
        <f t="shared" si="352"/>
        <v>0</v>
      </c>
      <c r="L1107" s="265">
        <v>4335</v>
      </c>
      <c r="M1107" s="226">
        <v>0</v>
      </c>
      <c r="N1107" s="265">
        <v>4335</v>
      </c>
      <c r="O1107" s="226">
        <v>0</v>
      </c>
      <c r="P1107" s="265">
        <f t="shared" si="353"/>
        <v>0</v>
      </c>
      <c r="Q1107" s="271">
        <f t="shared" si="354"/>
        <v>0</v>
      </c>
    </row>
    <row r="1108" spans="1:17" x14ac:dyDescent="0.2">
      <c r="A1108" s="264" t="s">
        <v>547</v>
      </c>
      <c r="B1108" s="202" t="s">
        <v>532</v>
      </c>
      <c r="C1108" s="202" t="s">
        <v>498</v>
      </c>
      <c r="D1108" s="202" t="s">
        <v>575</v>
      </c>
      <c r="E1108" s="202" t="s">
        <v>519</v>
      </c>
      <c r="F1108" s="265">
        <v>4335</v>
      </c>
      <c r="G1108" s="265">
        <v>0</v>
      </c>
      <c r="H1108" s="265">
        <v>4335</v>
      </c>
      <c r="I1108" s="265">
        <v>0</v>
      </c>
      <c r="J1108" s="265">
        <f t="shared" si="351"/>
        <v>0</v>
      </c>
      <c r="K1108" s="265">
        <f t="shared" si="352"/>
        <v>0</v>
      </c>
      <c r="L1108" s="265">
        <v>4335</v>
      </c>
      <c r="M1108" s="226">
        <v>0</v>
      </c>
      <c r="N1108" s="265">
        <v>4335</v>
      </c>
      <c r="O1108" s="226">
        <v>0</v>
      </c>
      <c r="P1108" s="265">
        <f t="shared" si="353"/>
        <v>0</v>
      </c>
      <c r="Q1108" s="271">
        <f t="shared" si="354"/>
        <v>0</v>
      </c>
    </row>
    <row r="1109" spans="1:17" x14ac:dyDescent="0.2">
      <c r="A1109" s="264" t="s">
        <v>546</v>
      </c>
      <c r="B1109" s="202" t="s">
        <v>532</v>
      </c>
      <c r="C1109" s="202" t="s">
        <v>498</v>
      </c>
      <c r="D1109" s="202" t="s">
        <v>575</v>
      </c>
      <c r="E1109" s="202" t="s">
        <v>544</v>
      </c>
      <c r="F1109" s="265">
        <v>4335</v>
      </c>
      <c r="G1109" s="265">
        <v>0</v>
      </c>
      <c r="H1109" s="265">
        <v>4335</v>
      </c>
      <c r="I1109" s="265">
        <v>0</v>
      </c>
      <c r="J1109" s="265">
        <f t="shared" si="351"/>
        <v>0</v>
      </c>
      <c r="K1109" s="265">
        <f t="shared" si="352"/>
        <v>0</v>
      </c>
      <c r="L1109" s="265">
        <v>4335</v>
      </c>
      <c r="M1109" s="226">
        <v>0</v>
      </c>
      <c r="N1109" s="265">
        <v>4335</v>
      </c>
      <c r="O1109" s="226">
        <v>0</v>
      </c>
      <c r="P1109" s="265">
        <f t="shared" si="353"/>
        <v>0</v>
      </c>
      <c r="Q1109" s="271">
        <f t="shared" si="354"/>
        <v>0</v>
      </c>
    </row>
    <row r="1110" spans="1:17" ht="22.5" x14ac:dyDescent="0.2">
      <c r="A1110" s="264" t="s">
        <v>548</v>
      </c>
      <c r="B1110" s="202" t="s">
        <v>532</v>
      </c>
      <c r="C1110" s="202" t="s">
        <v>498</v>
      </c>
      <c r="D1110" s="202" t="s">
        <v>545</v>
      </c>
      <c r="E1110" s="202"/>
      <c r="F1110" s="265">
        <v>202000</v>
      </c>
      <c r="G1110" s="265">
        <v>0</v>
      </c>
      <c r="H1110" s="265">
        <v>202000</v>
      </c>
      <c r="I1110" s="265">
        <v>0</v>
      </c>
      <c r="J1110" s="265">
        <f t="shared" si="351"/>
        <v>0</v>
      </c>
      <c r="K1110" s="265">
        <f t="shared" si="352"/>
        <v>0</v>
      </c>
      <c r="L1110" s="265">
        <v>202000</v>
      </c>
      <c r="M1110" s="226">
        <v>0</v>
      </c>
      <c r="N1110" s="265">
        <v>202000</v>
      </c>
      <c r="O1110" s="226">
        <v>0</v>
      </c>
      <c r="P1110" s="265">
        <f t="shared" si="353"/>
        <v>0</v>
      </c>
      <c r="Q1110" s="271">
        <f t="shared" si="354"/>
        <v>0</v>
      </c>
    </row>
    <row r="1111" spans="1:17" x14ac:dyDescent="0.2">
      <c r="A1111" s="264" t="s">
        <v>547</v>
      </c>
      <c r="B1111" s="202" t="s">
        <v>532</v>
      </c>
      <c r="C1111" s="202" t="s">
        <v>498</v>
      </c>
      <c r="D1111" s="202" t="s">
        <v>545</v>
      </c>
      <c r="E1111" s="202" t="s">
        <v>519</v>
      </c>
      <c r="F1111" s="265">
        <v>202000</v>
      </c>
      <c r="G1111" s="265">
        <v>0</v>
      </c>
      <c r="H1111" s="265">
        <v>202000</v>
      </c>
      <c r="I1111" s="265">
        <v>0</v>
      </c>
      <c r="J1111" s="265">
        <f t="shared" si="351"/>
        <v>0</v>
      </c>
      <c r="K1111" s="265">
        <f t="shared" si="352"/>
        <v>0</v>
      </c>
      <c r="L1111" s="265">
        <v>202000</v>
      </c>
      <c r="M1111" s="226">
        <v>0</v>
      </c>
      <c r="N1111" s="265">
        <v>202000</v>
      </c>
      <c r="O1111" s="226">
        <v>0</v>
      </c>
      <c r="P1111" s="265">
        <f t="shared" si="353"/>
        <v>0</v>
      </c>
      <c r="Q1111" s="271">
        <f t="shared" si="354"/>
        <v>0</v>
      </c>
    </row>
    <row r="1112" spans="1:17" x14ac:dyDescent="0.2">
      <c r="A1112" s="264" t="s">
        <v>571</v>
      </c>
      <c r="B1112" s="202" t="s">
        <v>532</v>
      </c>
      <c r="C1112" s="202" t="s">
        <v>498</v>
      </c>
      <c r="D1112" s="202" t="s">
        <v>545</v>
      </c>
      <c r="E1112" s="202" t="s">
        <v>522</v>
      </c>
      <c r="F1112" s="265">
        <v>15000</v>
      </c>
      <c r="G1112" s="265">
        <v>0</v>
      </c>
      <c r="H1112" s="265">
        <v>15000</v>
      </c>
      <c r="I1112" s="265">
        <v>0</v>
      </c>
      <c r="J1112" s="265">
        <f t="shared" si="351"/>
        <v>0</v>
      </c>
      <c r="K1112" s="265">
        <f t="shared" si="352"/>
        <v>0</v>
      </c>
      <c r="L1112" s="265">
        <v>15000</v>
      </c>
      <c r="M1112" s="226">
        <v>0</v>
      </c>
      <c r="N1112" s="265">
        <v>15000</v>
      </c>
      <c r="O1112" s="226">
        <v>0</v>
      </c>
      <c r="P1112" s="265">
        <f t="shared" si="353"/>
        <v>0</v>
      </c>
      <c r="Q1112" s="271">
        <f t="shared" si="354"/>
        <v>0</v>
      </c>
    </row>
    <row r="1113" spans="1:17" x14ac:dyDescent="0.2">
      <c r="A1113" s="264" t="s">
        <v>546</v>
      </c>
      <c r="B1113" s="202" t="s">
        <v>532</v>
      </c>
      <c r="C1113" s="202" t="s">
        <v>498</v>
      </c>
      <c r="D1113" s="202" t="s">
        <v>545</v>
      </c>
      <c r="E1113" s="202" t="s">
        <v>544</v>
      </c>
      <c r="F1113" s="265">
        <v>187000</v>
      </c>
      <c r="G1113" s="265">
        <v>0</v>
      </c>
      <c r="H1113" s="265">
        <v>187000</v>
      </c>
      <c r="I1113" s="265">
        <v>0</v>
      </c>
      <c r="J1113" s="265">
        <f t="shared" si="351"/>
        <v>0</v>
      </c>
      <c r="K1113" s="265">
        <f t="shared" si="352"/>
        <v>0</v>
      </c>
      <c r="L1113" s="265">
        <v>187000</v>
      </c>
      <c r="M1113" s="226">
        <v>0</v>
      </c>
      <c r="N1113" s="265">
        <v>187000</v>
      </c>
      <c r="O1113" s="226">
        <v>0</v>
      </c>
      <c r="P1113" s="265">
        <f t="shared" si="353"/>
        <v>0</v>
      </c>
      <c r="Q1113" s="271">
        <f t="shared" si="354"/>
        <v>0</v>
      </c>
    </row>
    <row r="1114" spans="1:17" x14ac:dyDescent="0.2">
      <c r="A1114" s="264" t="s">
        <v>540</v>
      </c>
      <c r="B1114" s="202" t="s">
        <v>532</v>
      </c>
      <c r="C1114" s="202" t="s">
        <v>498</v>
      </c>
      <c r="D1114" s="202" t="s">
        <v>539</v>
      </c>
      <c r="E1114" s="202"/>
      <c r="F1114" s="265">
        <v>181700</v>
      </c>
      <c r="G1114" s="265">
        <v>0</v>
      </c>
      <c r="H1114" s="265">
        <v>181700</v>
      </c>
      <c r="I1114" s="265">
        <v>0</v>
      </c>
      <c r="J1114" s="265">
        <f t="shared" si="351"/>
        <v>0</v>
      </c>
      <c r="K1114" s="265">
        <f t="shared" si="352"/>
        <v>0</v>
      </c>
      <c r="L1114" s="265">
        <v>181700</v>
      </c>
      <c r="M1114" s="226">
        <v>0</v>
      </c>
      <c r="N1114" s="265">
        <v>181700</v>
      </c>
      <c r="O1114" s="226">
        <v>0</v>
      </c>
      <c r="P1114" s="265">
        <f t="shared" si="353"/>
        <v>0</v>
      </c>
      <c r="Q1114" s="271">
        <f t="shared" si="354"/>
        <v>0</v>
      </c>
    </row>
    <row r="1115" spans="1:17" x14ac:dyDescent="0.2">
      <c r="A1115" s="264" t="s">
        <v>574</v>
      </c>
      <c r="B1115" s="202" t="s">
        <v>532</v>
      </c>
      <c r="C1115" s="202" t="s">
        <v>498</v>
      </c>
      <c r="D1115" s="202" t="s">
        <v>573</v>
      </c>
      <c r="E1115" s="202"/>
      <c r="F1115" s="265">
        <v>181700</v>
      </c>
      <c r="G1115" s="265">
        <v>0</v>
      </c>
      <c r="H1115" s="265">
        <v>181700</v>
      </c>
      <c r="I1115" s="265">
        <v>0</v>
      </c>
      <c r="J1115" s="265">
        <f t="shared" si="351"/>
        <v>0</v>
      </c>
      <c r="K1115" s="265">
        <f t="shared" si="352"/>
        <v>0</v>
      </c>
      <c r="L1115" s="265">
        <v>181700</v>
      </c>
      <c r="M1115" s="226">
        <v>0</v>
      </c>
      <c r="N1115" s="265">
        <v>181700</v>
      </c>
      <c r="O1115" s="226">
        <v>0</v>
      </c>
      <c r="P1115" s="265">
        <f t="shared" si="353"/>
        <v>0</v>
      </c>
      <c r="Q1115" s="271">
        <f t="shared" si="354"/>
        <v>0</v>
      </c>
    </row>
    <row r="1116" spans="1:17" ht="22.5" x14ac:dyDescent="0.2">
      <c r="A1116" s="264" t="s">
        <v>572</v>
      </c>
      <c r="B1116" s="202" t="s">
        <v>532</v>
      </c>
      <c r="C1116" s="202" t="s">
        <v>498</v>
      </c>
      <c r="D1116" s="202" t="s">
        <v>570</v>
      </c>
      <c r="E1116" s="202"/>
      <c r="F1116" s="265">
        <v>181700</v>
      </c>
      <c r="G1116" s="265">
        <v>0</v>
      </c>
      <c r="H1116" s="265">
        <v>181700</v>
      </c>
      <c r="I1116" s="265">
        <v>0</v>
      </c>
      <c r="J1116" s="265">
        <f t="shared" si="351"/>
        <v>0</v>
      </c>
      <c r="K1116" s="265">
        <f t="shared" si="352"/>
        <v>0</v>
      </c>
      <c r="L1116" s="265">
        <v>181700</v>
      </c>
      <c r="M1116" s="226">
        <v>0</v>
      </c>
      <c r="N1116" s="265">
        <v>181700</v>
      </c>
      <c r="O1116" s="226">
        <v>0</v>
      </c>
      <c r="P1116" s="265">
        <f t="shared" si="353"/>
        <v>0</v>
      </c>
      <c r="Q1116" s="271">
        <f t="shared" si="354"/>
        <v>0</v>
      </c>
    </row>
    <row r="1117" spans="1:17" x14ac:dyDescent="0.2">
      <c r="A1117" s="264" t="s">
        <v>547</v>
      </c>
      <c r="B1117" s="202" t="s">
        <v>532</v>
      </c>
      <c r="C1117" s="202" t="s">
        <v>498</v>
      </c>
      <c r="D1117" s="202" t="s">
        <v>570</v>
      </c>
      <c r="E1117" s="202" t="s">
        <v>519</v>
      </c>
      <c r="F1117" s="265">
        <v>181700</v>
      </c>
      <c r="G1117" s="265">
        <v>0</v>
      </c>
      <c r="H1117" s="265">
        <v>181700</v>
      </c>
      <c r="I1117" s="265">
        <v>0</v>
      </c>
      <c r="J1117" s="265">
        <f t="shared" si="351"/>
        <v>0</v>
      </c>
      <c r="K1117" s="265">
        <f t="shared" si="352"/>
        <v>0</v>
      </c>
      <c r="L1117" s="265">
        <v>181700</v>
      </c>
      <c r="M1117" s="226">
        <v>0</v>
      </c>
      <c r="N1117" s="265">
        <v>181700</v>
      </c>
      <c r="O1117" s="226">
        <v>0</v>
      </c>
      <c r="P1117" s="265">
        <f t="shared" si="353"/>
        <v>0</v>
      </c>
      <c r="Q1117" s="271">
        <f t="shared" si="354"/>
        <v>0</v>
      </c>
    </row>
    <row r="1118" spans="1:17" x14ac:dyDescent="0.2">
      <c r="A1118" s="264" t="s">
        <v>571</v>
      </c>
      <c r="B1118" s="202" t="s">
        <v>532</v>
      </c>
      <c r="C1118" s="202" t="s">
        <v>498</v>
      </c>
      <c r="D1118" s="202" t="s">
        <v>570</v>
      </c>
      <c r="E1118" s="202" t="s">
        <v>522</v>
      </c>
      <c r="F1118" s="265">
        <v>129000</v>
      </c>
      <c r="G1118" s="265">
        <v>0</v>
      </c>
      <c r="H1118" s="265">
        <v>129000</v>
      </c>
      <c r="I1118" s="265">
        <v>0</v>
      </c>
      <c r="J1118" s="265">
        <f t="shared" si="351"/>
        <v>0</v>
      </c>
      <c r="K1118" s="265">
        <f t="shared" si="352"/>
        <v>0</v>
      </c>
      <c r="L1118" s="265">
        <v>129000</v>
      </c>
      <c r="M1118" s="226">
        <v>0</v>
      </c>
      <c r="N1118" s="265">
        <v>129000</v>
      </c>
      <c r="O1118" s="226">
        <v>0</v>
      </c>
      <c r="P1118" s="265">
        <f t="shared" si="353"/>
        <v>0</v>
      </c>
      <c r="Q1118" s="271">
        <f t="shared" si="354"/>
        <v>0</v>
      </c>
    </row>
    <row r="1119" spans="1:17" x14ac:dyDescent="0.2">
      <c r="A1119" s="264" t="s">
        <v>546</v>
      </c>
      <c r="B1119" s="202" t="s">
        <v>532</v>
      </c>
      <c r="C1119" s="202" t="s">
        <v>498</v>
      </c>
      <c r="D1119" s="202" t="s">
        <v>570</v>
      </c>
      <c r="E1119" s="202" t="s">
        <v>544</v>
      </c>
      <c r="F1119" s="265">
        <v>52700</v>
      </c>
      <c r="G1119" s="265">
        <v>0</v>
      </c>
      <c r="H1119" s="265">
        <v>52700</v>
      </c>
      <c r="I1119" s="265">
        <v>0</v>
      </c>
      <c r="J1119" s="265">
        <f t="shared" si="351"/>
        <v>0</v>
      </c>
      <c r="K1119" s="265">
        <f t="shared" si="352"/>
        <v>0</v>
      </c>
      <c r="L1119" s="265">
        <v>52700</v>
      </c>
      <c r="M1119" s="226">
        <v>0</v>
      </c>
      <c r="N1119" s="265">
        <v>52700</v>
      </c>
      <c r="O1119" s="226">
        <v>0</v>
      </c>
      <c r="P1119" s="265">
        <f t="shared" si="353"/>
        <v>0</v>
      </c>
      <c r="Q1119" s="271">
        <f t="shared" si="354"/>
        <v>0</v>
      </c>
    </row>
    <row r="1120" spans="1:17" x14ac:dyDescent="0.2">
      <c r="A1120" s="264" t="s">
        <v>908</v>
      </c>
      <c r="B1120" s="202" t="s">
        <v>532</v>
      </c>
      <c r="C1120" s="202" t="s">
        <v>498</v>
      </c>
      <c r="D1120" s="202" t="s">
        <v>907</v>
      </c>
      <c r="E1120" s="202"/>
      <c r="F1120" s="265">
        <v>70000</v>
      </c>
      <c r="G1120" s="265">
        <v>0</v>
      </c>
      <c r="H1120" s="265">
        <f>H1121</f>
        <v>70000</v>
      </c>
      <c r="I1120" s="265">
        <v>0</v>
      </c>
      <c r="J1120" s="265">
        <f t="shared" si="351"/>
        <v>0</v>
      </c>
      <c r="K1120" s="265">
        <f t="shared" si="352"/>
        <v>0</v>
      </c>
      <c r="L1120" s="265">
        <v>140000</v>
      </c>
      <c r="M1120" s="226">
        <v>0</v>
      </c>
      <c r="N1120" s="265">
        <f>N1121</f>
        <v>140000</v>
      </c>
      <c r="O1120" s="226">
        <v>0</v>
      </c>
      <c r="P1120" s="265">
        <f t="shared" si="353"/>
        <v>0</v>
      </c>
      <c r="Q1120" s="271">
        <f t="shared" si="354"/>
        <v>0</v>
      </c>
    </row>
    <row r="1121" spans="1:17" x14ac:dyDescent="0.2">
      <c r="A1121" s="264" t="s">
        <v>1316</v>
      </c>
      <c r="B1121" s="202" t="s">
        <v>532</v>
      </c>
      <c r="C1121" s="202" t="s">
        <v>498</v>
      </c>
      <c r="D1121" s="202" t="s">
        <v>1317</v>
      </c>
      <c r="E1121" s="202"/>
      <c r="F1121" s="265">
        <v>70000</v>
      </c>
      <c r="G1121" s="265">
        <v>0</v>
      </c>
      <c r="H1121" s="265">
        <f>H1122</f>
        <v>70000</v>
      </c>
      <c r="I1121" s="265">
        <v>0</v>
      </c>
      <c r="J1121" s="265">
        <f t="shared" si="351"/>
        <v>0</v>
      </c>
      <c r="K1121" s="265">
        <f t="shared" si="352"/>
        <v>0</v>
      </c>
      <c r="L1121" s="265">
        <v>140000</v>
      </c>
      <c r="M1121" s="226">
        <v>0</v>
      </c>
      <c r="N1121" s="265">
        <f>N1122</f>
        <v>140000</v>
      </c>
      <c r="O1121" s="226">
        <v>0</v>
      </c>
      <c r="P1121" s="265">
        <f t="shared" si="353"/>
        <v>0</v>
      </c>
      <c r="Q1121" s="271">
        <f t="shared" si="354"/>
        <v>0</v>
      </c>
    </row>
    <row r="1122" spans="1:17" ht="22.5" x14ac:dyDescent="0.2">
      <c r="A1122" s="264" t="s">
        <v>1318</v>
      </c>
      <c r="B1122" s="202" t="s">
        <v>532</v>
      </c>
      <c r="C1122" s="202" t="s">
        <v>498</v>
      </c>
      <c r="D1122" s="202" t="s">
        <v>1319</v>
      </c>
      <c r="E1122" s="202"/>
      <c r="F1122" s="265">
        <v>70000</v>
      </c>
      <c r="G1122" s="265">
        <v>0</v>
      </c>
      <c r="H1122" s="265">
        <f>H1123</f>
        <v>70000</v>
      </c>
      <c r="I1122" s="265">
        <v>0</v>
      </c>
      <c r="J1122" s="265">
        <f t="shared" si="351"/>
        <v>0</v>
      </c>
      <c r="K1122" s="265">
        <f t="shared" si="352"/>
        <v>0</v>
      </c>
      <c r="L1122" s="265">
        <v>140000</v>
      </c>
      <c r="M1122" s="226">
        <v>0</v>
      </c>
      <c r="N1122" s="265">
        <f>N1123</f>
        <v>140000</v>
      </c>
      <c r="O1122" s="226">
        <v>0</v>
      </c>
      <c r="P1122" s="265">
        <f t="shared" si="353"/>
        <v>0</v>
      </c>
      <c r="Q1122" s="271">
        <f t="shared" si="354"/>
        <v>0</v>
      </c>
    </row>
    <row r="1123" spans="1:17" ht="22.5" x14ac:dyDescent="0.2">
      <c r="A1123" s="264" t="s">
        <v>1320</v>
      </c>
      <c r="B1123" s="202" t="s">
        <v>532</v>
      </c>
      <c r="C1123" s="202" t="s">
        <v>498</v>
      </c>
      <c r="D1123" s="202" t="s">
        <v>1321</v>
      </c>
      <c r="E1123" s="202"/>
      <c r="F1123" s="265">
        <v>70000</v>
      </c>
      <c r="G1123" s="265">
        <v>0</v>
      </c>
      <c r="H1123" s="265">
        <f>H1124</f>
        <v>70000</v>
      </c>
      <c r="I1123" s="265">
        <v>0</v>
      </c>
      <c r="J1123" s="265">
        <f t="shared" si="351"/>
        <v>0</v>
      </c>
      <c r="K1123" s="265">
        <f t="shared" si="352"/>
        <v>0</v>
      </c>
      <c r="L1123" s="265">
        <v>140000</v>
      </c>
      <c r="M1123" s="226">
        <v>0</v>
      </c>
      <c r="N1123" s="265">
        <f>N1124</f>
        <v>140000</v>
      </c>
      <c r="O1123" s="226">
        <v>0</v>
      </c>
      <c r="P1123" s="265">
        <f t="shared" si="353"/>
        <v>0</v>
      </c>
      <c r="Q1123" s="271">
        <f t="shared" si="354"/>
        <v>0</v>
      </c>
    </row>
    <row r="1124" spans="1:17" x14ac:dyDescent="0.2">
      <c r="A1124" s="264" t="s">
        <v>1355</v>
      </c>
      <c r="B1124" s="202" t="s">
        <v>532</v>
      </c>
      <c r="C1124" s="202" t="s">
        <v>498</v>
      </c>
      <c r="D1124" s="202" t="s">
        <v>1321</v>
      </c>
      <c r="E1124" s="202" t="s">
        <v>824</v>
      </c>
      <c r="F1124" s="265">
        <v>70000</v>
      </c>
      <c r="G1124" s="265">
        <v>0</v>
      </c>
      <c r="H1124" s="265">
        <f>H1125</f>
        <v>70000</v>
      </c>
      <c r="I1124" s="265">
        <v>0</v>
      </c>
      <c r="J1124" s="265">
        <f t="shared" si="351"/>
        <v>0</v>
      </c>
      <c r="K1124" s="265">
        <f t="shared" si="352"/>
        <v>0</v>
      </c>
      <c r="L1124" s="265">
        <v>140000</v>
      </c>
      <c r="M1124" s="226">
        <v>0</v>
      </c>
      <c r="N1124" s="265">
        <f>N1125</f>
        <v>140000</v>
      </c>
      <c r="O1124" s="226">
        <v>0</v>
      </c>
      <c r="P1124" s="265">
        <f t="shared" si="353"/>
        <v>0</v>
      </c>
      <c r="Q1124" s="271">
        <f t="shared" si="354"/>
        <v>0</v>
      </c>
    </row>
    <row r="1125" spans="1:17" x14ac:dyDescent="0.2">
      <c r="A1125" s="264" t="s">
        <v>823</v>
      </c>
      <c r="B1125" s="202" t="s">
        <v>532</v>
      </c>
      <c r="C1125" s="202" t="s">
        <v>498</v>
      </c>
      <c r="D1125" s="202" t="s">
        <v>1321</v>
      </c>
      <c r="E1125" s="202" t="s">
        <v>821</v>
      </c>
      <c r="F1125" s="265">
        <v>70000</v>
      </c>
      <c r="G1125" s="265">
        <v>0</v>
      </c>
      <c r="H1125" s="265">
        <f>'Ведомственная 2021-2022'!H859</f>
        <v>70000</v>
      </c>
      <c r="I1125" s="265">
        <v>0</v>
      </c>
      <c r="J1125" s="265">
        <f t="shared" si="351"/>
        <v>0</v>
      </c>
      <c r="K1125" s="265">
        <f t="shared" si="352"/>
        <v>0</v>
      </c>
      <c r="L1125" s="265">
        <v>140000</v>
      </c>
      <c r="M1125" s="226">
        <v>0</v>
      </c>
      <c r="N1125" s="265">
        <f>'Ведомственная 2021-2022'!K859</f>
        <v>140000</v>
      </c>
      <c r="O1125" s="226">
        <v>0</v>
      </c>
      <c r="P1125" s="265">
        <f t="shared" si="353"/>
        <v>0</v>
      </c>
      <c r="Q1125" s="271">
        <f t="shared" si="354"/>
        <v>0</v>
      </c>
    </row>
    <row r="1126" spans="1:17" x14ac:dyDescent="0.2">
      <c r="A1126" s="264" t="s">
        <v>569</v>
      </c>
      <c r="B1126" s="202" t="s">
        <v>532</v>
      </c>
      <c r="C1126" s="202" t="s">
        <v>502</v>
      </c>
      <c r="D1126" s="202"/>
      <c r="E1126" s="202"/>
      <c r="F1126" s="265">
        <v>46480</v>
      </c>
      <c r="G1126" s="265">
        <v>0</v>
      </c>
      <c r="H1126" s="265">
        <v>46480</v>
      </c>
      <c r="I1126" s="265">
        <v>0</v>
      </c>
      <c r="J1126" s="265">
        <f t="shared" si="351"/>
        <v>0</v>
      </c>
      <c r="K1126" s="265">
        <f t="shared" si="352"/>
        <v>0</v>
      </c>
      <c r="L1126" s="265">
        <v>46480</v>
      </c>
      <c r="M1126" s="226">
        <v>0</v>
      </c>
      <c r="N1126" s="265">
        <v>46480</v>
      </c>
      <c r="O1126" s="226">
        <v>0</v>
      </c>
      <c r="P1126" s="265">
        <f t="shared" si="353"/>
        <v>0</v>
      </c>
      <c r="Q1126" s="271">
        <f t="shared" si="354"/>
        <v>0</v>
      </c>
    </row>
    <row r="1127" spans="1:17" x14ac:dyDescent="0.2">
      <c r="A1127" s="264" t="s">
        <v>568</v>
      </c>
      <c r="B1127" s="202" t="s">
        <v>532</v>
      </c>
      <c r="C1127" s="202" t="s">
        <v>502</v>
      </c>
      <c r="D1127" s="202" t="s">
        <v>567</v>
      </c>
      <c r="E1127" s="202"/>
      <c r="F1127" s="265">
        <v>315</v>
      </c>
      <c r="G1127" s="265">
        <v>0</v>
      </c>
      <c r="H1127" s="265">
        <v>315</v>
      </c>
      <c r="I1127" s="265">
        <v>0</v>
      </c>
      <c r="J1127" s="265">
        <f t="shared" si="351"/>
        <v>0</v>
      </c>
      <c r="K1127" s="265">
        <f t="shared" si="352"/>
        <v>0</v>
      </c>
      <c r="L1127" s="265">
        <v>315</v>
      </c>
      <c r="M1127" s="226">
        <v>0</v>
      </c>
      <c r="N1127" s="265">
        <v>315</v>
      </c>
      <c r="O1127" s="226">
        <v>0</v>
      </c>
      <c r="P1127" s="265">
        <f t="shared" si="353"/>
        <v>0</v>
      </c>
      <c r="Q1127" s="271">
        <f t="shared" si="354"/>
        <v>0</v>
      </c>
    </row>
    <row r="1128" spans="1:17" x14ac:dyDescent="0.2">
      <c r="A1128" s="264" t="s">
        <v>566</v>
      </c>
      <c r="B1128" s="202" t="s">
        <v>532</v>
      </c>
      <c r="C1128" s="202" t="s">
        <v>502</v>
      </c>
      <c r="D1128" s="202" t="s">
        <v>565</v>
      </c>
      <c r="E1128" s="202"/>
      <c r="F1128" s="265">
        <v>315</v>
      </c>
      <c r="G1128" s="265">
        <v>0</v>
      </c>
      <c r="H1128" s="265">
        <v>315</v>
      </c>
      <c r="I1128" s="265">
        <v>0</v>
      </c>
      <c r="J1128" s="265">
        <f t="shared" si="351"/>
        <v>0</v>
      </c>
      <c r="K1128" s="265">
        <f t="shared" si="352"/>
        <v>0</v>
      </c>
      <c r="L1128" s="265">
        <v>315</v>
      </c>
      <c r="M1128" s="226">
        <v>0</v>
      </c>
      <c r="N1128" s="265">
        <v>315</v>
      </c>
      <c r="O1128" s="226">
        <v>0</v>
      </c>
      <c r="P1128" s="265">
        <f t="shared" si="353"/>
        <v>0</v>
      </c>
      <c r="Q1128" s="271">
        <f t="shared" si="354"/>
        <v>0</v>
      </c>
    </row>
    <row r="1129" spans="1:17" ht="22.5" x14ac:dyDescent="0.2">
      <c r="A1129" s="264" t="s">
        <v>564</v>
      </c>
      <c r="B1129" s="202" t="s">
        <v>532</v>
      </c>
      <c r="C1129" s="202" t="s">
        <v>502</v>
      </c>
      <c r="D1129" s="202" t="s">
        <v>563</v>
      </c>
      <c r="E1129" s="202"/>
      <c r="F1129" s="265">
        <v>315</v>
      </c>
      <c r="G1129" s="265">
        <v>0</v>
      </c>
      <c r="H1129" s="265">
        <v>315</v>
      </c>
      <c r="I1129" s="265">
        <v>0</v>
      </c>
      <c r="J1129" s="265">
        <f t="shared" si="351"/>
        <v>0</v>
      </c>
      <c r="K1129" s="265">
        <f t="shared" si="352"/>
        <v>0</v>
      </c>
      <c r="L1129" s="265">
        <v>315</v>
      </c>
      <c r="M1129" s="226">
        <v>0</v>
      </c>
      <c r="N1129" s="265">
        <v>315</v>
      </c>
      <c r="O1129" s="226">
        <v>0</v>
      </c>
      <c r="P1129" s="265">
        <f t="shared" si="353"/>
        <v>0</v>
      </c>
      <c r="Q1129" s="271">
        <f t="shared" si="354"/>
        <v>0</v>
      </c>
    </row>
    <row r="1130" spans="1:17" ht="22.5" x14ac:dyDescent="0.2">
      <c r="A1130" s="264" t="s">
        <v>562</v>
      </c>
      <c r="B1130" s="202" t="s">
        <v>532</v>
      </c>
      <c r="C1130" s="202" t="s">
        <v>502</v>
      </c>
      <c r="D1130" s="202" t="s">
        <v>561</v>
      </c>
      <c r="E1130" s="202"/>
      <c r="F1130" s="265">
        <v>315</v>
      </c>
      <c r="G1130" s="265">
        <v>0</v>
      </c>
      <c r="H1130" s="265">
        <v>315</v>
      </c>
      <c r="I1130" s="265">
        <v>0</v>
      </c>
      <c r="J1130" s="265">
        <f t="shared" si="351"/>
        <v>0</v>
      </c>
      <c r="K1130" s="265">
        <f t="shared" si="352"/>
        <v>0</v>
      </c>
      <c r="L1130" s="265">
        <v>315</v>
      </c>
      <c r="M1130" s="226">
        <v>0</v>
      </c>
      <c r="N1130" s="265">
        <v>315</v>
      </c>
      <c r="O1130" s="226">
        <v>0</v>
      </c>
      <c r="P1130" s="265">
        <f t="shared" si="353"/>
        <v>0</v>
      </c>
      <c r="Q1130" s="271">
        <f t="shared" si="354"/>
        <v>0</v>
      </c>
    </row>
    <row r="1131" spans="1:17" ht="33.75" x14ac:dyDescent="0.2">
      <c r="A1131" s="264" t="s">
        <v>1348</v>
      </c>
      <c r="B1131" s="202" t="s">
        <v>532</v>
      </c>
      <c r="C1131" s="202" t="s">
        <v>502</v>
      </c>
      <c r="D1131" s="202" t="s">
        <v>561</v>
      </c>
      <c r="E1131" s="202" t="s">
        <v>556</v>
      </c>
      <c r="F1131" s="265">
        <v>135</v>
      </c>
      <c r="G1131" s="265">
        <v>0</v>
      </c>
      <c r="H1131" s="265">
        <v>135</v>
      </c>
      <c r="I1131" s="265">
        <v>0</v>
      </c>
      <c r="J1131" s="265">
        <f t="shared" si="351"/>
        <v>0</v>
      </c>
      <c r="K1131" s="265">
        <f t="shared" si="352"/>
        <v>0</v>
      </c>
      <c r="L1131" s="265">
        <v>135</v>
      </c>
      <c r="M1131" s="226">
        <v>0</v>
      </c>
      <c r="N1131" s="265">
        <v>135</v>
      </c>
      <c r="O1131" s="226">
        <v>0</v>
      </c>
      <c r="P1131" s="265">
        <f t="shared" si="353"/>
        <v>0</v>
      </c>
      <c r="Q1131" s="271">
        <f t="shared" si="354"/>
        <v>0</v>
      </c>
    </row>
    <row r="1132" spans="1:17" x14ac:dyDescent="0.2">
      <c r="A1132" s="264" t="s">
        <v>555</v>
      </c>
      <c r="B1132" s="202" t="s">
        <v>532</v>
      </c>
      <c r="C1132" s="202" t="s">
        <v>502</v>
      </c>
      <c r="D1132" s="202" t="s">
        <v>561</v>
      </c>
      <c r="E1132" s="202" t="s">
        <v>554</v>
      </c>
      <c r="F1132" s="265">
        <v>135</v>
      </c>
      <c r="G1132" s="265">
        <v>0</v>
      </c>
      <c r="H1132" s="265">
        <v>135</v>
      </c>
      <c r="I1132" s="265">
        <v>0</v>
      </c>
      <c r="J1132" s="265">
        <f t="shared" si="351"/>
        <v>0</v>
      </c>
      <c r="K1132" s="265">
        <f t="shared" si="352"/>
        <v>0</v>
      </c>
      <c r="L1132" s="265">
        <v>135</v>
      </c>
      <c r="M1132" s="226">
        <v>0</v>
      </c>
      <c r="N1132" s="265">
        <v>135</v>
      </c>
      <c r="O1132" s="226">
        <v>0</v>
      </c>
      <c r="P1132" s="265">
        <f t="shared" si="353"/>
        <v>0</v>
      </c>
      <c r="Q1132" s="271">
        <f t="shared" si="354"/>
        <v>0</v>
      </c>
    </row>
    <row r="1133" spans="1:17" x14ac:dyDescent="0.2">
      <c r="A1133" s="264" t="s">
        <v>1347</v>
      </c>
      <c r="B1133" s="202" t="s">
        <v>532</v>
      </c>
      <c r="C1133" s="202" t="s">
        <v>502</v>
      </c>
      <c r="D1133" s="202" t="s">
        <v>561</v>
      </c>
      <c r="E1133" s="202" t="s">
        <v>535</v>
      </c>
      <c r="F1133" s="265">
        <v>180</v>
      </c>
      <c r="G1133" s="265">
        <v>0</v>
      </c>
      <c r="H1133" s="265">
        <v>180</v>
      </c>
      <c r="I1133" s="265">
        <v>0</v>
      </c>
      <c r="J1133" s="265">
        <f t="shared" si="351"/>
        <v>0</v>
      </c>
      <c r="K1133" s="265">
        <f t="shared" si="352"/>
        <v>0</v>
      </c>
      <c r="L1133" s="265">
        <v>180</v>
      </c>
      <c r="M1133" s="226">
        <v>0</v>
      </c>
      <c r="N1133" s="265">
        <v>180</v>
      </c>
      <c r="O1133" s="226">
        <v>0</v>
      </c>
      <c r="P1133" s="265">
        <f t="shared" si="353"/>
        <v>0</v>
      </c>
      <c r="Q1133" s="271">
        <f t="shared" si="354"/>
        <v>0</v>
      </c>
    </row>
    <row r="1134" spans="1:17" x14ac:dyDescent="0.2">
      <c r="A1134" s="264" t="s">
        <v>534</v>
      </c>
      <c r="B1134" s="202" t="s">
        <v>532</v>
      </c>
      <c r="C1134" s="202" t="s">
        <v>502</v>
      </c>
      <c r="D1134" s="202" t="s">
        <v>561</v>
      </c>
      <c r="E1134" s="202" t="s">
        <v>529</v>
      </c>
      <c r="F1134" s="265">
        <v>180</v>
      </c>
      <c r="G1134" s="265">
        <v>0</v>
      </c>
      <c r="H1134" s="265">
        <v>180</v>
      </c>
      <c r="I1134" s="265">
        <v>0</v>
      </c>
      <c r="J1134" s="265">
        <f t="shared" si="351"/>
        <v>0</v>
      </c>
      <c r="K1134" s="265">
        <f t="shared" si="352"/>
        <v>0</v>
      </c>
      <c r="L1134" s="265">
        <v>180</v>
      </c>
      <c r="M1134" s="226">
        <v>0</v>
      </c>
      <c r="N1134" s="265">
        <v>180</v>
      </c>
      <c r="O1134" s="226">
        <v>0</v>
      </c>
      <c r="P1134" s="265">
        <f t="shared" si="353"/>
        <v>0</v>
      </c>
      <c r="Q1134" s="271">
        <f t="shared" si="354"/>
        <v>0</v>
      </c>
    </row>
    <row r="1135" spans="1:17" x14ac:dyDescent="0.2">
      <c r="A1135" s="264" t="s">
        <v>542</v>
      </c>
      <c r="B1135" s="202" t="s">
        <v>532</v>
      </c>
      <c r="C1135" s="202" t="s">
        <v>502</v>
      </c>
      <c r="D1135" s="202" t="s">
        <v>541</v>
      </c>
      <c r="E1135" s="202"/>
      <c r="F1135" s="265">
        <v>46165</v>
      </c>
      <c r="G1135" s="265">
        <v>0</v>
      </c>
      <c r="H1135" s="265">
        <v>46165</v>
      </c>
      <c r="I1135" s="265">
        <v>0</v>
      </c>
      <c r="J1135" s="265">
        <f t="shared" si="351"/>
        <v>0</v>
      </c>
      <c r="K1135" s="265">
        <f t="shared" si="352"/>
        <v>0</v>
      </c>
      <c r="L1135" s="265">
        <v>46165</v>
      </c>
      <c r="M1135" s="226">
        <v>0</v>
      </c>
      <c r="N1135" s="265">
        <v>46165</v>
      </c>
      <c r="O1135" s="226">
        <v>0</v>
      </c>
      <c r="P1135" s="265">
        <f t="shared" si="353"/>
        <v>0</v>
      </c>
      <c r="Q1135" s="271">
        <f t="shared" si="354"/>
        <v>0</v>
      </c>
    </row>
    <row r="1136" spans="1:17" x14ac:dyDescent="0.2">
      <c r="A1136" s="264" t="s">
        <v>560</v>
      </c>
      <c r="B1136" s="202" t="s">
        <v>532</v>
      </c>
      <c r="C1136" s="202" t="s">
        <v>502</v>
      </c>
      <c r="D1136" s="202" t="s">
        <v>559</v>
      </c>
      <c r="E1136" s="202"/>
      <c r="F1136" s="265">
        <v>46165</v>
      </c>
      <c r="G1136" s="265">
        <v>0</v>
      </c>
      <c r="H1136" s="265">
        <v>46165</v>
      </c>
      <c r="I1136" s="265">
        <v>0</v>
      </c>
      <c r="J1136" s="265">
        <f t="shared" si="351"/>
        <v>0</v>
      </c>
      <c r="K1136" s="265">
        <f t="shared" si="352"/>
        <v>0</v>
      </c>
      <c r="L1136" s="265">
        <v>46165</v>
      </c>
      <c r="M1136" s="226">
        <v>0</v>
      </c>
      <c r="N1136" s="265">
        <v>46165</v>
      </c>
      <c r="O1136" s="226">
        <v>0</v>
      </c>
      <c r="P1136" s="265">
        <f t="shared" si="353"/>
        <v>0</v>
      </c>
      <c r="Q1136" s="271">
        <f t="shared" si="354"/>
        <v>0</v>
      </c>
    </row>
    <row r="1137" spans="1:17" ht="22.5" x14ac:dyDescent="0.2">
      <c r="A1137" s="264" t="s">
        <v>558</v>
      </c>
      <c r="B1137" s="202" t="s">
        <v>532</v>
      </c>
      <c r="C1137" s="202" t="s">
        <v>502</v>
      </c>
      <c r="D1137" s="202" t="s">
        <v>557</v>
      </c>
      <c r="E1137" s="202"/>
      <c r="F1137" s="265">
        <v>46165</v>
      </c>
      <c r="G1137" s="265">
        <v>0</v>
      </c>
      <c r="H1137" s="265">
        <v>46165</v>
      </c>
      <c r="I1137" s="265">
        <v>0</v>
      </c>
      <c r="J1137" s="265">
        <f t="shared" si="351"/>
        <v>0</v>
      </c>
      <c r="K1137" s="265">
        <f t="shared" si="352"/>
        <v>0</v>
      </c>
      <c r="L1137" s="265">
        <v>46165</v>
      </c>
      <c r="M1137" s="226">
        <v>0</v>
      </c>
      <c r="N1137" s="265">
        <v>46165</v>
      </c>
      <c r="O1137" s="226">
        <v>0</v>
      </c>
      <c r="P1137" s="265">
        <f t="shared" si="353"/>
        <v>0</v>
      </c>
      <c r="Q1137" s="271">
        <f t="shared" si="354"/>
        <v>0</v>
      </c>
    </row>
    <row r="1138" spans="1:17" x14ac:dyDescent="0.2">
      <c r="A1138" s="202" t="s">
        <v>1641</v>
      </c>
      <c r="B1138" s="202" t="s">
        <v>532</v>
      </c>
      <c r="C1138" s="202" t="s">
        <v>502</v>
      </c>
      <c r="D1138" s="202" t="s">
        <v>550</v>
      </c>
      <c r="E1138" s="202"/>
      <c r="F1138" s="265">
        <v>3465</v>
      </c>
      <c r="G1138" s="265">
        <v>0</v>
      </c>
      <c r="H1138" s="265">
        <v>3465</v>
      </c>
      <c r="I1138" s="265">
        <v>0</v>
      </c>
      <c r="J1138" s="265">
        <f t="shared" si="351"/>
        <v>0</v>
      </c>
      <c r="K1138" s="265">
        <f t="shared" si="352"/>
        <v>0</v>
      </c>
      <c r="L1138" s="265">
        <v>3465</v>
      </c>
      <c r="M1138" s="226">
        <v>0</v>
      </c>
      <c r="N1138" s="265">
        <v>3465</v>
      </c>
      <c r="O1138" s="226">
        <v>0</v>
      </c>
      <c r="P1138" s="265">
        <f t="shared" si="353"/>
        <v>0</v>
      </c>
      <c r="Q1138" s="271">
        <f t="shared" si="354"/>
        <v>0</v>
      </c>
    </row>
    <row r="1139" spans="1:17" ht="33.75" x14ac:dyDescent="0.2">
      <c r="A1139" s="264" t="s">
        <v>1348</v>
      </c>
      <c r="B1139" s="202" t="s">
        <v>532</v>
      </c>
      <c r="C1139" s="202" t="s">
        <v>502</v>
      </c>
      <c r="D1139" s="202" t="s">
        <v>550</v>
      </c>
      <c r="E1139" s="202" t="s">
        <v>556</v>
      </c>
      <c r="F1139" s="265">
        <v>1015</v>
      </c>
      <c r="G1139" s="265">
        <v>0</v>
      </c>
      <c r="H1139" s="265">
        <v>1015</v>
      </c>
      <c r="I1139" s="265">
        <v>0</v>
      </c>
      <c r="J1139" s="265">
        <f t="shared" si="351"/>
        <v>0</v>
      </c>
      <c r="K1139" s="265">
        <f t="shared" si="352"/>
        <v>0</v>
      </c>
      <c r="L1139" s="265">
        <v>1015</v>
      </c>
      <c r="M1139" s="226">
        <v>0</v>
      </c>
      <c r="N1139" s="265">
        <v>1015</v>
      </c>
      <c r="O1139" s="226">
        <v>0</v>
      </c>
      <c r="P1139" s="265">
        <f t="shared" si="353"/>
        <v>0</v>
      </c>
      <c r="Q1139" s="271">
        <f t="shared" si="354"/>
        <v>0</v>
      </c>
    </row>
    <row r="1140" spans="1:17" x14ac:dyDescent="0.2">
      <c r="A1140" s="264" t="s">
        <v>555</v>
      </c>
      <c r="B1140" s="202" t="s">
        <v>532</v>
      </c>
      <c r="C1140" s="202" t="s">
        <v>502</v>
      </c>
      <c r="D1140" s="202" t="s">
        <v>550</v>
      </c>
      <c r="E1140" s="202" t="s">
        <v>554</v>
      </c>
      <c r="F1140" s="265">
        <v>1015</v>
      </c>
      <c r="G1140" s="265">
        <v>0</v>
      </c>
      <c r="H1140" s="265">
        <v>1015</v>
      </c>
      <c r="I1140" s="265">
        <v>0</v>
      </c>
      <c r="J1140" s="265">
        <f t="shared" si="351"/>
        <v>0</v>
      </c>
      <c r="K1140" s="265">
        <f t="shared" si="352"/>
        <v>0</v>
      </c>
      <c r="L1140" s="265">
        <v>1015</v>
      </c>
      <c r="M1140" s="226">
        <v>0</v>
      </c>
      <c r="N1140" s="265">
        <v>1015</v>
      </c>
      <c r="O1140" s="226">
        <v>0</v>
      </c>
      <c r="P1140" s="265">
        <f t="shared" si="353"/>
        <v>0</v>
      </c>
      <c r="Q1140" s="271">
        <f t="shared" si="354"/>
        <v>0</v>
      </c>
    </row>
    <row r="1141" spans="1:17" x14ac:dyDescent="0.2">
      <c r="A1141" s="264" t="s">
        <v>1347</v>
      </c>
      <c r="B1141" s="202" t="s">
        <v>532</v>
      </c>
      <c r="C1141" s="202" t="s">
        <v>502</v>
      </c>
      <c r="D1141" s="202" t="s">
        <v>550</v>
      </c>
      <c r="E1141" s="202" t="s">
        <v>535</v>
      </c>
      <c r="F1141" s="265">
        <v>1550</v>
      </c>
      <c r="G1141" s="265">
        <v>0</v>
      </c>
      <c r="H1141" s="265">
        <v>1550</v>
      </c>
      <c r="I1141" s="265">
        <v>0</v>
      </c>
      <c r="J1141" s="265">
        <f t="shared" si="351"/>
        <v>0</v>
      </c>
      <c r="K1141" s="265">
        <f t="shared" si="352"/>
        <v>0</v>
      </c>
      <c r="L1141" s="265">
        <v>1550</v>
      </c>
      <c r="M1141" s="226">
        <v>0</v>
      </c>
      <c r="N1141" s="265">
        <v>1550</v>
      </c>
      <c r="O1141" s="226">
        <v>0</v>
      </c>
      <c r="P1141" s="265">
        <f t="shared" si="353"/>
        <v>0</v>
      </c>
      <c r="Q1141" s="271">
        <f t="shared" si="354"/>
        <v>0</v>
      </c>
    </row>
    <row r="1142" spans="1:17" x14ac:dyDescent="0.2">
      <c r="A1142" s="264" t="s">
        <v>534</v>
      </c>
      <c r="B1142" s="202" t="s">
        <v>532</v>
      </c>
      <c r="C1142" s="202" t="s">
        <v>502</v>
      </c>
      <c r="D1142" s="202" t="s">
        <v>550</v>
      </c>
      <c r="E1142" s="202" t="s">
        <v>529</v>
      </c>
      <c r="F1142" s="265">
        <v>1550</v>
      </c>
      <c r="G1142" s="265">
        <v>0</v>
      </c>
      <c r="H1142" s="265">
        <v>1550</v>
      </c>
      <c r="I1142" s="265">
        <v>0</v>
      </c>
      <c r="J1142" s="265">
        <f t="shared" si="351"/>
        <v>0</v>
      </c>
      <c r="K1142" s="265">
        <f t="shared" si="352"/>
        <v>0</v>
      </c>
      <c r="L1142" s="265">
        <v>1550</v>
      </c>
      <c r="M1142" s="226">
        <v>0</v>
      </c>
      <c r="N1142" s="265">
        <v>1550</v>
      </c>
      <c r="O1142" s="226">
        <v>0</v>
      </c>
      <c r="P1142" s="265">
        <f t="shared" si="353"/>
        <v>0</v>
      </c>
      <c r="Q1142" s="271">
        <f t="shared" si="354"/>
        <v>0</v>
      </c>
    </row>
    <row r="1143" spans="1:17" x14ac:dyDescent="0.2">
      <c r="A1143" s="264" t="s">
        <v>553</v>
      </c>
      <c r="B1143" s="202" t="s">
        <v>532</v>
      </c>
      <c r="C1143" s="202" t="s">
        <v>502</v>
      </c>
      <c r="D1143" s="202" t="s">
        <v>550</v>
      </c>
      <c r="E1143" s="202" t="s">
        <v>552</v>
      </c>
      <c r="F1143" s="265">
        <v>900</v>
      </c>
      <c r="G1143" s="265">
        <v>0</v>
      </c>
      <c r="H1143" s="265">
        <v>900</v>
      </c>
      <c r="I1143" s="265">
        <v>0</v>
      </c>
      <c r="J1143" s="265">
        <f t="shared" si="351"/>
        <v>0</v>
      </c>
      <c r="K1143" s="265">
        <f t="shared" si="352"/>
        <v>0</v>
      </c>
      <c r="L1143" s="265">
        <v>900</v>
      </c>
      <c r="M1143" s="226">
        <v>0</v>
      </c>
      <c r="N1143" s="265">
        <v>900</v>
      </c>
      <c r="O1143" s="226">
        <v>0</v>
      </c>
      <c r="P1143" s="265">
        <f t="shared" si="353"/>
        <v>0</v>
      </c>
      <c r="Q1143" s="271">
        <f t="shared" si="354"/>
        <v>0</v>
      </c>
    </row>
    <row r="1144" spans="1:17" x14ac:dyDescent="0.2">
      <c r="A1144" s="264" t="s">
        <v>551</v>
      </c>
      <c r="B1144" s="202" t="s">
        <v>532</v>
      </c>
      <c r="C1144" s="202" t="s">
        <v>502</v>
      </c>
      <c r="D1144" s="202" t="s">
        <v>550</v>
      </c>
      <c r="E1144" s="202" t="s">
        <v>549</v>
      </c>
      <c r="F1144" s="265">
        <v>900</v>
      </c>
      <c r="G1144" s="265">
        <v>0</v>
      </c>
      <c r="H1144" s="265">
        <v>900</v>
      </c>
      <c r="I1144" s="265">
        <v>0</v>
      </c>
      <c r="J1144" s="265">
        <f t="shared" si="351"/>
        <v>0</v>
      </c>
      <c r="K1144" s="265">
        <f t="shared" si="352"/>
        <v>0</v>
      </c>
      <c r="L1144" s="265">
        <v>900</v>
      </c>
      <c r="M1144" s="226">
        <v>0</v>
      </c>
      <c r="N1144" s="265">
        <v>900</v>
      </c>
      <c r="O1144" s="226">
        <v>0</v>
      </c>
      <c r="P1144" s="265">
        <f t="shared" si="353"/>
        <v>0</v>
      </c>
      <c r="Q1144" s="271">
        <f t="shared" si="354"/>
        <v>0</v>
      </c>
    </row>
    <row r="1145" spans="1:17" ht="22.5" x14ac:dyDescent="0.2">
      <c r="A1145" s="264" t="s">
        <v>548</v>
      </c>
      <c r="B1145" s="202" t="s">
        <v>532</v>
      </c>
      <c r="C1145" s="202" t="s">
        <v>502</v>
      </c>
      <c r="D1145" s="202" t="s">
        <v>545</v>
      </c>
      <c r="E1145" s="202"/>
      <c r="F1145" s="265">
        <v>42700</v>
      </c>
      <c r="G1145" s="265">
        <v>0</v>
      </c>
      <c r="H1145" s="265">
        <v>42700</v>
      </c>
      <c r="I1145" s="265">
        <v>0</v>
      </c>
      <c r="J1145" s="265">
        <f t="shared" si="351"/>
        <v>0</v>
      </c>
      <c r="K1145" s="265">
        <f t="shared" si="352"/>
        <v>0</v>
      </c>
      <c r="L1145" s="265">
        <v>42700</v>
      </c>
      <c r="M1145" s="226">
        <v>0</v>
      </c>
      <c r="N1145" s="265">
        <v>42700</v>
      </c>
      <c r="O1145" s="226">
        <v>0</v>
      </c>
      <c r="P1145" s="265">
        <f t="shared" si="353"/>
        <v>0</v>
      </c>
      <c r="Q1145" s="271">
        <f t="shared" si="354"/>
        <v>0</v>
      </c>
    </row>
    <row r="1146" spans="1:17" x14ac:dyDescent="0.2">
      <c r="A1146" s="264" t="s">
        <v>547</v>
      </c>
      <c r="B1146" s="202" t="s">
        <v>532</v>
      </c>
      <c r="C1146" s="202" t="s">
        <v>502</v>
      </c>
      <c r="D1146" s="202" t="s">
        <v>545</v>
      </c>
      <c r="E1146" s="202" t="s">
        <v>519</v>
      </c>
      <c r="F1146" s="265">
        <v>42700</v>
      </c>
      <c r="G1146" s="265">
        <v>0</v>
      </c>
      <c r="H1146" s="265">
        <v>42700</v>
      </c>
      <c r="I1146" s="265">
        <v>0</v>
      </c>
      <c r="J1146" s="265">
        <f t="shared" si="351"/>
        <v>0</v>
      </c>
      <c r="K1146" s="265">
        <f t="shared" si="352"/>
        <v>0</v>
      </c>
      <c r="L1146" s="265">
        <v>42700</v>
      </c>
      <c r="M1146" s="226">
        <v>0</v>
      </c>
      <c r="N1146" s="265">
        <v>42700</v>
      </c>
      <c r="O1146" s="226">
        <v>0</v>
      </c>
      <c r="P1146" s="265">
        <f t="shared" si="353"/>
        <v>0</v>
      </c>
      <c r="Q1146" s="271">
        <f t="shared" si="354"/>
        <v>0</v>
      </c>
    </row>
    <row r="1147" spans="1:17" x14ac:dyDescent="0.2">
      <c r="A1147" s="264" t="s">
        <v>546</v>
      </c>
      <c r="B1147" s="202" t="s">
        <v>532</v>
      </c>
      <c r="C1147" s="202" t="s">
        <v>502</v>
      </c>
      <c r="D1147" s="202" t="s">
        <v>545</v>
      </c>
      <c r="E1147" s="202" t="s">
        <v>544</v>
      </c>
      <c r="F1147" s="265">
        <v>42700</v>
      </c>
      <c r="G1147" s="265">
        <v>0</v>
      </c>
      <c r="H1147" s="265">
        <v>42700</v>
      </c>
      <c r="I1147" s="265">
        <v>0</v>
      </c>
      <c r="J1147" s="265">
        <f t="shared" si="351"/>
        <v>0</v>
      </c>
      <c r="K1147" s="265">
        <f t="shared" si="352"/>
        <v>0</v>
      </c>
      <c r="L1147" s="265">
        <v>42700</v>
      </c>
      <c r="M1147" s="226">
        <v>0</v>
      </c>
      <c r="N1147" s="265">
        <v>42700</v>
      </c>
      <c r="O1147" s="226">
        <v>0</v>
      </c>
      <c r="P1147" s="265">
        <f t="shared" si="353"/>
        <v>0</v>
      </c>
      <c r="Q1147" s="271">
        <f t="shared" si="354"/>
        <v>0</v>
      </c>
    </row>
    <row r="1148" spans="1:17" s="97" customFormat="1" x14ac:dyDescent="0.2">
      <c r="A1148" s="262" t="s">
        <v>813</v>
      </c>
      <c r="B1148" s="199" t="s">
        <v>783</v>
      </c>
      <c r="C1148" s="199"/>
      <c r="D1148" s="199"/>
      <c r="E1148" s="199"/>
      <c r="F1148" s="263">
        <v>78702.7</v>
      </c>
      <c r="G1148" s="263">
        <v>0</v>
      </c>
      <c r="H1148" s="263">
        <v>78702.7</v>
      </c>
      <c r="I1148" s="263">
        <v>0</v>
      </c>
      <c r="J1148" s="263">
        <f t="shared" si="351"/>
        <v>0</v>
      </c>
      <c r="K1148" s="263">
        <f t="shared" si="352"/>
        <v>0</v>
      </c>
      <c r="L1148" s="263">
        <v>78702.7</v>
      </c>
      <c r="M1148" s="205">
        <v>0</v>
      </c>
      <c r="N1148" s="263">
        <v>78702.7</v>
      </c>
      <c r="O1148" s="205">
        <v>0</v>
      </c>
      <c r="P1148" s="263">
        <f t="shared" si="353"/>
        <v>0</v>
      </c>
      <c r="Q1148" s="272">
        <f t="shared" si="354"/>
        <v>0</v>
      </c>
    </row>
    <row r="1149" spans="1:17" x14ac:dyDescent="0.2">
      <c r="A1149" s="264" t="s">
        <v>812</v>
      </c>
      <c r="B1149" s="202" t="s">
        <v>783</v>
      </c>
      <c r="C1149" s="202" t="s">
        <v>498</v>
      </c>
      <c r="D1149" s="202"/>
      <c r="E1149" s="202"/>
      <c r="F1149" s="265">
        <v>42070.400000000001</v>
      </c>
      <c r="G1149" s="265">
        <v>0</v>
      </c>
      <c r="H1149" s="265">
        <v>42070.400000000001</v>
      </c>
      <c r="I1149" s="265">
        <v>0</v>
      </c>
      <c r="J1149" s="265">
        <f t="shared" si="351"/>
        <v>0</v>
      </c>
      <c r="K1149" s="265">
        <f t="shared" si="352"/>
        <v>0</v>
      </c>
      <c r="L1149" s="265">
        <v>42070.400000000001</v>
      </c>
      <c r="M1149" s="226">
        <v>0</v>
      </c>
      <c r="N1149" s="265">
        <v>42070.400000000001</v>
      </c>
      <c r="O1149" s="226">
        <v>0</v>
      </c>
      <c r="P1149" s="265">
        <f t="shared" si="353"/>
        <v>0</v>
      </c>
      <c r="Q1149" s="271">
        <f t="shared" si="354"/>
        <v>0</v>
      </c>
    </row>
    <row r="1150" spans="1:17" ht="22.5" x14ac:dyDescent="0.2">
      <c r="A1150" s="264" t="s">
        <v>588</v>
      </c>
      <c r="B1150" s="202" t="s">
        <v>783</v>
      </c>
      <c r="C1150" s="202" t="s">
        <v>498</v>
      </c>
      <c r="D1150" s="202" t="s">
        <v>587</v>
      </c>
      <c r="E1150" s="202"/>
      <c r="F1150" s="265">
        <v>42070.400000000001</v>
      </c>
      <c r="G1150" s="265">
        <v>0</v>
      </c>
      <c r="H1150" s="265">
        <v>42070.400000000001</v>
      </c>
      <c r="I1150" s="265">
        <v>0</v>
      </c>
      <c r="J1150" s="265">
        <f t="shared" si="351"/>
        <v>0</v>
      </c>
      <c r="K1150" s="265">
        <f t="shared" si="352"/>
        <v>0</v>
      </c>
      <c r="L1150" s="265">
        <v>42070.400000000001</v>
      </c>
      <c r="M1150" s="226">
        <v>0</v>
      </c>
      <c r="N1150" s="265">
        <v>42070.400000000001</v>
      </c>
      <c r="O1150" s="226">
        <v>0</v>
      </c>
      <c r="P1150" s="265">
        <f t="shared" si="353"/>
        <v>0</v>
      </c>
      <c r="Q1150" s="271">
        <f t="shared" si="354"/>
        <v>0</v>
      </c>
    </row>
    <row r="1151" spans="1:17" ht="22.5" x14ac:dyDescent="0.2">
      <c r="A1151" s="264" t="s">
        <v>807</v>
      </c>
      <c r="B1151" s="202" t="s">
        <v>783</v>
      </c>
      <c r="C1151" s="202" t="s">
        <v>498</v>
      </c>
      <c r="D1151" s="202" t="s">
        <v>806</v>
      </c>
      <c r="E1151" s="202"/>
      <c r="F1151" s="265">
        <v>42070.400000000001</v>
      </c>
      <c r="G1151" s="265">
        <v>0</v>
      </c>
      <c r="H1151" s="265">
        <v>42070.400000000001</v>
      </c>
      <c r="I1151" s="265">
        <v>0</v>
      </c>
      <c r="J1151" s="265">
        <f t="shared" si="351"/>
        <v>0</v>
      </c>
      <c r="K1151" s="265">
        <f t="shared" si="352"/>
        <v>0</v>
      </c>
      <c r="L1151" s="265">
        <v>42070.400000000001</v>
      </c>
      <c r="M1151" s="226">
        <v>0</v>
      </c>
      <c r="N1151" s="265">
        <v>42070.400000000001</v>
      </c>
      <c r="O1151" s="226">
        <v>0</v>
      </c>
      <c r="P1151" s="265">
        <f t="shared" si="353"/>
        <v>0</v>
      </c>
      <c r="Q1151" s="271">
        <f t="shared" si="354"/>
        <v>0</v>
      </c>
    </row>
    <row r="1152" spans="1:17" ht="22.5" x14ac:dyDescent="0.2">
      <c r="A1152" s="264" t="s">
        <v>805</v>
      </c>
      <c r="B1152" s="202" t="s">
        <v>783</v>
      </c>
      <c r="C1152" s="202" t="s">
        <v>498</v>
      </c>
      <c r="D1152" s="202" t="s">
        <v>804</v>
      </c>
      <c r="E1152" s="202"/>
      <c r="F1152" s="265">
        <v>42070.400000000001</v>
      </c>
      <c r="G1152" s="265">
        <v>0</v>
      </c>
      <c r="H1152" s="265">
        <v>42070.400000000001</v>
      </c>
      <c r="I1152" s="265">
        <v>0</v>
      </c>
      <c r="J1152" s="265">
        <f t="shared" si="351"/>
        <v>0</v>
      </c>
      <c r="K1152" s="265">
        <f t="shared" si="352"/>
        <v>0</v>
      </c>
      <c r="L1152" s="265">
        <v>42070.400000000001</v>
      </c>
      <c r="M1152" s="226">
        <v>0</v>
      </c>
      <c r="N1152" s="265">
        <v>42070.400000000001</v>
      </c>
      <c r="O1152" s="226">
        <v>0</v>
      </c>
      <c r="P1152" s="265">
        <f t="shared" si="353"/>
        <v>0</v>
      </c>
      <c r="Q1152" s="271">
        <f t="shared" si="354"/>
        <v>0</v>
      </c>
    </row>
    <row r="1153" spans="1:17" ht="97.35" customHeight="1" x14ac:dyDescent="0.2">
      <c r="A1153" s="264" t="s">
        <v>803</v>
      </c>
      <c r="B1153" s="202" t="s">
        <v>783</v>
      </c>
      <c r="C1153" s="202" t="s">
        <v>498</v>
      </c>
      <c r="D1153" s="202" t="s">
        <v>802</v>
      </c>
      <c r="E1153" s="202"/>
      <c r="F1153" s="265">
        <v>484.1</v>
      </c>
      <c r="G1153" s="265">
        <v>0</v>
      </c>
      <c r="H1153" s="265">
        <v>484.1</v>
      </c>
      <c r="I1153" s="265">
        <v>0</v>
      </c>
      <c r="J1153" s="265">
        <f t="shared" si="351"/>
        <v>0</v>
      </c>
      <c r="K1153" s="265">
        <f t="shared" si="352"/>
        <v>0</v>
      </c>
      <c r="L1153" s="265">
        <v>484.1</v>
      </c>
      <c r="M1153" s="226">
        <v>0</v>
      </c>
      <c r="N1153" s="265">
        <v>484.1</v>
      </c>
      <c r="O1153" s="226">
        <v>0</v>
      </c>
      <c r="P1153" s="265">
        <f t="shared" si="353"/>
        <v>0</v>
      </c>
      <c r="Q1153" s="271">
        <f t="shared" si="354"/>
        <v>0</v>
      </c>
    </row>
    <row r="1154" spans="1:17" x14ac:dyDescent="0.2">
      <c r="A1154" s="264" t="s">
        <v>1347</v>
      </c>
      <c r="B1154" s="202" t="s">
        <v>783</v>
      </c>
      <c r="C1154" s="202" t="s">
        <v>498</v>
      </c>
      <c r="D1154" s="202" t="s">
        <v>802</v>
      </c>
      <c r="E1154" s="202" t="s">
        <v>535</v>
      </c>
      <c r="F1154" s="265">
        <v>484.1</v>
      </c>
      <c r="G1154" s="265">
        <v>0</v>
      </c>
      <c r="H1154" s="265">
        <v>484.1</v>
      </c>
      <c r="I1154" s="265">
        <v>0</v>
      </c>
      <c r="J1154" s="265">
        <f t="shared" si="351"/>
        <v>0</v>
      </c>
      <c r="K1154" s="265">
        <f t="shared" si="352"/>
        <v>0</v>
      </c>
      <c r="L1154" s="265">
        <v>484.1</v>
      </c>
      <c r="M1154" s="226">
        <v>0</v>
      </c>
      <c r="N1154" s="265">
        <v>484.1</v>
      </c>
      <c r="O1154" s="226">
        <v>0</v>
      </c>
      <c r="P1154" s="265">
        <f t="shared" si="353"/>
        <v>0</v>
      </c>
      <c r="Q1154" s="271">
        <f t="shared" si="354"/>
        <v>0</v>
      </c>
    </row>
    <row r="1155" spans="1:17" x14ac:dyDescent="0.2">
      <c r="A1155" s="264" t="s">
        <v>534</v>
      </c>
      <c r="B1155" s="202" t="s">
        <v>783</v>
      </c>
      <c r="C1155" s="202" t="s">
        <v>498</v>
      </c>
      <c r="D1155" s="202" t="s">
        <v>802</v>
      </c>
      <c r="E1155" s="202" t="s">
        <v>529</v>
      </c>
      <c r="F1155" s="265">
        <v>484.1</v>
      </c>
      <c r="G1155" s="265">
        <v>0</v>
      </c>
      <c r="H1155" s="265">
        <v>484.1</v>
      </c>
      <c r="I1155" s="265">
        <v>0</v>
      </c>
      <c r="J1155" s="265">
        <f t="shared" si="351"/>
        <v>0</v>
      </c>
      <c r="K1155" s="265">
        <f t="shared" si="352"/>
        <v>0</v>
      </c>
      <c r="L1155" s="265">
        <v>484.1</v>
      </c>
      <c r="M1155" s="226">
        <v>0</v>
      </c>
      <c r="N1155" s="265">
        <v>484.1</v>
      </c>
      <c r="O1155" s="226">
        <v>0</v>
      </c>
      <c r="P1155" s="265">
        <f t="shared" si="353"/>
        <v>0</v>
      </c>
      <c r="Q1155" s="271">
        <f t="shared" si="354"/>
        <v>0</v>
      </c>
    </row>
    <row r="1156" spans="1:17" ht="67.5" x14ac:dyDescent="0.2">
      <c r="A1156" s="264" t="s">
        <v>801</v>
      </c>
      <c r="B1156" s="202" t="s">
        <v>783</v>
      </c>
      <c r="C1156" s="202" t="s">
        <v>498</v>
      </c>
      <c r="D1156" s="202" t="s">
        <v>800</v>
      </c>
      <c r="E1156" s="202"/>
      <c r="F1156" s="265">
        <v>41586.300000000003</v>
      </c>
      <c r="G1156" s="265">
        <v>0</v>
      </c>
      <c r="H1156" s="265">
        <v>41586.300000000003</v>
      </c>
      <c r="I1156" s="265">
        <v>0</v>
      </c>
      <c r="J1156" s="265">
        <f t="shared" si="351"/>
        <v>0</v>
      </c>
      <c r="K1156" s="265">
        <f t="shared" si="352"/>
        <v>0</v>
      </c>
      <c r="L1156" s="265">
        <v>41586.300000000003</v>
      </c>
      <c r="M1156" s="226">
        <v>0</v>
      </c>
      <c r="N1156" s="265">
        <v>41586.300000000003</v>
      </c>
      <c r="O1156" s="226">
        <v>0</v>
      </c>
      <c r="P1156" s="265">
        <f t="shared" si="353"/>
        <v>0</v>
      </c>
      <c r="Q1156" s="271">
        <f t="shared" si="354"/>
        <v>0</v>
      </c>
    </row>
    <row r="1157" spans="1:17" x14ac:dyDescent="0.2">
      <c r="A1157" s="264" t="s">
        <v>547</v>
      </c>
      <c r="B1157" s="202" t="s">
        <v>783</v>
      </c>
      <c r="C1157" s="202" t="s">
        <v>498</v>
      </c>
      <c r="D1157" s="202" t="s">
        <v>800</v>
      </c>
      <c r="E1157" s="202" t="s">
        <v>519</v>
      </c>
      <c r="F1157" s="265">
        <v>41586.300000000003</v>
      </c>
      <c r="G1157" s="265">
        <v>0</v>
      </c>
      <c r="H1157" s="265">
        <v>41586.300000000003</v>
      </c>
      <c r="I1157" s="265">
        <v>0</v>
      </c>
      <c r="J1157" s="265">
        <f t="shared" si="351"/>
        <v>0</v>
      </c>
      <c r="K1157" s="265">
        <f t="shared" si="352"/>
        <v>0</v>
      </c>
      <c r="L1157" s="265">
        <v>41586.300000000003</v>
      </c>
      <c r="M1157" s="226">
        <v>0</v>
      </c>
      <c r="N1157" s="265">
        <v>41586.300000000003</v>
      </c>
      <c r="O1157" s="226">
        <v>0</v>
      </c>
      <c r="P1157" s="265">
        <f t="shared" si="353"/>
        <v>0</v>
      </c>
      <c r="Q1157" s="271">
        <f t="shared" si="354"/>
        <v>0</v>
      </c>
    </row>
    <row r="1158" spans="1:17" x14ac:dyDescent="0.2">
      <c r="A1158" s="264" t="s">
        <v>546</v>
      </c>
      <c r="B1158" s="202" t="s">
        <v>783</v>
      </c>
      <c r="C1158" s="202" t="s">
        <v>498</v>
      </c>
      <c r="D1158" s="202" t="s">
        <v>800</v>
      </c>
      <c r="E1158" s="202" t="s">
        <v>544</v>
      </c>
      <c r="F1158" s="265">
        <v>41586.300000000003</v>
      </c>
      <c r="G1158" s="265">
        <v>0</v>
      </c>
      <c r="H1158" s="265">
        <v>41586.300000000003</v>
      </c>
      <c r="I1158" s="265">
        <v>0</v>
      </c>
      <c r="J1158" s="265">
        <f t="shared" si="351"/>
        <v>0</v>
      </c>
      <c r="K1158" s="265">
        <f t="shared" si="352"/>
        <v>0</v>
      </c>
      <c r="L1158" s="265">
        <v>41586.300000000003</v>
      </c>
      <c r="M1158" s="226">
        <v>0</v>
      </c>
      <c r="N1158" s="265">
        <v>41586.300000000003</v>
      </c>
      <c r="O1158" s="226">
        <v>0</v>
      </c>
      <c r="P1158" s="265">
        <f t="shared" si="353"/>
        <v>0</v>
      </c>
      <c r="Q1158" s="271">
        <f t="shared" si="354"/>
        <v>0</v>
      </c>
    </row>
    <row r="1159" spans="1:17" x14ac:dyDescent="0.2">
      <c r="A1159" s="264" t="s">
        <v>811</v>
      </c>
      <c r="B1159" s="202" t="s">
        <v>783</v>
      </c>
      <c r="C1159" s="202" t="s">
        <v>502</v>
      </c>
      <c r="D1159" s="202"/>
      <c r="E1159" s="202"/>
      <c r="F1159" s="265">
        <v>28745.3</v>
      </c>
      <c r="G1159" s="265">
        <v>0</v>
      </c>
      <c r="H1159" s="265">
        <v>28745.3</v>
      </c>
      <c r="I1159" s="265">
        <v>0</v>
      </c>
      <c r="J1159" s="265">
        <f t="shared" si="351"/>
        <v>0</v>
      </c>
      <c r="K1159" s="265">
        <f t="shared" si="352"/>
        <v>0</v>
      </c>
      <c r="L1159" s="265">
        <v>28745.3</v>
      </c>
      <c r="M1159" s="226">
        <v>0</v>
      </c>
      <c r="N1159" s="265">
        <v>28745.3</v>
      </c>
      <c r="O1159" s="226">
        <v>0</v>
      </c>
      <c r="P1159" s="265">
        <f t="shared" si="353"/>
        <v>0</v>
      </c>
      <c r="Q1159" s="271">
        <f t="shared" si="354"/>
        <v>0</v>
      </c>
    </row>
    <row r="1160" spans="1:17" ht="22.5" x14ac:dyDescent="0.2">
      <c r="A1160" s="264" t="s">
        <v>588</v>
      </c>
      <c r="B1160" s="202" t="s">
        <v>783</v>
      </c>
      <c r="C1160" s="202" t="s">
        <v>502</v>
      </c>
      <c r="D1160" s="202" t="s">
        <v>587</v>
      </c>
      <c r="E1160" s="202"/>
      <c r="F1160" s="265">
        <v>28745.3</v>
      </c>
      <c r="G1160" s="265">
        <v>0</v>
      </c>
      <c r="H1160" s="265">
        <v>28745.3</v>
      </c>
      <c r="I1160" s="265">
        <v>0</v>
      </c>
      <c r="J1160" s="265">
        <f t="shared" si="351"/>
        <v>0</v>
      </c>
      <c r="K1160" s="265">
        <f t="shared" si="352"/>
        <v>0</v>
      </c>
      <c r="L1160" s="265">
        <v>28745.3</v>
      </c>
      <c r="M1160" s="226">
        <v>0</v>
      </c>
      <c r="N1160" s="265">
        <v>28745.3</v>
      </c>
      <c r="O1160" s="226">
        <v>0</v>
      </c>
      <c r="P1160" s="265">
        <f t="shared" si="353"/>
        <v>0</v>
      </c>
      <c r="Q1160" s="271">
        <f t="shared" si="354"/>
        <v>0</v>
      </c>
    </row>
    <row r="1161" spans="1:17" ht="22.5" x14ac:dyDescent="0.2">
      <c r="A1161" s="264" t="s">
        <v>807</v>
      </c>
      <c r="B1161" s="202" t="s">
        <v>783</v>
      </c>
      <c r="C1161" s="202" t="s">
        <v>502</v>
      </c>
      <c r="D1161" s="202" t="s">
        <v>806</v>
      </c>
      <c r="E1161" s="202"/>
      <c r="F1161" s="265">
        <v>28745.3</v>
      </c>
      <c r="G1161" s="265">
        <v>0</v>
      </c>
      <c r="H1161" s="265">
        <v>28745.3</v>
      </c>
      <c r="I1161" s="265">
        <v>0</v>
      </c>
      <c r="J1161" s="265">
        <f t="shared" si="351"/>
        <v>0</v>
      </c>
      <c r="K1161" s="265">
        <f t="shared" si="352"/>
        <v>0</v>
      </c>
      <c r="L1161" s="265">
        <v>28745.3</v>
      </c>
      <c r="M1161" s="226">
        <v>0</v>
      </c>
      <c r="N1161" s="265">
        <v>28745.3</v>
      </c>
      <c r="O1161" s="226">
        <v>0</v>
      </c>
      <c r="P1161" s="265">
        <f t="shared" si="353"/>
        <v>0</v>
      </c>
      <c r="Q1161" s="271">
        <f t="shared" si="354"/>
        <v>0</v>
      </c>
    </row>
    <row r="1162" spans="1:17" ht="22.5" x14ac:dyDescent="0.2">
      <c r="A1162" s="264" t="s">
        <v>805</v>
      </c>
      <c r="B1162" s="202" t="s">
        <v>783</v>
      </c>
      <c r="C1162" s="202" t="s">
        <v>502</v>
      </c>
      <c r="D1162" s="202" t="s">
        <v>804</v>
      </c>
      <c r="E1162" s="202"/>
      <c r="F1162" s="265">
        <v>28745.3</v>
      </c>
      <c r="G1162" s="265">
        <v>0</v>
      </c>
      <c r="H1162" s="265">
        <v>28745.3</v>
      </c>
      <c r="I1162" s="265">
        <v>0</v>
      </c>
      <c r="J1162" s="265">
        <f t="shared" ref="J1162:J1205" si="355">H1162-F1162</f>
        <v>0</v>
      </c>
      <c r="K1162" s="265">
        <f t="shared" ref="K1162:K1204" si="356">I1162-G1162</f>
        <v>0</v>
      </c>
      <c r="L1162" s="265">
        <v>28745.3</v>
      </c>
      <c r="M1162" s="226">
        <v>0</v>
      </c>
      <c r="N1162" s="265">
        <v>28745.3</v>
      </c>
      <c r="O1162" s="226">
        <v>0</v>
      </c>
      <c r="P1162" s="265">
        <f t="shared" ref="P1162:P1205" si="357">N1162-L1162</f>
        <v>0</v>
      </c>
      <c r="Q1162" s="271">
        <f t="shared" ref="Q1162:Q1204" si="358">O1162-M1162</f>
        <v>0</v>
      </c>
    </row>
    <row r="1163" spans="1:17" ht="67.5" x14ac:dyDescent="0.2">
      <c r="A1163" s="264" t="s">
        <v>803</v>
      </c>
      <c r="B1163" s="202" t="s">
        <v>783</v>
      </c>
      <c r="C1163" s="202" t="s">
        <v>502</v>
      </c>
      <c r="D1163" s="202" t="s">
        <v>802</v>
      </c>
      <c r="E1163" s="202"/>
      <c r="F1163" s="265">
        <v>8597.7000000000007</v>
      </c>
      <c r="G1163" s="265">
        <v>0</v>
      </c>
      <c r="H1163" s="265">
        <v>8597.7000000000007</v>
      </c>
      <c r="I1163" s="265">
        <v>0</v>
      </c>
      <c r="J1163" s="265">
        <f t="shared" si="355"/>
        <v>0</v>
      </c>
      <c r="K1163" s="265">
        <f t="shared" si="356"/>
        <v>0</v>
      </c>
      <c r="L1163" s="265">
        <v>8597.7000000000007</v>
      </c>
      <c r="M1163" s="226">
        <v>0</v>
      </c>
      <c r="N1163" s="265">
        <v>8597.7000000000007</v>
      </c>
      <c r="O1163" s="226">
        <v>0</v>
      </c>
      <c r="P1163" s="265">
        <f t="shared" si="357"/>
        <v>0</v>
      </c>
      <c r="Q1163" s="271">
        <f t="shared" si="358"/>
        <v>0</v>
      </c>
    </row>
    <row r="1164" spans="1:17" x14ac:dyDescent="0.2">
      <c r="A1164" s="264" t="s">
        <v>1347</v>
      </c>
      <c r="B1164" s="202" t="s">
        <v>783</v>
      </c>
      <c r="C1164" s="202" t="s">
        <v>502</v>
      </c>
      <c r="D1164" s="202" t="s">
        <v>802</v>
      </c>
      <c r="E1164" s="202" t="s">
        <v>535</v>
      </c>
      <c r="F1164" s="265">
        <v>8597.7000000000007</v>
      </c>
      <c r="G1164" s="265">
        <v>0</v>
      </c>
      <c r="H1164" s="265">
        <v>8597.7000000000007</v>
      </c>
      <c r="I1164" s="265">
        <v>0</v>
      </c>
      <c r="J1164" s="265">
        <f t="shared" si="355"/>
        <v>0</v>
      </c>
      <c r="K1164" s="265">
        <f t="shared" si="356"/>
        <v>0</v>
      </c>
      <c r="L1164" s="265">
        <v>8597.7000000000007</v>
      </c>
      <c r="M1164" s="226">
        <v>0</v>
      </c>
      <c r="N1164" s="265">
        <v>8597.7000000000007</v>
      </c>
      <c r="O1164" s="226">
        <v>0</v>
      </c>
      <c r="P1164" s="265">
        <f t="shared" si="357"/>
        <v>0</v>
      </c>
      <c r="Q1164" s="271">
        <f t="shared" si="358"/>
        <v>0</v>
      </c>
    </row>
    <row r="1165" spans="1:17" x14ac:dyDescent="0.2">
      <c r="A1165" s="264" t="s">
        <v>534</v>
      </c>
      <c r="B1165" s="202" t="s">
        <v>783</v>
      </c>
      <c r="C1165" s="202" t="s">
        <v>502</v>
      </c>
      <c r="D1165" s="202" t="s">
        <v>802</v>
      </c>
      <c r="E1165" s="202" t="s">
        <v>529</v>
      </c>
      <c r="F1165" s="265">
        <v>8597.7000000000007</v>
      </c>
      <c r="G1165" s="265">
        <v>0</v>
      </c>
      <c r="H1165" s="265">
        <v>8597.7000000000007</v>
      </c>
      <c r="I1165" s="265">
        <v>0</v>
      </c>
      <c r="J1165" s="265">
        <f t="shared" si="355"/>
        <v>0</v>
      </c>
      <c r="K1165" s="265">
        <f t="shared" si="356"/>
        <v>0</v>
      </c>
      <c r="L1165" s="265">
        <v>8597.7000000000007</v>
      </c>
      <c r="M1165" s="226">
        <v>0</v>
      </c>
      <c r="N1165" s="265">
        <v>8597.7000000000007</v>
      </c>
      <c r="O1165" s="226">
        <v>0</v>
      </c>
      <c r="P1165" s="265">
        <f t="shared" si="357"/>
        <v>0</v>
      </c>
      <c r="Q1165" s="271">
        <f t="shared" si="358"/>
        <v>0</v>
      </c>
    </row>
    <row r="1166" spans="1:17" ht="67.5" x14ac:dyDescent="0.2">
      <c r="A1166" s="264" t="s">
        <v>810</v>
      </c>
      <c r="B1166" s="202" t="s">
        <v>783</v>
      </c>
      <c r="C1166" s="202" t="s">
        <v>502</v>
      </c>
      <c r="D1166" s="202" t="s">
        <v>809</v>
      </c>
      <c r="E1166" s="202"/>
      <c r="F1166" s="265">
        <v>20147.7</v>
      </c>
      <c r="G1166" s="265">
        <v>0</v>
      </c>
      <c r="H1166" s="265">
        <v>20147.7</v>
      </c>
      <c r="I1166" s="265">
        <v>0</v>
      </c>
      <c r="J1166" s="265">
        <f t="shared" si="355"/>
        <v>0</v>
      </c>
      <c r="K1166" s="265">
        <f t="shared" si="356"/>
        <v>0</v>
      </c>
      <c r="L1166" s="265">
        <v>20147.7</v>
      </c>
      <c r="M1166" s="226">
        <v>0</v>
      </c>
      <c r="N1166" s="265">
        <v>20147.7</v>
      </c>
      <c r="O1166" s="226">
        <v>0</v>
      </c>
      <c r="P1166" s="265">
        <f t="shared" si="357"/>
        <v>0</v>
      </c>
      <c r="Q1166" s="271">
        <f t="shared" si="358"/>
        <v>0</v>
      </c>
    </row>
    <row r="1167" spans="1:17" x14ac:dyDescent="0.2">
      <c r="A1167" s="264" t="s">
        <v>547</v>
      </c>
      <c r="B1167" s="202" t="s">
        <v>783</v>
      </c>
      <c r="C1167" s="202" t="s">
        <v>502</v>
      </c>
      <c r="D1167" s="202" t="s">
        <v>809</v>
      </c>
      <c r="E1167" s="202" t="s">
        <v>519</v>
      </c>
      <c r="F1167" s="265">
        <v>20147.7</v>
      </c>
      <c r="G1167" s="265">
        <v>0</v>
      </c>
      <c r="H1167" s="265">
        <v>20147.7</v>
      </c>
      <c r="I1167" s="265">
        <v>0</v>
      </c>
      <c r="J1167" s="265">
        <f t="shared" si="355"/>
        <v>0</v>
      </c>
      <c r="K1167" s="265">
        <f t="shared" si="356"/>
        <v>0</v>
      </c>
      <c r="L1167" s="265">
        <v>20147.7</v>
      </c>
      <c r="M1167" s="226">
        <v>0</v>
      </c>
      <c r="N1167" s="265">
        <v>20147.7</v>
      </c>
      <c r="O1167" s="226">
        <v>0</v>
      </c>
      <c r="P1167" s="265">
        <f t="shared" si="357"/>
        <v>0</v>
      </c>
      <c r="Q1167" s="271">
        <f t="shared" si="358"/>
        <v>0</v>
      </c>
    </row>
    <row r="1168" spans="1:17" x14ac:dyDescent="0.2">
      <c r="A1168" s="264" t="s">
        <v>546</v>
      </c>
      <c r="B1168" s="202" t="s">
        <v>783</v>
      </c>
      <c r="C1168" s="202" t="s">
        <v>502</v>
      </c>
      <c r="D1168" s="202" t="s">
        <v>809</v>
      </c>
      <c r="E1168" s="202" t="s">
        <v>544</v>
      </c>
      <c r="F1168" s="265">
        <v>20147.7</v>
      </c>
      <c r="G1168" s="265">
        <v>0</v>
      </c>
      <c r="H1168" s="265">
        <v>20147.7</v>
      </c>
      <c r="I1168" s="265">
        <v>0</v>
      </c>
      <c r="J1168" s="265">
        <f t="shared" si="355"/>
        <v>0</v>
      </c>
      <c r="K1168" s="265">
        <f t="shared" si="356"/>
        <v>0</v>
      </c>
      <c r="L1168" s="265">
        <v>20147.7</v>
      </c>
      <c r="M1168" s="226">
        <v>0</v>
      </c>
      <c r="N1168" s="265">
        <v>20147.7</v>
      </c>
      <c r="O1168" s="226">
        <v>0</v>
      </c>
      <c r="P1168" s="265">
        <f t="shared" si="357"/>
        <v>0</v>
      </c>
      <c r="Q1168" s="271">
        <f t="shared" si="358"/>
        <v>0</v>
      </c>
    </row>
    <row r="1169" spans="1:17" x14ac:dyDescent="0.2">
      <c r="A1169" s="264" t="s">
        <v>808</v>
      </c>
      <c r="B1169" s="202" t="s">
        <v>783</v>
      </c>
      <c r="C1169" s="202" t="s">
        <v>507</v>
      </c>
      <c r="D1169" s="202"/>
      <c r="E1169" s="202"/>
      <c r="F1169" s="265">
        <v>7887</v>
      </c>
      <c r="G1169" s="265">
        <v>0</v>
      </c>
      <c r="H1169" s="265">
        <v>7887</v>
      </c>
      <c r="I1169" s="265">
        <v>0</v>
      </c>
      <c r="J1169" s="265">
        <f t="shared" si="355"/>
        <v>0</v>
      </c>
      <c r="K1169" s="265">
        <f t="shared" si="356"/>
        <v>0</v>
      </c>
      <c r="L1169" s="265">
        <v>7887</v>
      </c>
      <c r="M1169" s="226">
        <v>0</v>
      </c>
      <c r="N1169" s="265">
        <v>7887</v>
      </c>
      <c r="O1169" s="226">
        <v>0</v>
      </c>
      <c r="P1169" s="265">
        <f t="shared" si="357"/>
        <v>0</v>
      </c>
      <c r="Q1169" s="271">
        <f t="shared" si="358"/>
        <v>0</v>
      </c>
    </row>
    <row r="1170" spans="1:17" ht="22.5" x14ac:dyDescent="0.2">
      <c r="A1170" s="264" t="s">
        <v>588</v>
      </c>
      <c r="B1170" s="202" t="s">
        <v>783</v>
      </c>
      <c r="C1170" s="202" t="s">
        <v>507</v>
      </c>
      <c r="D1170" s="202" t="s">
        <v>587</v>
      </c>
      <c r="E1170" s="202"/>
      <c r="F1170" s="265">
        <v>7887</v>
      </c>
      <c r="G1170" s="265">
        <v>0</v>
      </c>
      <c r="H1170" s="265">
        <v>7887</v>
      </c>
      <c r="I1170" s="265">
        <v>0</v>
      </c>
      <c r="J1170" s="265">
        <f t="shared" si="355"/>
        <v>0</v>
      </c>
      <c r="K1170" s="265">
        <f t="shared" si="356"/>
        <v>0</v>
      </c>
      <c r="L1170" s="265">
        <v>7887</v>
      </c>
      <c r="M1170" s="226">
        <v>0</v>
      </c>
      <c r="N1170" s="265">
        <v>7887</v>
      </c>
      <c r="O1170" s="226">
        <v>0</v>
      </c>
      <c r="P1170" s="265">
        <f t="shared" si="357"/>
        <v>0</v>
      </c>
      <c r="Q1170" s="271">
        <f t="shared" si="358"/>
        <v>0</v>
      </c>
    </row>
    <row r="1171" spans="1:17" ht="22.5" x14ac:dyDescent="0.2">
      <c r="A1171" s="264" t="s">
        <v>807</v>
      </c>
      <c r="B1171" s="202" t="s">
        <v>783</v>
      </c>
      <c r="C1171" s="202" t="s">
        <v>507</v>
      </c>
      <c r="D1171" s="202" t="s">
        <v>806</v>
      </c>
      <c r="E1171" s="202"/>
      <c r="F1171" s="265">
        <v>7887</v>
      </c>
      <c r="G1171" s="265">
        <v>0</v>
      </c>
      <c r="H1171" s="265">
        <v>7887</v>
      </c>
      <c r="I1171" s="265">
        <v>0</v>
      </c>
      <c r="J1171" s="265">
        <f t="shared" si="355"/>
        <v>0</v>
      </c>
      <c r="K1171" s="265">
        <f t="shared" si="356"/>
        <v>0</v>
      </c>
      <c r="L1171" s="265">
        <v>7887</v>
      </c>
      <c r="M1171" s="226">
        <v>0</v>
      </c>
      <c r="N1171" s="265">
        <v>7887</v>
      </c>
      <c r="O1171" s="226">
        <v>0</v>
      </c>
      <c r="P1171" s="265">
        <f t="shared" si="357"/>
        <v>0</v>
      </c>
      <c r="Q1171" s="271">
        <f t="shared" si="358"/>
        <v>0</v>
      </c>
    </row>
    <row r="1172" spans="1:17" ht="22.5" x14ac:dyDescent="0.2">
      <c r="A1172" s="264" t="s">
        <v>805</v>
      </c>
      <c r="B1172" s="202" t="s">
        <v>783</v>
      </c>
      <c r="C1172" s="202" t="s">
        <v>507</v>
      </c>
      <c r="D1172" s="202" t="s">
        <v>804</v>
      </c>
      <c r="E1172" s="202"/>
      <c r="F1172" s="265">
        <v>4000</v>
      </c>
      <c r="G1172" s="265">
        <v>0</v>
      </c>
      <c r="H1172" s="265">
        <v>4000</v>
      </c>
      <c r="I1172" s="265">
        <v>0</v>
      </c>
      <c r="J1172" s="265">
        <f t="shared" si="355"/>
        <v>0</v>
      </c>
      <c r="K1172" s="265">
        <f t="shared" si="356"/>
        <v>0</v>
      </c>
      <c r="L1172" s="265">
        <v>4000</v>
      </c>
      <c r="M1172" s="226">
        <v>0</v>
      </c>
      <c r="N1172" s="265">
        <v>4000</v>
      </c>
      <c r="O1172" s="226">
        <v>0</v>
      </c>
      <c r="P1172" s="265">
        <f t="shared" si="357"/>
        <v>0</v>
      </c>
      <c r="Q1172" s="271">
        <f t="shared" si="358"/>
        <v>0</v>
      </c>
    </row>
    <row r="1173" spans="1:17" ht="67.5" x14ac:dyDescent="0.2">
      <c r="A1173" s="264" t="s">
        <v>803</v>
      </c>
      <c r="B1173" s="202" t="s">
        <v>783</v>
      </c>
      <c r="C1173" s="202" t="s">
        <v>507</v>
      </c>
      <c r="D1173" s="202" t="s">
        <v>802</v>
      </c>
      <c r="E1173" s="202"/>
      <c r="F1173" s="265">
        <v>2500</v>
      </c>
      <c r="G1173" s="265">
        <v>0</v>
      </c>
      <c r="H1173" s="265">
        <v>2500</v>
      </c>
      <c r="I1173" s="265">
        <v>0</v>
      </c>
      <c r="J1173" s="265">
        <f t="shared" si="355"/>
        <v>0</v>
      </c>
      <c r="K1173" s="265">
        <f t="shared" si="356"/>
        <v>0</v>
      </c>
      <c r="L1173" s="265">
        <v>2500</v>
      </c>
      <c r="M1173" s="226">
        <v>0</v>
      </c>
      <c r="N1173" s="265">
        <v>2500</v>
      </c>
      <c r="O1173" s="226">
        <v>0</v>
      </c>
      <c r="P1173" s="265">
        <f t="shared" si="357"/>
        <v>0</v>
      </c>
      <c r="Q1173" s="271">
        <f t="shared" si="358"/>
        <v>0</v>
      </c>
    </row>
    <row r="1174" spans="1:17" x14ac:dyDescent="0.2">
      <c r="A1174" s="264" t="s">
        <v>1347</v>
      </c>
      <c r="B1174" s="202" t="s">
        <v>783</v>
      </c>
      <c r="C1174" s="202" t="s">
        <v>507</v>
      </c>
      <c r="D1174" s="202" t="s">
        <v>802</v>
      </c>
      <c r="E1174" s="202" t="s">
        <v>535</v>
      </c>
      <c r="F1174" s="265">
        <v>2500</v>
      </c>
      <c r="G1174" s="265">
        <v>0</v>
      </c>
      <c r="H1174" s="265">
        <v>2500</v>
      </c>
      <c r="I1174" s="265">
        <v>0</v>
      </c>
      <c r="J1174" s="265">
        <f t="shared" si="355"/>
        <v>0</v>
      </c>
      <c r="K1174" s="265">
        <f t="shared" si="356"/>
        <v>0</v>
      </c>
      <c r="L1174" s="265">
        <v>2500</v>
      </c>
      <c r="M1174" s="226">
        <v>0</v>
      </c>
      <c r="N1174" s="265">
        <v>2500</v>
      </c>
      <c r="O1174" s="226">
        <v>0</v>
      </c>
      <c r="P1174" s="265">
        <f t="shared" si="357"/>
        <v>0</v>
      </c>
      <c r="Q1174" s="271">
        <f t="shared" si="358"/>
        <v>0</v>
      </c>
    </row>
    <row r="1175" spans="1:17" x14ac:dyDescent="0.2">
      <c r="A1175" s="264" t="s">
        <v>534</v>
      </c>
      <c r="B1175" s="202" t="s">
        <v>783</v>
      </c>
      <c r="C1175" s="202" t="s">
        <v>507</v>
      </c>
      <c r="D1175" s="202" t="s">
        <v>802</v>
      </c>
      <c r="E1175" s="202" t="s">
        <v>529</v>
      </c>
      <c r="F1175" s="265">
        <v>2500</v>
      </c>
      <c r="G1175" s="265">
        <v>0</v>
      </c>
      <c r="H1175" s="265">
        <v>2500</v>
      </c>
      <c r="I1175" s="265">
        <v>0</v>
      </c>
      <c r="J1175" s="265">
        <f t="shared" si="355"/>
        <v>0</v>
      </c>
      <c r="K1175" s="265">
        <f t="shared" si="356"/>
        <v>0</v>
      </c>
      <c r="L1175" s="265">
        <v>2500</v>
      </c>
      <c r="M1175" s="226">
        <v>0</v>
      </c>
      <c r="N1175" s="265">
        <v>2500</v>
      </c>
      <c r="O1175" s="226">
        <v>0</v>
      </c>
      <c r="P1175" s="265">
        <f t="shared" si="357"/>
        <v>0</v>
      </c>
      <c r="Q1175" s="271">
        <f t="shared" si="358"/>
        <v>0</v>
      </c>
    </row>
    <row r="1176" spans="1:17" ht="67.5" x14ac:dyDescent="0.2">
      <c r="A1176" s="264" t="s">
        <v>801</v>
      </c>
      <c r="B1176" s="202" t="s">
        <v>783</v>
      </c>
      <c r="C1176" s="202" t="s">
        <v>507</v>
      </c>
      <c r="D1176" s="202" t="s">
        <v>800</v>
      </c>
      <c r="E1176" s="202"/>
      <c r="F1176" s="265">
        <v>1500</v>
      </c>
      <c r="G1176" s="265">
        <v>0</v>
      </c>
      <c r="H1176" s="265">
        <v>1500</v>
      </c>
      <c r="I1176" s="265">
        <v>0</v>
      </c>
      <c r="J1176" s="265">
        <f t="shared" si="355"/>
        <v>0</v>
      </c>
      <c r="K1176" s="265">
        <f t="shared" si="356"/>
        <v>0</v>
      </c>
      <c r="L1176" s="265">
        <v>1500</v>
      </c>
      <c r="M1176" s="226">
        <v>0</v>
      </c>
      <c r="N1176" s="265">
        <v>1500</v>
      </c>
      <c r="O1176" s="226">
        <v>0</v>
      </c>
      <c r="P1176" s="265">
        <f t="shared" si="357"/>
        <v>0</v>
      </c>
      <c r="Q1176" s="271">
        <f t="shared" si="358"/>
        <v>0</v>
      </c>
    </row>
    <row r="1177" spans="1:17" x14ac:dyDescent="0.2">
      <c r="A1177" s="264" t="s">
        <v>547</v>
      </c>
      <c r="B1177" s="202" t="s">
        <v>783</v>
      </c>
      <c r="C1177" s="202" t="s">
        <v>507</v>
      </c>
      <c r="D1177" s="202" t="s">
        <v>800</v>
      </c>
      <c r="E1177" s="202" t="s">
        <v>519</v>
      </c>
      <c r="F1177" s="265">
        <v>1500</v>
      </c>
      <c r="G1177" s="265">
        <v>0</v>
      </c>
      <c r="H1177" s="265">
        <v>1500</v>
      </c>
      <c r="I1177" s="265">
        <v>0</v>
      </c>
      <c r="J1177" s="265">
        <f t="shared" si="355"/>
        <v>0</v>
      </c>
      <c r="K1177" s="265">
        <f t="shared" si="356"/>
        <v>0</v>
      </c>
      <c r="L1177" s="265">
        <v>1500</v>
      </c>
      <c r="M1177" s="226">
        <v>0</v>
      </c>
      <c r="N1177" s="265">
        <v>1500</v>
      </c>
      <c r="O1177" s="226">
        <v>0</v>
      </c>
      <c r="P1177" s="265">
        <f t="shared" si="357"/>
        <v>0</v>
      </c>
      <c r="Q1177" s="271">
        <f t="shared" si="358"/>
        <v>0</v>
      </c>
    </row>
    <row r="1178" spans="1:17" x14ac:dyDescent="0.2">
      <c r="A1178" s="264" t="s">
        <v>546</v>
      </c>
      <c r="B1178" s="202" t="s">
        <v>783</v>
      </c>
      <c r="C1178" s="202" t="s">
        <v>507</v>
      </c>
      <c r="D1178" s="202" t="s">
        <v>800</v>
      </c>
      <c r="E1178" s="202" t="s">
        <v>544</v>
      </c>
      <c r="F1178" s="265">
        <v>1500</v>
      </c>
      <c r="G1178" s="265">
        <v>0</v>
      </c>
      <c r="H1178" s="265">
        <v>1500</v>
      </c>
      <c r="I1178" s="265">
        <v>0</v>
      </c>
      <c r="J1178" s="265">
        <f t="shared" si="355"/>
        <v>0</v>
      </c>
      <c r="K1178" s="265">
        <f t="shared" si="356"/>
        <v>0</v>
      </c>
      <c r="L1178" s="265">
        <v>1500</v>
      </c>
      <c r="M1178" s="226">
        <v>0</v>
      </c>
      <c r="N1178" s="265">
        <v>1500</v>
      </c>
      <c r="O1178" s="226">
        <v>0</v>
      </c>
      <c r="P1178" s="265">
        <f t="shared" si="357"/>
        <v>0</v>
      </c>
      <c r="Q1178" s="271">
        <f t="shared" si="358"/>
        <v>0</v>
      </c>
    </row>
    <row r="1179" spans="1:17" x14ac:dyDescent="0.2">
      <c r="A1179" s="264" t="s">
        <v>799</v>
      </c>
      <c r="B1179" s="202" t="s">
        <v>783</v>
      </c>
      <c r="C1179" s="202" t="s">
        <v>507</v>
      </c>
      <c r="D1179" s="202" t="s">
        <v>798</v>
      </c>
      <c r="E1179" s="202"/>
      <c r="F1179" s="265">
        <v>3887</v>
      </c>
      <c r="G1179" s="265">
        <v>0</v>
      </c>
      <c r="H1179" s="265">
        <v>3887</v>
      </c>
      <c r="I1179" s="265">
        <v>0</v>
      </c>
      <c r="J1179" s="265">
        <f t="shared" si="355"/>
        <v>0</v>
      </c>
      <c r="K1179" s="265">
        <f t="shared" si="356"/>
        <v>0</v>
      </c>
      <c r="L1179" s="265">
        <v>3887</v>
      </c>
      <c r="M1179" s="226">
        <v>0</v>
      </c>
      <c r="N1179" s="265">
        <v>3887</v>
      </c>
      <c r="O1179" s="226">
        <v>0</v>
      </c>
      <c r="P1179" s="265">
        <f t="shared" si="357"/>
        <v>0</v>
      </c>
      <c r="Q1179" s="271">
        <f t="shared" si="358"/>
        <v>0</v>
      </c>
    </row>
    <row r="1180" spans="1:17" ht="33.75" x14ac:dyDescent="0.2">
      <c r="A1180" s="264" t="s">
        <v>797</v>
      </c>
      <c r="B1180" s="202" t="s">
        <v>783</v>
      </c>
      <c r="C1180" s="202" t="s">
        <v>507</v>
      </c>
      <c r="D1180" s="202" t="s">
        <v>796</v>
      </c>
      <c r="E1180" s="202"/>
      <c r="F1180" s="265">
        <v>284</v>
      </c>
      <c r="G1180" s="265">
        <v>0</v>
      </c>
      <c r="H1180" s="265">
        <v>284</v>
      </c>
      <c r="I1180" s="265">
        <v>0</v>
      </c>
      <c r="J1180" s="265">
        <f t="shared" si="355"/>
        <v>0</v>
      </c>
      <c r="K1180" s="265">
        <f t="shared" si="356"/>
        <v>0</v>
      </c>
      <c r="L1180" s="265">
        <v>284</v>
      </c>
      <c r="M1180" s="226">
        <v>0</v>
      </c>
      <c r="N1180" s="265">
        <v>284</v>
      </c>
      <c r="O1180" s="226">
        <v>0</v>
      </c>
      <c r="P1180" s="265">
        <f t="shared" si="357"/>
        <v>0</v>
      </c>
      <c r="Q1180" s="271">
        <f t="shared" si="358"/>
        <v>0</v>
      </c>
    </row>
    <row r="1181" spans="1:17" x14ac:dyDescent="0.2">
      <c r="A1181" s="264" t="s">
        <v>1347</v>
      </c>
      <c r="B1181" s="202" t="s">
        <v>783</v>
      </c>
      <c r="C1181" s="202" t="s">
        <v>507</v>
      </c>
      <c r="D1181" s="202" t="s">
        <v>796</v>
      </c>
      <c r="E1181" s="202" t="s">
        <v>535</v>
      </c>
      <c r="F1181" s="265">
        <v>284</v>
      </c>
      <c r="G1181" s="265">
        <v>0</v>
      </c>
      <c r="H1181" s="265">
        <v>284</v>
      </c>
      <c r="I1181" s="265">
        <v>0</v>
      </c>
      <c r="J1181" s="265">
        <f t="shared" si="355"/>
        <v>0</v>
      </c>
      <c r="K1181" s="265">
        <f t="shared" si="356"/>
        <v>0</v>
      </c>
      <c r="L1181" s="265">
        <v>284</v>
      </c>
      <c r="M1181" s="226">
        <v>0</v>
      </c>
      <c r="N1181" s="265">
        <v>284</v>
      </c>
      <c r="O1181" s="226">
        <v>0</v>
      </c>
      <c r="P1181" s="265">
        <f t="shared" si="357"/>
        <v>0</v>
      </c>
      <c r="Q1181" s="271">
        <f t="shared" si="358"/>
        <v>0</v>
      </c>
    </row>
    <row r="1182" spans="1:17" x14ac:dyDescent="0.2">
      <c r="A1182" s="264" t="s">
        <v>534</v>
      </c>
      <c r="B1182" s="202" t="s">
        <v>783</v>
      </c>
      <c r="C1182" s="202" t="s">
        <v>507</v>
      </c>
      <c r="D1182" s="202" t="s">
        <v>796</v>
      </c>
      <c r="E1182" s="202" t="s">
        <v>529</v>
      </c>
      <c r="F1182" s="265">
        <v>284</v>
      </c>
      <c r="G1182" s="265">
        <v>0</v>
      </c>
      <c r="H1182" s="265">
        <v>284</v>
      </c>
      <c r="I1182" s="265">
        <v>0</v>
      </c>
      <c r="J1182" s="265">
        <f t="shared" si="355"/>
        <v>0</v>
      </c>
      <c r="K1182" s="265">
        <f t="shared" si="356"/>
        <v>0</v>
      </c>
      <c r="L1182" s="265">
        <v>284</v>
      </c>
      <c r="M1182" s="226">
        <v>0</v>
      </c>
      <c r="N1182" s="265">
        <v>284</v>
      </c>
      <c r="O1182" s="226">
        <v>0</v>
      </c>
      <c r="P1182" s="265">
        <f t="shared" si="357"/>
        <v>0</v>
      </c>
      <c r="Q1182" s="271">
        <f t="shared" si="358"/>
        <v>0</v>
      </c>
    </row>
    <row r="1183" spans="1:17" s="406" customFormat="1" x14ac:dyDescent="0.2">
      <c r="A1183" s="264" t="s">
        <v>547</v>
      </c>
      <c r="B1183" s="202" t="s">
        <v>783</v>
      </c>
      <c r="C1183" s="202" t="s">
        <v>507</v>
      </c>
      <c r="D1183" s="202" t="s">
        <v>795</v>
      </c>
      <c r="E1183" s="202">
        <v>600</v>
      </c>
      <c r="F1183" s="265">
        <v>1750</v>
      </c>
      <c r="G1183" s="265">
        <v>0</v>
      </c>
      <c r="H1183" s="265">
        <f>H1184</f>
        <v>1750</v>
      </c>
      <c r="I1183" s="265">
        <f>I1184</f>
        <v>0</v>
      </c>
      <c r="J1183" s="281">
        <f t="shared" ref="J1183:J1184" si="359">H1183-F1183</f>
        <v>0</v>
      </c>
      <c r="K1183" s="265">
        <f t="shared" ref="K1183:K1184" si="360">I1183-G1183</f>
        <v>0</v>
      </c>
      <c r="L1183" s="265">
        <v>1750</v>
      </c>
      <c r="M1183" s="226">
        <v>0</v>
      </c>
      <c r="N1183" s="265">
        <f>N1184</f>
        <v>1750</v>
      </c>
      <c r="O1183" s="226">
        <f>O1184</f>
        <v>0</v>
      </c>
      <c r="P1183" s="281">
        <f t="shared" ref="P1183:P1184" si="361">N1183-L1183</f>
        <v>0</v>
      </c>
      <c r="Q1183" s="271">
        <f t="shared" ref="Q1183:Q1184" si="362">O1183-M1183</f>
        <v>0</v>
      </c>
    </row>
    <row r="1184" spans="1:17" s="406" customFormat="1" x14ac:dyDescent="0.2">
      <c r="A1184" s="264" t="s">
        <v>571</v>
      </c>
      <c r="B1184" s="202" t="s">
        <v>783</v>
      </c>
      <c r="C1184" s="202" t="s">
        <v>507</v>
      </c>
      <c r="D1184" s="202" t="s">
        <v>795</v>
      </c>
      <c r="E1184" s="202">
        <v>610</v>
      </c>
      <c r="F1184" s="265">
        <v>1750</v>
      </c>
      <c r="G1184" s="265">
        <v>0</v>
      </c>
      <c r="H1184" s="265">
        <f>'Ведомственная 2021-2022'!H897</f>
        <v>1750</v>
      </c>
      <c r="I1184" s="265">
        <v>0</v>
      </c>
      <c r="J1184" s="281">
        <f t="shared" si="359"/>
        <v>0</v>
      </c>
      <c r="K1184" s="265">
        <f t="shared" si="360"/>
        <v>0</v>
      </c>
      <c r="L1184" s="265">
        <v>1750</v>
      </c>
      <c r="M1184" s="226">
        <v>0</v>
      </c>
      <c r="N1184" s="265">
        <f>'Ведомственная 2021-2022'!K897</f>
        <v>1750</v>
      </c>
      <c r="O1184" s="226">
        <v>0</v>
      </c>
      <c r="P1184" s="281">
        <f t="shared" si="361"/>
        <v>0</v>
      </c>
      <c r="Q1184" s="271">
        <f t="shared" si="362"/>
        <v>0</v>
      </c>
    </row>
    <row r="1185" spans="1:17" ht="33.75" x14ac:dyDescent="0.2">
      <c r="A1185" s="264" t="s">
        <v>794</v>
      </c>
      <c r="B1185" s="202" t="s">
        <v>783</v>
      </c>
      <c r="C1185" s="202" t="s">
        <v>507</v>
      </c>
      <c r="D1185" s="202" t="s">
        <v>793</v>
      </c>
      <c r="E1185" s="202"/>
      <c r="F1185" s="265">
        <v>500</v>
      </c>
      <c r="G1185" s="265">
        <v>0</v>
      </c>
      <c r="H1185" s="265">
        <v>500</v>
      </c>
      <c r="I1185" s="265">
        <v>0</v>
      </c>
      <c r="J1185" s="265">
        <f t="shared" si="355"/>
        <v>0</v>
      </c>
      <c r="K1185" s="265">
        <f t="shared" si="356"/>
        <v>0</v>
      </c>
      <c r="L1185" s="265">
        <v>500</v>
      </c>
      <c r="M1185" s="226">
        <v>0</v>
      </c>
      <c r="N1185" s="265">
        <v>500</v>
      </c>
      <c r="O1185" s="226">
        <v>0</v>
      </c>
      <c r="P1185" s="265">
        <f t="shared" si="357"/>
        <v>0</v>
      </c>
      <c r="Q1185" s="271">
        <f t="shared" si="358"/>
        <v>0</v>
      </c>
    </row>
    <row r="1186" spans="1:17" x14ac:dyDescent="0.2">
      <c r="A1186" s="264" t="s">
        <v>1347</v>
      </c>
      <c r="B1186" s="202" t="s">
        <v>783</v>
      </c>
      <c r="C1186" s="202" t="s">
        <v>507</v>
      </c>
      <c r="D1186" s="202" t="s">
        <v>793</v>
      </c>
      <c r="E1186" s="202" t="s">
        <v>535</v>
      </c>
      <c r="F1186" s="265">
        <v>500</v>
      </c>
      <c r="G1186" s="265">
        <v>0</v>
      </c>
      <c r="H1186" s="265">
        <v>500</v>
      </c>
      <c r="I1186" s="265">
        <v>0</v>
      </c>
      <c r="J1186" s="265">
        <f t="shared" si="355"/>
        <v>0</v>
      </c>
      <c r="K1186" s="265">
        <f t="shared" si="356"/>
        <v>0</v>
      </c>
      <c r="L1186" s="265">
        <v>500</v>
      </c>
      <c r="M1186" s="226">
        <v>0</v>
      </c>
      <c r="N1186" s="265">
        <v>500</v>
      </c>
      <c r="O1186" s="226">
        <v>0</v>
      </c>
      <c r="P1186" s="265">
        <f t="shared" si="357"/>
        <v>0</v>
      </c>
      <c r="Q1186" s="271">
        <f t="shared" si="358"/>
        <v>0</v>
      </c>
    </row>
    <row r="1187" spans="1:17" x14ac:dyDescent="0.2">
      <c r="A1187" s="264" t="s">
        <v>534</v>
      </c>
      <c r="B1187" s="202" t="s">
        <v>783</v>
      </c>
      <c r="C1187" s="202" t="s">
        <v>507</v>
      </c>
      <c r="D1187" s="202" t="s">
        <v>793</v>
      </c>
      <c r="E1187" s="202" t="s">
        <v>529</v>
      </c>
      <c r="F1187" s="265">
        <v>500</v>
      </c>
      <c r="G1187" s="265">
        <v>0</v>
      </c>
      <c r="H1187" s="265">
        <v>500</v>
      </c>
      <c r="I1187" s="265">
        <v>0</v>
      </c>
      <c r="J1187" s="265">
        <f t="shared" si="355"/>
        <v>0</v>
      </c>
      <c r="K1187" s="265">
        <f t="shared" si="356"/>
        <v>0</v>
      </c>
      <c r="L1187" s="265">
        <v>500</v>
      </c>
      <c r="M1187" s="226">
        <v>0</v>
      </c>
      <c r="N1187" s="265">
        <v>500</v>
      </c>
      <c r="O1187" s="226">
        <v>0</v>
      </c>
      <c r="P1187" s="265">
        <f t="shared" si="357"/>
        <v>0</v>
      </c>
      <c r="Q1187" s="271">
        <f t="shared" si="358"/>
        <v>0</v>
      </c>
    </row>
    <row r="1188" spans="1:17" ht="33.75" x14ac:dyDescent="0.2">
      <c r="A1188" s="264" t="s">
        <v>792</v>
      </c>
      <c r="B1188" s="202" t="s">
        <v>783</v>
      </c>
      <c r="C1188" s="202" t="s">
        <v>507</v>
      </c>
      <c r="D1188" s="202" t="s">
        <v>791</v>
      </c>
      <c r="E1188" s="202"/>
      <c r="F1188" s="265">
        <v>500</v>
      </c>
      <c r="G1188" s="265">
        <v>0</v>
      </c>
      <c r="H1188" s="265">
        <v>500</v>
      </c>
      <c r="I1188" s="265">
        <v>0</v>
      </c>
      <c r="J1188" s="265">
        <f t="shared" si="355"/>
        <v>0</v>
      </c>
      <c r="K1188" s="265">
        <f t="shared" si="356"/>
        <v>0</v>
      </c>
      <c r="L1188" s="265">
        <v>500</v>
      </c>
      <c r="M1188" s="226">
        <v>0</v>
      </c>
      <c r="N1188" s="265">
        <v>500</v>
      </c>
      <c r="O1188" s="226">
        <v>0</v>
      </c>
      <c r="P1188" s="265">
        <f t="shared" si="357"/>
        <v>0</v>
      </c>
      <c r="Q1188" s="271">
        <f t="shared" si="358"/>
        <v>0</v>
      </c>
    </row>
    <row r="1189" spans="1:17" x14ac:dyDescent="0.2">
      <c r="A1189" s="264" t="s">
        <v>1347</v>
      </c>
      <c r="B1189" s="202" t="s">
        <v>783</v>
      </c>
      <c r="C1189" s="202" t="s">
        <v>507</v>
      </c>
      <c r="D1189" s="202" t="s">
        <v>791</v>
      </c>
      <c r="E1189" s="202" t="s">
        <v>535</v>
      </c>
      <c r="F1189" s="265">
        <v>500</v>
      </c>
      <c r="G1189" s="265">
        <v>0</v>
      </c>
      <c r="H1189" s="265">
        <v>500</v>
      </c>
      <c r="I1189" s="265">
        <v>0</v>
      </c>
      <c r="J1189" s="265">
        <f t="shared" si="355"/>
        <v>0</v>
      </c>
      <c r="K1189" s="265">
        <f t="shared" si="356"/>
        <v>0</v>
      </c>
      <c r="L1189" s="265">
        <v>500</v>
      </c>
      <c r="M1189" s="226">
        <v>0</v>
      </c>
      <c r="N1189" s="265">
        <v>500</v>
      </c>
      <c r="O1189" s="226">
        <v>0</v>
      </c>
      <c r="P1189" s="265">
        <f t="shared" si="357"/>
        <v>0</v>
      </c>
      <c r="Q1189" s="271">
        <f t="shared" si="358"/>
        <v>0</v>
      </c>
    </row>
    <row r="1190" spans="1:17" x14ac:dyDescent="0.2">
      <c r="A1190" s="264" t="s">
        <v>534</v>
      </c>
      <c r="B1190" s="202" t="s">
        <v>783</v>
      </c>
      <c r="C1190" s="202" t="s">
        <v>507</v>
      </c>
      <c r="D1190" s="202" t="s">
        <v>791</v>
      </c>
      <c r="E1190" s="202" t="s">
        <v>529</v>
      </c>
      <c r="F1190" s="265">
        <v>500</v>
      </c>
      <c r="G1190" s="265">
        <v>0</v>
      </c>
      <c r="H1190" s="265">
        <v>500</v>
      </c>
      <c r="I1190" s="265">
        <v>0</v>
      </c>
      <c r="J1190" s="265">
        <f t="shared" si="355"/>
        <v>0</v>
      </c>
      <c r="K1190" s="265">
        <f t="shared" si="356"/>
        <v>0</v>
      </c>
      <c r="L1190" s="265">
        <v>500</v>
      </c>
      <c r="M1190" s="226">
        <v>0</v>
      </c>
      <c r="N1190" s="265">
        <v>500</v>
      </c>
      <c r="O1190" s="226">
        <v>0</v>
      </c>
      <c r="P1190" s="265">
        <f t="shared" si="357"/>
        <v>0</v>
      </c>
      <c r="Q1190" s="271">
        <f t="shared" si="358"/>
        <v>0</v>
      </c>
    </row>
    <row r="1191" spans="1:17" ht="33.75" x14ac:dyDescent="0.2">
      <c r="A1191" s="264" t="s">
        <v>790</v>
      </c>
      <c r="B1191" s="202" t="s">
        <v>783</v>
      </c>
      <c r="C1191" s="202" t="s">
        <v>507</v>
      </c>
      <c r="D1191" s="202" t="s">
        <v>789</v>
      </c>
      <c r="E1191" s="202"/>
      <c r="F1191" s="265">
        <v>603</v>
      </c>
      <c r="G1191" s="265">
        <v>0</v>
      </c>
      <c r="H1191" s="265">
        <v>603</v>
      </c>
      <c r="I1191" s="265">
        <v>0</v>
      </c>
      <c r="J1191" s="265">
        <f t="shared" si="355"/>
        <v>0</v>
      </c>
      <c r="K1191" s="265">
        <f t="shared" si="356"/>
        <v>0</v>
      </c>
      <c r="L1191" s="265">
        <v>603</v>
      </c>
      <c r="M1191" s="226">
        <v>0</v>
      </c>
      <c r="N1191" s="265">
        <v>603</v>
      </c>
      <c r="O1191" s="226">
        <v>0</v>
      </c>
      <c r="P1191" s="265">
        <f t="shared" si="357"/>
        <v>0</v>
      </c>
      <c r="Q1191" s="271">
        <f t="shared" si="358"/>
        <v>0</v>
      </c>
    </row>
    <row r="1192" spans="1:17" x14ac:dyDescent="0.2">
      <c r="A1192" s="264" t="s">
        <v>547</v>
      </c>
      <c r="B1192" s="202" t="s">
        <v>783</v>
      </c>
      <c r="C1192" s="202" t="s">
        <v>507</v>
      </c>
      <c r="D1192" s="202" t="s">
        <v>789</v>
      </c>
      <c r="E1192" s="202" t="s">
        <v>519</v>
      </c>
      <c r="F1192" s="265">
        <v>603</v>
      </c>
      <c r="G1192" s="265">
        <v>0</v>
      </c>
      <c r="H1192" s="265">
        <v>603</v>
      </c>
      <c r="I1192" s="265">
        <v>0</v>
      </c>
      <c r="J1192" s="265">
        <f t="shared" si="355"/>
        <v>0</v>
      </c>
      <c r="K1192" s="265">
        <f t="shared" si="356"/>
        <v>0</v>
      </c>
      <c r="L1192" s="265">
        <v>603</v>
      </c>
      <c r="M1192" s="226">
        <v>0</v>
      </c>
      <c r="N1192" s="265">
        <v>603</v>
      </c>
      <c r="O1192" s="226">
        <v>0</v>
      </c>
      <c r="P1192" s="265">
        <f t="shared" si="357"/>
        <v>0</v>
      </c>
      <c r="Q1192" s="271">
        <f t="shared" si="358"/>
        <v>0</v>
      </c>
    </row>
    <row r="1193" spans="1:17" x14ac:dyDescent="0.2">
      <c r="A1193" s="264" t="s">
        <v>546</v>
      </c>
      <c r="B1193" s="202" t="s">
        <v>783</v>
      </c>
      <c r="C1193" s="202" t="s">
        <v>507</v>
      </c>
      <c r="D1193" s="202" t="s">
        <v>789</v>
      </c>
      <c r="E1193" s="202" t="s">
        <v>544</v>
      </c>
      <c r="F1193" s="265">
        <v>603</v>
      </c>
      <c r="G1193" s="265">
        <v>0</v>
      </c>
      <c r="H1193" s="265">
        <v>603</v>
      </c>
      <c r="I1193" s="265">
        <v>0</v>
      </c>
      <c r="J1193" s="265">
        <f t="shared" si="355"/>
        <v>0</v>
      </c>
      <c r="K1193" s="265">
        <f t="shared" si="356"/>
        <v>0</v>
      </c>
      <c r="L1193" s="265">
        <v>603</v>
      </c>
      <c r="M1193" s="226">
        <v>0</v>
      </c>
      <c r="N1193" s="265">
        <v>603</v>
      </c>
      <c r="O1193" s="226">
        <v>0</v>
      </c>
      <c r="P1193" s="265">
        <f t="shared" si="357"/>
        <v>0</v>
      </c>
      <c r="Q1193" s="271">
        <f t="shared" si="358"/>
        <v>0</v>
      </c>
    </row>
    <row r="1194" spans="1:17" ht="33.75" x14ac:dyDescent="0.2">
      <c r="A1194" s="264" t="s">
        <v>788</v>
      </c>
      <c r="B1194" s="202" t="s">
        <v>783</v>
      </c>
      <c r="C1194" s="202" t="s">
        <v>507</v>
      </c>
      <c r="D1194" s="202" t="s">
        <v>787</v>
      </c>
      <c r="E1194" s="202"/>
      <c r="F1194" s="265">
        <v>250</v>
      </c>
      <c r="G1194" s="265">
        <v>0</v>
      </c>
      <c r="H1194" s="265">
        <v>250</v>
      </c>
      <c r="I1194" s="265">
        <v>0</v>
      </c>
      <c r="J1194" s="265">
        <f t="shared" si="355"/>
        <v>0</v>
      </c>
      <c r="K1194" s="265">
        <f t="shared" si="356"/>
        <v>0</v>
      </c>
      <c r="L1194" s="265">
        <v>250</v>
      </c>
      <c r="M1194" s="226">
        <v>0</v>
      </c>
      <c r="N1194" s="265">
        <v>250</v>
      </c>
      <c r="O1194" s="226">
        <v>0</v>
      </c>
      <c r="P1194" s="265">
        <f t="shared" si="357"/>
        <v>0</v>
      </c>
      <c r="Q1194" s="271">
        <f t="shared" si="358"/>
        <v>0</v>
      </c>
    </row>
    <row r="1195" spans="1:17" x14ac:dyDescent="0.2">
      <c r="A1195" s="264" t="s">
        <v>1347</v>
      </c>
      <c r="B1195" s="202" t="s">
        <v>783</v>
      </c>
      <c r="C1195" s="202" t="s">
        <v>507</v>
      </c>
      <c r="D1195" s="202" t="s">
        <v>787</v>
      </c>
      <c r="E1195" s="202" t="s">
        <v>535</v>
      </c>
      <c r="F1195" s="265">
        <v>250</v>
      </c>
      <c r="G1195" s="265">
        <v>0</v>
      </c>
      <c r="H1195" s="265">
        <v>250</v>
      </c>
      <c r="I1195" s="265">
        <v>0</v>
      </c>
      <c r="J1195" s="265">
        <f t="shared" si="355"/>
        <v>0</v>
      </c>
      <c r="K1195" s="265">
        <f t="shared" si="356"/>
        <v>0</v>
      </c>
      <c r="L1195" s="265">
        <v>250</v>
      </c>
      <c r="M1195" s="226">
        <v>0</v>
      </c>
      <c r="N1195" s="265">
        <v>250</v>
      </c>
      <c r="O1195" s="226">
        <v>0</v>
      </c>
      <c r="P1195" s="265">
        <f t="shared" si="357"/>
        <v>0</v>
      </c>
      <c r="Q1195" s="271">
        <f t="shared" si="358"/>
        <v>0</v>
      </c>
    </row>
    <row r="1196" spans="1:17" x14ac:dyDescent="0.2">
      <c r="A1196" s="264" t="s">
        <v>534</v>
      </c>
      <c r="B1196" s="202" t="s">
        <v>783</v>
      </c>
      <c r="C1196" s="202" t="s">
        <v>507</v>
      </c>
      <c r="D1196" s="202" t="s">
        <v>787</v>
      </c>
      <c r="E1196" s="202" t="s">
        <v>529</v>
      </c>
      <c r="F1196" s="265">
        <v>250</v>
      </c>
      <c r="G1196" s="265">
        <v>0</v>
      </c>
      <c r="H1196" s="265">
        <v>250</v>
      </c>
      <c r="I1196" s="265">
        <v>0</v>
      </c>
      <c r="J1196" s="265">
        <f t="shared" si="355"/>
        <v>0</v>
      </c>
      <c r="K1196" s="265">
        <f t="shared" si="356"/>
        <v>0</v>
      </c>
      <c r="L1196" s="265">
        <v>250</v>
      </c>
      <c r="M1196" s="226">
        <v>0</v>
      </c>
      <c r="N1196" s="265">
        <v>250</v>
      </c>
      <c r="O1196" s="226">
        <v>0</v>
      </c>
      <c r="P1196" s="265">
        <f t="shared" si="357"/>
        <v>0</v>
      </c>
      <c r="Q1196" s="271">
        <f t="shared" si="358"/>
        <v>0</v>
      </c>
    </row>
    <row r="1197" spans="1:17" s="97" customFormat="1" x14ac:dyDescent="0.2">
      <c r="A1197" s="262" t="s">
        <v>781</v>
      </c>
      <c r="B1197" s="199" t="s">
        <v>592</v>
      </c>
      <c r="C1197" s="199"/>
      <c r="D1197" s="199"/>
      <c r="E1197" s="199"/>
      <c r="F1197" s="263">
        <v>138920</v>
      </c>
      <c r="G1197" s="263">
        <v>0</v>
      </c>
      <c r="H1197" s="263">
        <v>138920</v>
      </c>
      <c r="I1197" s="263">
        <v>0</v>
      </c>
      <c r="J1197" s="263">
        <f t="shared" si="355"/>
        <v>0</v>
      </c>
      <c r="K1197" s="263">
        <f t="shared" si="356"/>
        <v>0</v>
      </c>
      <c r="L1197" s="263">
        <v>122400</v>
      </c>
      <c r="M1197" s="205">
        <v>0</v>
      </c>
      <c r="N1197" s="263">
        <v>122400</v>
      </c>
      <c r="O1197" s="205">
        <v>0</v>
      </c>
      <c r="P1197" s="263">
        <f t="shared" si="357"/>
        <v>0</v>
      </c>
      <c r="Q1197" s="272">
        <f t="shared" si="358"/>
        <v>0</v>
      </c>
    </row>
    <row r="1198" spans="1:17" x14ac:dyDescent="0.2">
      <c r="A1198" s="264" t="s">
        <v>780</v>
      </c>
      <c r="B1198" s="202" t="s">
        <v>592</v>
      </c>
      <c r="C1198" s="202" t="s">
        <v>498</v>
      </c>
      <c r="D1198" s="202"/>
      <c r="E1198" s="202"/>
      <c r="F1198" s="265">
        <v>138920</v>
      </c>
      <c r="G1198" s="265">
        <v>0</v>
      </c>
      <c r="H1198" s="265">
        <v>138920</v>
      </c>
      <c r="I1198" s="265">
        <v>0</v>
      </c>
      <c r="J1198" s="265">
        <f t="shared" si="355"/>
        <v>0</v>
      </c>
      <c r="K1198" s="265">
        <f t="shared" si="356"/>
        <v>0</v>
      </c>
      <c r="L1198" s="265">
        <v>122400</v>
      </c>
      <c r="M1198" s="226">
        <v>0</v>
      </c>
      <c r="N1198" s="265">
        <v>122400</v>
      </c>
      <c r="O1198" s="226">
        <v>0</v>
      </c>
      <c r="P1198" s="265">
        <f t="shared" si="357"/>
        <v>0</v>
      </c>
      <c r="Q1198" s="271">
        <f t="shared" si="358"/>
        <v>0</v>
      </c>
    </row>
    <row r="1199" spans="1:17" x14ac:dyDescent="0.2">
      <c r="A1199" s="264" t="s">
        <v>604</v>
      </c>
      <c r="B1199" s="202" t="s">
        <v>592</v>
      </c>
      <c r="C1199" s="202" t="s">
        <v>498</v>
      </c>
      <c r="D1199" s="202" t="s">
        <v>603</v>
      </c>
      <c r="E1199" s="202"/>
      <c r="F1199" s="265">
        <v>138920</v>
      </c>
      <c r="G1199" s="265">
        <v>0</v>
      </c>
      <c r="H1199" s="265">
        <v>138920</v>
      </c>
      <c r="I1199" s="265">
        <v>0</v>
      </c>
      <c r="J1199" s="265">
        <f t="shared" si="355"/>
        <v>0</v>
      </c>
      <c r="K1199" s="265">
        <f t="shared" si="356"/>
        <v>0</v>
      </c>
      <c r="L1199" s="265">
        <v>122400</v>
      </c>
      <c r="M1199" s="226">
        <v>0</v>
      </c>
      <c r="N1199" s="265">
        <v>122400</v>
      </c>
      <c r="O1199" s="226">
        <v>0</v>
      </c>
      <c r="P1199" s="265">
        <f t="shared" si="357"/>
        <v>0</v>
      </c>
      <c r="Q1199" s="271">
        <f t="shared" si="358"/>
        <v>0</v>
      </c>
    </row>
    <row r="1200" spans="1:17" x14ac:dyDescent="0.2">
      <c r="A1200" s="264" t="s">
        <v>779</v>
      </c>
      <c r="B1200" s="202" t="s">
        <v>592</v>
      </c>
      <c r="C1200" s="202" t="s">
        <v>498</v>
      </c>
      <c r="D1200" s="202" t="s">
        <v>778</v>
      </c>
      <c r="E1200" s="202"/>
      <c r="F1200" s="265">
        <v>138920</v>
      </c>
      <c r="G1200" s="265">
        <v>0</v>
      </c>
      <c r="H1200" s="265">
        <v>138920</v>
      </c>
      <c r="I1200" s="265">
        <v>0</v>
      </c>
      <c r="J1200" s="265">
        <f t="shared" si="355"/>
        <v>0</v>
      </c>
      <c r="K1200" s="265">
        <f t="shared" si="356"/>
        <v>0</v>
      </c>
      <c r="L1200" s="265">
        <v>122400</v>
      </c>
      <c r="M1200" s="226">
        <v>0</v>
      </c>
      <c r="N1200" s="265">
        <v>122400</v>
      </c>
      <c r="O1200" s="226">
        <v>0</v>
      </c>
      <c r="P1200" s="265">
        <f t="shared" si="357"/>
        <v>0</v>
      </c>
      <c r="Q1200" s="271">
        <f t="shared" si="358"/>
        <v>0</v>
      </c>
    </row>
    <row r="1201" spans="1:17" x14ac:dyDescent="0.2">
      <c r="A1201" s="264" t="s">
        <v>777</v>
      </c>
      <c r="B1201" s="202" t="s">
        <v>592</v>
      </c>
      <c r="C1201" s="202" t="s">
        <v>498</v>
      </c>
      <c r="D1201" s="202" t="s">
        <v>776</v>
      </c>
      <c r="E1201" s="202"/>
      <c r="F1201" s="265">
        <v>138920</v>
      </c>
      <c r="G1201" s="265">
        <v>0</v>
      </c>
      <c r="H1201" s="265">
        <v>138920</v>
      </c>
      <c r="I1201" s="265">
        <v>0</v>
      </c>
      <c r="J1201" s="265">
        <f t="shared" si="355"/>
        <v>0</v>
      </c>
      <c r="K1201" s="265">
        <f t="shared" si="356"/>
        <v>0</v>
      </c>
      <c r="L1201" s="265">
        <v>122400</v>
      </c>
      <c r="M1201" s="226">
        <v>0</v>
      </c>
      <c r="N1201" s="265">
        <v>122400</v>
      </c>
      <c r="O1201" s="226">
        <v>0</v>
      </c>
      <c r="P1201" s="265">
        <f t="shared" si="357"/>
        <v>0</v>
      </c>
      <c r="Q1201" s="271">
        <f t="shared" si="358"/>
        <v>0</v>
      </c>
    </row>
    <row r="1202" spans="1:17" x14ac:dyDescent="0.2">
      <c r="A1202" s="264" t="s">
        <v>774</v>
      </c>
      <c r="B1202" s="202" t="s">
        <v>592</v>
      </c>
      <c r="C1202" s="202" t="s">
        <v>498</v>
      </c>
      <c r="D1202" s="202" t="s">
        <v>773</v>
      </c>
      <c r="E1202" s="202"/>
      <c r="F1202" s="265">
        <v>138920</v>
      </c>
      <c r="G1202" s="265">
        <v>0</v>
      </c>
      <c r="H1202" s="265">
        <v>138920</v>
      </c>
      <c r="I1202" s="265">
        <v>0</v>
      </c>
      <c r="J1202" s="265">
        <f t="shared" si="355"/>
        <v>0</v>
      </c>
      <c r="K1202" s="265">
        <f t="shared" si="356"/>
        <v>0</v>
      </c>
      <c r="L1202" s="265">
        <v>122400</v>
      </c>
      <c r="M1202" s="226">
        <v>0</v>
      </c>
      <c r="N1202" s="265">
        <v>122400</v>
      </c>
      <c r="O1202" s="226">
        <v>0</v>
      </c>
      <c r="P1202" s="265">
        <f t="shared" si="357"/>
        <v>0</v>
      </c>
      <c r="Q1202" s="271">
        <f t="shared" si="358"/>
        <v>0</v>
      </c>
    </row>
    <row r="1203" spans="1:17" x14ac:dyDescent="0.2">
      <c r="A1203" s="264" t="s">
        <v>775</v>
      </c>
      <c r="B1203" s="202" t="s">
        <v>592</v>
      </c>
      <c r="C1203" s="202" t="s">
        <v>498</v>
      </c>
      <c r="D1203" s="202" t="s">
        <v>773</v>
      </c>
      <c r="E1203" s="202" t="s">
        <v>504</v>
      </c>
      <c r="F1203" s="265">
        <v>138920</v>
      </c>
      <c r="G1203" s="265">
        <v>0</v>
      </c>
      <c r="H1203" s="265">
        <v>138920</v>
      </c>
      <c r="I1203" s="265">
        <v>0</v>
      </c>
      <c r="J1203" s="265">
        <f t="shared" si="355"/>
        <v>0</v>
      </c>
      <c r="K1203" s="265">
        <f t="shared" si="356"/>
        <v>0</v>
      </c>
      <c r="L1203" s="265">
        <v>122400</v>
      </c>
      <c r="M1203" s="226">
        <v>0</v>
      </c>
      <c r="N1203" s="265">
        <v>122400</v>
      </c>
      <c r="O1203" s="226">
        <v>0</v>
      </c>
      <c r="P1203" s="265">
        <f t="shared" si="357"/>
        <v>0</v>
      </c>
      <c r="Q1203" s="271">
        <f t="shared" si="358"/>
        <v>0</v>
      </c>
    </row>
    <row r="1204" spans="1:17" x14ac:dyDescent="0.2">
      <c r="A1204" s="264" t="s">
        <v>774</v>
      </c>
      <c r="B1204" s="202" t="s">
        <v>592</v>
      </c>
      <c r="C1204" s="202" t="s">
        <v>498</v>
      </c>
      <c r="D1204" s="202" t="s">
        <v>773</v>
      </c>
      <c r="E1204" s="202" t="s">
        <v>772</v>
      </c>
      <c r="F1204" s="265">
        <v>138920</v>
      </c>
      <c r="G1204" s="265">
        <v>0</v>
      </c>
      <c r="H1204" s="265">
        <v>138920</v>
      </c>
      <c r="I1204" s="265">
        <v>0</v>
      </c>
      <c r="J1204" s="265">
        <f t="shared" si="355"/>
        <v>0</v>
      </c>
      <c r="K1204" s="265">
        <f t="shared" si="356"/>
        <v>0</v>
      </c>
      <c r="L1204" s="265">
        <v>122400</v>
      </c>
      <c r="M1204" s="226">
        <v>0</v>
      </c>
      <c r="N1204" s="265">
        <v>122400</v>
      </c>
      <c r="O1204" s="226">
        <v>0</v>
      </c>
      <c r="P1204" s="265">
        <f t="shared" si="357"/>
        <v>0</v>
      </c>
      <c r="Q1204" s="271">
        <f t="shared" si="358"/>
        <v>0</v>
      </c>
    </row>
    <row r="1205" spans="1:17" x14ac:dyDescent="0.2">
      <c r="A1205" s="262" t="s">
        <v>528</v>
      </c>
      <c r="B1205" s="199"/>
      <c r="C1205" s="199"/>
      <c r="D1205" s="199"/>
      <c r="E1205" s="199"/>
      <c r="F1205" s="263">
        <f>F12+F216+F287+F498+F720+F747+F941+F1010+F1095+F1148+F1197</f>
        <v>13429030.1</v>
      </c>
      <c r="G1205" s="263">
        <f>G12+G216+G287+G498+G720+G747+G941+G1010+G1095+G1148+G1197</f>
        <v>4464303</v>
      </c>
      <c r="H1205" s="263">
        <f>H12+H216+H287+H498+H720+H747+H941+H1010+H1095+H1148+H1197</f>
        <v>12564747.399999999</v>
      </c>
      <c r="I1205" s="263">
        <f>I12+I216+I287+I498+I720+I747+I941+I1010+I1095+I1148+I1197</f>
        <v>4525026</v>
      </c>
      <c r="J1205" s="282">
        <f t="shared" si="355"/>
        <v>-864282.70000000112</v>
      </c>
      <c r="K1205" s="282">
        <f>I1205-G1205</f>
        <v>60723</v>
      </c>
      <c r="L1205" s="263">
        <f>L12+L216+L287+L498+L720+L747+L941+L1010+L1095+L1148+L1197</f>
        <v>13320402.099999998</v>
      </c>
      <c r="M1205" s="205">
        <f>M12+M216+M287+M498+M720+M747+M941+M1010+M1095+M1148+M1197</f>
        <v>4458564</v>
      </c>
      <c r="N1205" s="263">
        <f>N12+N216+N287+N498+N720+N747+N941+N1010+N1095+N1148+N1197</f>
        <v>14535261.999999996</v>
      </c>
      <c r="O1205" s="205">
        <f>O12+O216+O287+O498+O720+O747+O941+O1010+O1095+O1148+O1197</f>
        <v>4519287</v>
      </c>
      <c r="P1205" s="282">
        <f t="shared" si="357"/>
        <v>1214859.8999999985</v>
      </c>
      <c r="Q1205" s="291">
        <f>O1205-M1205</f>
        <v>60723</v>
      </c>
    </row>
    <row r="1208" spans="1:17" x14ac:dyDescent="0.2">
      <c r="A1208" s="218" t="s">
        <v>1279</v>
      </c>
      <c r="B1208" s="219"/>
      <c r="C1208" s="219"/>
      <c r="D1208" s="219"/>
      <c r="E1208" s="266"/>
      <c r="F1208" s="267">
        <f>F108+F691+F1024+F1059+F1071</f>
        <v>120761</v>
      </c>
      <c r="G1208" s="267">
        <f>G108+G691+G1024+G1059+G1071</f>
        <v>105567</v>
      </c>
      <c r="H1208" s="267">
        <f>H108+H691+H1024+H1059+H1071</f>
        <v>120761</v>
      </c>
      <c r="I1208" s="267">
        <f>I108+I691+I1024+I1059+I1071</f>
        <v>105567</v>
      </c>
      <c r="J1208" s="267">
        <f t="shared" ref="J1208" si="363">H1208-F1208</f>
        <v>0</v>
      </c>
      <c r="K1208" s="267">
        <f t="shared" ref="K1208" si="364">I1208-G1208</f>
        <v>0</v>
      </c>
      <c r="L1208" s="267">
        <f>L108+L691+L1024+L1059+L1071</f>
        <v>123761</v>
      </c>
      <c r="M1208" s="267">
        <f>M108+M691+M1024+M1059+M1071</f>
        <v>105567</v>
      </c>
      <c r="N1208" s="267">
        <f>N108+N691+N1024+N1059+N1071</f>
        <v>123761</v>
      </c>
      <c r="O1208" s="267">
        <f>O108+O691+O1024+O1059+O1071</f>
        <v>105567</v>
      </c>
      <c r="P1208" s="267">
        <f t="shared" ref="P1208" si="365">N1208-L1208</f>
        <v>0</v>
      </c>
      <c r="Q1208" s="267">
        <f t="shared" ref="Q1208" si="366">O1208-M1208</f>
        <v>0</v>
      </c>
    </row>
  </sheetData>
  <mergeCells count="19">
    <mergeCell ref="L9:M9"/>
    <mergeCell ref="L8:Q8"/>
    <mergeCell ref="M7:Q7"/>
    <mergeCell ref="N9:O9"/>
    <mergeCell ref="P9:Q9"/>
    <mergeCell ref="L1:Q1"/>
    <mergeCell ref="L2:Q2"/>
    <mergeCell ref="L3:Q3"/>
    <mergeCell ref="A5:Q5"/>
    <mergeCell ref="A7:C7"/>
    <mergeCell ref="F8:K8"/>
    <mergeCell ref="F9:G9"/>
    <mergeCell ref="H9:I9"/>
    <mergeCell ref="J9:K9"/>
    <mergeCell ref="A8:A10"/>
    <mergeCell ref="B8:B10"/>
    <mergeCell ref="C8:C10"/>
    <mergeCell ref="D8:D10"/>
    <mergeCell ref="E8:E10"/>
  </mergeCells>
  <pageMargins left="0.78740157480314965" right="0.39370078740157483" top="0.78740157480314965" bottom="0.78740157480314965" header="0" footer="0"/>
  <pageSetup paperSize="9" scale="55" firstPageNumber="95" fitToHeight="0" orientation="landscape" useFirstPageNumber="1" r:id="rId1"/>
  <headerFooter>
    <oddFooter>Страница &amp;P</oddFooter>
    <evenHeader>&amp;LФинансовое управление Администрации городского округа Мытищи</evenHeader>
    <evenFooter>&amp;L 27.10.2017 18:48:11&amp;R&amp;P/&amp;N</evenFooter>
    <firstHeader>&amp;LФинансовое управление Администрации городского округа Мытищи</firstHeader>
    <firstFooter>&amp;L 27.10.2017 18:48:11&amp;R&amp;P/&amp;N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3"/>
  <sheetViews>
    <sheetView topLeftCell="B1" zoomScale="140" zoomScaleNormal="140" workbookViewId="0">
      <selection activeCell="A3" sqref="A3:F3"/>
    </sheetView>
  </sheetViews>
  <sheetFormatPr defaultColWidth="9.140625" defaultRowHeight="12.75" x14ac:dyDescent="0.2"/>
  <cols>
    <col min="1" max="1" width="102.85546875" style="148" customWidth="1"/>
    <col min="2" max="2" width="17" style="116" customWidth="1"/>
    <col min="3" max="3" width="8.5703125" style="116" customWidth="1"/>
    <col min="4" max="4" width="14.85546875" style="139" customWidth="1"/>
    <col min="5" max="5" width="17.85546875" style="148" customWidth="1"/>
    <col min="6" max="6" width="13.42578125" style="148" bestFit="1" customWidth="1"/>
    <col min="7" max="16384" width="9.140625" style="148"/>
  </cols>
  <sheetData>
    <row r="1" spans="1:7" x14ac:dyDescent="0.2">
      <c r="A1" s="221"/>
      <c r="B1" s="222"/>
      <c r="C1" s="560" t="s">
        <v>1336</v>
      </c>
      <c r="D1" s="561"/>
      <c r="E1" s="463"/>
      <c r="F1" s="463"/>
    </row>
    <row r="2" spans="1:7" x14ac:dyDescent="0.2">
      <c r="A2" s="221"/>
      <c r="B2" s="560" t="s">
        <v>1</v>
      </c>
      <c r="C2" s="561"/>
      <c r="D2" s="561"/>
      <c r="E2" s="463"/>
      <c r="F2" s="463"/>
    </row>
    <row r="3" spans="1:7" x14ac:dyDescent="0.2">
      <c r="A3" s="562" t="s">
        <v>1741</v>
      </c>
      <c r="B3" s="562"/>
      <c r="C3" s="562"/>
      <c r="D3" s="561"/>
      <c r="E3" s="463"/>
      <c r="F3" s="463"/>
    </row>
    <row r="4" spans="1:7" x14ac:dyDescent="0.2">
      <c r="D4" s="138"/>
      <c r="E4" s="57"/>
      <c r="F4" s="57"/>
    </row>
    <row r="5" spans="1:7" ht="81.75" customHeight="1" x14ac:dyDescent="0.2">
      <c r="A5" s="460" t="s">
        <v>1340</v>
      </c>
      <c r="B5" s="559"/>
      <c r="C5" s="559"/>
      <c r="D5" s="559"/>
      <c r="E5" s="463"/>
      <c r="F5" s="463"/>
      <c r="G5" s="108"/>
    </row>
    <row r="6" spans="1:7" x14ac:dyDescent="0.2">
      <c r="A6" s="557"/>
      <c r="B6" s="558"/>
      <c r="C6" s="558"/>
      <c r="F6" s="139" t="s">
        <v>1337</v>
      </c>
    </row>
    <row r="7" spans="1:7" x14ac:dyDescent="0.2">
      <c r="A7" s="195" t="s">
        <v>1276</v>
      </c>
      <c r="B7" s="223" t="s">
        <v>1272</v>
      </c>
      <c r="C7" s="223" t="s">
        <v>1271</v>
      </c>
      <c r="D7" s="225" t="s">
        <v>4</v>
      </c>
      <c r="E7" s="223" t="s">
        <v>1373</v>
      </c>
      <c r="F7" s="224" t="s">
        <v>6</v>
      </c>
    </row>
    <row r="8" spans="1:7" x14ac:dyDescent="0.2">
      <c r="A8" s="195">
        <v>1</v>
      </c>
      <c r="B8" s="223">
        <v>2</v>
      </c>
      <c r="C8" s="223">
        <v>3</v>
      </c>
      <c r="D8" s="225">
        <v>4</v>
      </c>
      <c r="E8" s="198">
        <v>5</v>
      </c>
      <c r="F8" s="198">
        <v>6</v>
      </c>
    </row>
    <row r="9" spans="1:7" x14ac:dyDescent="0.2">
      <c r="A9" s="199" t="s">
        <v>863</v>
      </c>
      <c r="B9" s="212" t="s">
        <v>862</v>
      </c>
      <c r="C9" s="212"/>
      <c r="D9" s="205">
        <v>4860</v>
      </c>
      <c r="E9" s="205">
        <f>E10</f>
        <v>4860</v>
      </c>
      <c r="F9" s="206">
        <f t="shared" ref="F9:F13" si="0">E9-D9</f>
        <v>0</v>
      </c>
    </row>
    <row r="10" spans="1:7" x14ac:dyDescent="0.2">
      <c r="A10" s="199" t="s">
        <v>861</v>
      </c>
      <c r="B10" s="212" t="s">
        <v>860</v>
      </c>
      <c r="C10" s="212"/>
      <c r="D10" s="205">
        <v>4860</v>
      </c>
      <c r="E10" s="205">
        <f>E11</f>
        <v>4860</v>
      </c>
      <c r="F10" s="206">
        <f t="shared" si="0"/>
        <v>0</v>
      </c>
    </row>
    <row r="11" spans="1:7" x14ac:dyDescent="0.2">
      <c r="A11" s="199" t="s">
        <v>859</v>
      </c>
      <c r="B11" s="212" t="s">
        <v>858</v>
      </c>
      <c r="C11" s="212"/>
      <c r="D11" s="205">
        <v>4860</v>
      </c>
      <c r="E11" s="205">
        <f>E12</f>
        <v>4860</v>
      </c>
      <c r="F11" s="206">
        <f t="shared" si="0"/>
        <v>0</v>
      </c>
    </row>
    <row r="12" spans="1:7" ht="22.5" x14ac:dyDescent="0.2">
      <c r="A12" s="202" t="s">
        <v>857</v>
      </c>
      <c r="B12" s="209" t="s">
        <v>856</v>
      </c>
      <c r="C12" s="209"/>
      <c r="D12" s="226">
        <v>4860</v>
      </c>
      <c r="E12" s="226">
        <f>E13</f>
        <v>4860</v>
      </c>
      <c r="F12" s="228">
        <f t="shared" si="0"/>
        <v>0</v>
      </c>
    </row>
    <row r="13" spans="1:7" x14ac:dyDescent="0.2">
      <c r="A13" s="202" t="s">
        <v>553</v>
      </c>
      <c r="B13" s="209" t="s">
        <v>856</v>
      </c>
      <c r="C13" s="209" t="s">
        <v>552</v>
      </c>
      <c r="D13" s="226">
        <v>4860</v>
      </c>
      <c r="E13" s="226">
        <f>E14</f>
        <v>4860</v>
      </c>
      <c r="F13" s="228">
        <f t="shared" si="0"/>
        <v>0</v>
      </c>
    </row>
    <row r="14" spans="1:7" x14ac:dyDescent="0.2">
      <c r="A14" s="202" t="s">
        <v>659</v>
      </c>
      <c r="B14" s="209" t="s">
        <v>856</v>
      </c>
      <c r="C14" s="209" t="s">
        <v>655</v>
      </c>
      <c r="D14" s="226">
        <v>4860</v>
      </c>
      <c r="E14" s="226">
        <f>'Функциональная 2020'!H1175</f>
        <v>4860</v>
      </c>
      <c r="F14" s="228">
        <f>E14-D14</f>
        <v>0</v>
      </c>
    </row>
    <row r="15" spans="1:7" x14ac:dyDescent="0.2">
      <c r="A15" s="199" t="s">
        <v>653</v>
      </c>
      <c r="B15" s="212" t="s">
        <v>652</v>
      </c>
      <c r="C15" s="212"/>
      <c r="D15" s="205">
        <v>514780.7</v>
      </c>
      <c r="E15" s="205">
        <f>E16+E21+E64+E78+E32</f>
        <v>515930.4</v>
      </c>
      <c r="F15" s="206">
        <f t="shared" ref="F15:F82" si="1">E15-D15</f>
        <v>1149.7000000000116</v>
      </c>
    </row>
    <row r="16" spans="1:7" x14ac:dyDescent="0.2">
      <c r="A16" s="199" t="s">
        <v>651</v>
      </c>
      <c r="B16" s="212" t="s">
        <v>650</v>
      </c>
      <c r="C16" s="212"/>
      <c r="D16" s="205">
        <v>26119.8</v>
      </c>
      <c r="E16" s="205">
        <f>E17</f>
        <v>26119.8</v>
      </c>
      <c r="F16" s="206">
        <f t="shared" si="1"/>
        <v>0</v>
      </c>
    </row>
    <row r="17" spans="1:6" x14ac:dyDescent="0.2">
      <c r="A17" s="199" t="s">
        <v>649</v>
      </c>
      <c r="B17" s="212" t="s">
        <v>648</v>
      </c>
      <c r="C17" s="212"/>
      <c r="D17" s="205">
        <v>26119.8</v>
      </c>
      <c r="E17" s="205">
        <f>E18</f>
        <v>26119.8</v>
      </c>
      <c r="F17" s="206">
        <f t="shared" si="1"/>
        <v>0</v>
      </c>
    </row>
    <row r="18" spans="1:6" x14ac:dyDescent="0.2">
      <c r="A18" s="202" t="s">
        <v>647</v>
      </c>
      <c r="B18" s="209" t="s">
        <v>646</v>
      </c>
      <c r="C18" s="209"/>
      <c r="D18" s="226">
        <v>26119.8</v>
      </c>
      <c r="E18" s="226">
        <f>E19</f>
        <v>26119.8</v>
      </c>
      <c r="F18" s="228">
        <f t="shared" si="1"/>
        <v>0</v>
      </c>
    </row>
    <row r="19" spans="1:6" x14ac:dyDescent="0.2">
      <c r="A19" s="202" t="s">
        <v>547</v>
      </c>
      <c r="B19" s="209" t="s">
        <v>646</v>
      </c>
      <c r="C19" s="209" t="s">
        <v>519</v>
      </c>
      <c r="D19" s="226">
        <v>26119.8</v>
      </c>
      <c r="E19" s="226">
        <f>E20</f>
        <v>26119.8</v>
      </c>
      <c r="F19" s="228">
        <f t="shared" si="1"/>
        <v>0</v>
      </c>
    </row>
    <row r="20" spans="1:6" x14ac:dyDescent="0.2">
      <c r="A20" s="202" t="s">
        <v>571</v>
      </c>
      <c r="B20" s="209" t="s">
        <v>646</v>
      </c>
      <c r="C20" s="209" t="s">
        <v>522</v>
      </c>
      <c r="D20" s="226">
        <v>26119.8</v>
      </c>
      <c r="E20" s="226">
        <f>'Функциональная 2020'!H1092</f>
        <v>26119.8</v>
      </c>
      <c r="F20" s="228">
        <f t="shared" si="1"/>
        <v>0</v>
      </c>
    </row>
    <row r="21" spans="1:6" x14ac:dyDescent="0.2">
      <c r="A21" s="199" t="s">
        <v>645</v>
      </c>
      <c r="B21" s="212" t="s">
        <v>644</v>
      </c>
      <c r="C21" s="212"/>
      <c r="D21" s="205">
        <v>90085.2</v>
      </c>
      <c r="E21" s="205">
        <f>E22</f>
        <v>91610.3</v>
      </c>
      <c r="F21" s="206">
        <f t="shared" si="1"/>
        <v>1525.1000000000058</v>
      </c>
    </row>
    <row r="22" spans="1:6" ht="22.5" x14ac:dyDescent="0.2">
      <c r="A22" s="199" t="s">
        <v>643</v>
      </c>
      <c r="B22" s="212" t="s">
        <v>642</v>
      </c>
      <c r="C22" s="212"/>
      <c r="D22" s="205">
        <v>90085.2</v>
      </c>
      <c r="E22" s="205">
        <f>E23+E28</f>
        <v>91610.3</v>
      </c>
      <c r="F22" s="206">
        <f t="shared" si="1"/>
        <v>1525.1000000000058</v>
      </c>
    </row>
    <row r="23" spans="1:6" ht="22.5" x14ac:dyDescent="0.2">
      <c r="A23" s="202" t="s">
        <v>881</v>
      </c>
      <c r="B23" s="209" t="s">
        <v>880</v>
      </c>
      <c r="C23" s="209"/>
      <c r="D23" s="226">
        <v>3107.4</v>
      </c>
      <c r="E23" s="226">
        <f>E24+E26</f>
        <v>4632.5</v>
      </c>
      <c r="F23" s="228">
        <f t="shared" si="1"/>
        <v>1525.1</v>
      </c>
    </row>
    <row r="24" spans="1:6" x14ac:dyDescent="0.2">
      <c r="A24" s="202" t="s">
        <v>1347</v>
      </c>
      <c r="B24" s="209" t="s">
        <v>880</v>
      </c>
      <c r="C24" s="209" t="s">
        <v>535</v>
      </c>
      <c r="D24" s="226">
        <v>3107.4</v>
      </c>
      <c r="E24" s="226">
        <f>E25</f>
        <v>3107.4</v>
      </c>
      <c r="F24" s="228">
        <f t="shared" si="1"/>
        <v>0</v>
      </c>
    </row>
    <row r="25" spans="1:6" x14ac:dyDescent="0.2">
      <c r="A25" s="202" t="s">
        <v>534</v>
      </c>
      <c r="B25" s="209" t="s">
        <v>880</v>
      </c>
      <c r="C25" s="209" t="s">
        <v>529</v>
      </c>
      <c r="D25" s="226">
        <v>3107.4</v>
      </c>
      <c r="E25" s="226">
        <f>'Функциональная 2020'!H1097</f>
        <v>3107.4</v>
      </c>
      <c r="F25" s="228">
        <f t="shared" si="1"/>
        <v>0</v>
      </c>
    </row>
    <row r="26" spans="1:6" s="426" customFormat="1" x14ac:dyDescent="0.2">
      <c r="A26" s="202" t="s">
        <v>547</v>
      </c>
      <c r="B26" s="209" t="s">
        <v>880</v>
      </c>
      <c r="C26" s="209" t="s">
        <v>519</v>
      </c>
      <c r="D26" s="226">
        <f>D27</f>
        <v>0</v>
      </c>
      <c r="E26" s="226">
        <f>E27</f>
        <v>1525.1</v>
      </c>
      <c r="F26" s="228">
        <f t="shared" si="1"/>
        <v>1525.1</v>
      </c>
    </row>
    <row r="27" spans="1:6" s="426" customFormat="1" x14ac:dyDescent="0.2">
      <c r="A27" s="202" t="s">
        <v>546</v>
      </c>
      <c r="B27" s="209" t="s">
        <v>880</v>
      </c>
      <c r="C27" s="209">
        <v>620</v>
      </c>
      <c r="D27" s="226">
        <v>0</v>
      </c>
      <c r="E27" s="226">
        <f>'Функциональная 2020'!H1099</f>
        <v>1525.1</v>
      </c>
      <c r="F27" s="228">
        <f t="shared" si="1"/>
        <v>1525.1</v>
      </c>
    </row>
    <row r="28" spans="1:6" x14ac:dyDescent="0.2">
      <c r="A28" s="202" t="s">
        <v>641</v>
      </c>
      <c r="B28" s="209" t="s">
        <v>640</v>
      </c>
      <c r="C28" s="209"/>
      <c r="D28" s="226">
        <v>86977.8</v>
      </c>
      <c r="E28" s="226">
        <f>E29</f>
        <v>86977.8</v>
      </c>
      <c r="F28" s="228">
        <f t="shared" si="1"/>
        <v>0</v>
      </c>
    </row>
    <row r="29" spans="1:6" x14ac:dyDescent="0.2">
      <c r="A29" s="202" t="s">
        <v>547</v>
      </c>
      <c r="B29" s="209" t="s">
        <v>640</v>
      </c>
      <c r="C29" s="209" t="s">
        <v>519</v>
      </c>
      <c r="D29" s="226">
        <v>86977.8</v>
      </c>
      <c r="E29" s="226">
        <f>E30+E31</f>
        <v>86977.8</v>
      </c>
      <c r="F29" s="228">
        <f t="shared" si="1"/>
        <v>0</v>
      </c>
    </row>
    <row r="30" spans="1:6" x14ac:dyDescent="0.2">
      <c r="A30" s="202" t="s">
        <v>571</v>
      </c>
      <c r="B30" s="209" t="s">
        <v>640</v>
      </c>
      <c r="C30" s="209" t="s">
        <v>522</v>
      </c>
      <c r="D30" s="226">
        <v>1174.3999999999996</v>
      </c>
      <c r="E30" s="226">
        <f>'Функциональная 2020'!H1102</f>
        <v>1174.3999999999996</v>
      </c>
      <c r="F30" s="228">
        <f t="shared" si="1"/>
        <v>0</v>
      </c>
    </row>
    <row r="31" spans="1:6" x14ac:dyDescent="0.2">
      <c r="A31" s="202" t="s">
        <v>546</v>
      </c>
      <c r="B31" s="209" t="s">
        <v>640</v>
      </c>
      <c r="C31" s="209" t="s">
        <v>544</v>
      </c>
      <c r="D31" s="226">
        <v>85803.400000000009</v>
      </c>
      <c r="E31" s="226">
        <f>'Функциональная 2020'!H1103</f>
        <v>85803.400000000009</v>
      </c>
      <c r="F31" s="228">
        <f t="shared" si="1"/>
        <v>0</v>
      </c>
    </row>
    <row r="32" spans="1:6" ht="22.5" x14ac:dyDescent="0.2">
      <c r="A32" s="199" t="s">
        <v>639</v>
      </c>
      <c r="B32" s="212" t="s">
        <v>638</v>
      </c>
      <c r="C32" s="212"/>
      <c r="D32" s="205">
        <v>389745.5</v>
      </c>
      <c r="E32" s="205">
        <f>E33+E51+E57</f>
        <v>389784.3</v>
      </c>
      <c r="F32" s="206">
        <f t="shared" si="1"/>
        <v>38.799999999988358</v>
      </c>
    </row>
    <row r="33" spans="1:6" x14ac:dyDescent="0.2">
      <c r="A33" s="199" t="s">
        <v>637</v>
      </c>
      <c r="B33" s="212" t="s">
        <v>636</v>
      </c>
      <c r="C33" s="212"/>
      <c r="D33" s="205">
        <v>130459.59999999999</v>
      </c>
      <c r="E33" s="205">
        <f>E34+E45+E48+E42</f>
        <v>128493.4</v>
      </c>
      <c r="F33" s="206">
        <f t="shared" si="1"/>
        <v>-1966.1999999999971</v>
      </c>
    </row>
    <row r="34" spans="1:6" x14ac:dyDescent="0.2">
      <c r="A34" s="202" t="s">
        <v>622</v>
      </c>
      <c r="B34" s="209" t="s">
        <v>635</v>
      </c>
      <c r="C34" s="209"/>
      <c r="D34" s="226">
        <v>14383.4</v>
      </c>
      <c r="E34" s="226">
        <f>E35+E37+E39</f>
        <v>12417.199999999999</v>
      </c>
      <c r="F34" s="228">
        <f t="shared" si="1"/>
        <v>-1966.2000000000007</v>
      </c>
    </row>
    <row r="35" spans="1:6" x14ac:dyDescent="0.2">
      <c r="A35" s="202" t="s">
        <v>1347</v>
      </c>
      <c r="B35" s="209" t="s">
        <v>635</v>
      </c>
      <c r="C35" s="209" t="s">
        <v>535</v>
      </c>
      <c r="D35" s="226">
        <v>78.3</v>
      </c>
      <c r="E35" s="226">
        <f>E36</f>
        <v>78.3</v>
      </c>
      <c r="F35" s="228">
        <f t="shared" si="1"/>
        <v>0</v>
      </c>
    </row>
    <row r="36" spans="1:6" x14ac:dyDescent="0.2">
      <c r="A36" s="202" t="s">
        <v>534</v>
      </c>
      <c r="B36" s="209" t="s">
        <v>635</v>
      </c>
      <c r="C36" s="209" t="s">
        <v>529</v>
      </c>
      <c r="D36" s="226">
        <v>78.3</v>
      </c>
      <c r="E36" s="226">
        <f>'Функциональная 2020'!H331</f>
        <v>78.3</v>
      </c>
      <c r="F36" s="228">
        <f t="shared" si="1"/>
        <v>0</v>
      </c>
    </row>
    <row r="37" spans="1:6" x14ac:dyDescent="0.2">
      <c r="A37" s="202" t="s">
        <v>553</v>
      </c>
      <c r="B37" s="209" t="s">
        <v>635</v>
      </c>
      <c r="C37" s="209" t="s">
        <v>552</v>
      </c>
      <c r="D37" s="226">
        <v>517.29999999999995</v>
      </c>
      <c r="E37" s="226">
        <f>E38</f>
        <v>517.29999999999995</v>
      </c>
      <c r="F37" s="228">
        <f t="shared" si="1"/>
        <v>0</v>
      </c>
    </row>
    <row r="38" spans="1:6" x14ac:dyDescent="0.2">
      <c r="A38" s="202" t="s">
        <v>621</v>
      </c>
      <c r="B38" s="209" t="s">
        <v>635</v>
      </c>
      <c r="C38" s="209" t="s">
        <v>619</v>
      </c>
      <c r="D38" s="226">
        <v>517.29999999999995</v>
      </c>
      <c r="E38" s="226">
        <f>'Функциональная 2020'!H333</f>
        <v>517.29999999999995</v>
      </c>
      <c r="F38" s="228">
        <f t="shared" si="1"/>
        <v>0</v>
      </c>
    </row>
    <row r="39" spans="1:6" x14ac:dyDescent="0.2">
      <c r="A39" s="202" t="s">
        <v>547</v>
      </c>
      <c r="B39" s="209" t="s">
        <v>635</v>
      </c>
      <c r="C39" s="209" t="s">
        <v>519</v>
      </c>
      <c r="D39" s="226">
        <v>13787.8</v>
      </c>
      <c r="E39" s="226">
        <f>E40+E41</f>
        <v>11821.599999999999</v>
      </c>
      <c r="F39" s="228">
        <f t="shared" si="1"/>
        <v>-1966.2000000000007</v>
      </c>
    </row>
    <row r="40" spans="1:6" x14ac:dyDescent="0.2">
      <c r="A40" s="202" t="s">
        <v>571</v>
      </c>
      <c r="B40" s="209" t="s">
        <v>635</v>
      </c>
      <c r="C40" s="209" t="s">
        <v>522</v>
      </c>
      <c r="D40" s="226">
        <v>10577.8</v>
      </c>
      <c r="E40" s="226">
        <f>'Функциональная 2020'!H1108</f>
        <v>8596.5999999999985</v>
      </c>
      <c r="F40" s="228">
        <f t="shared" si="1"/>
        <v>-1981.2000000000007</v>
      </c>
    </row>
    <row r="41" spans="1:6" x14ac:dyDescent="0.2">
      <c r="A41" s="202" t="s">
        <v>546</v>
      </c>
      <c r="B41" s="209" t="s">
        <v>635</v>
      </c>
      <c r="C41" s="209" t="s">
        <v>544</v>
      </c>
      <c r="D41" s="226">
        <v>3210</v>
      </c>
      <c r="E41" s="226">
        <f>'Функциональная 2020'!H1109</f>
        <v>3225</v>
      </c>
      <c r="F41" s="228">
        <f t="shared" si="1"/>
        <v>15</v>
      </c>
    </row>
    <row r="42" spans="1:6" s="285" customFormat="1" x14ac:dyDescent="0.2">
      <c r="A42" s="202" t="s">
        <v>1397</v>
      </c>
      <c r="B42" s="209" t="s">
        <v>1398</v>
      </c>
      <c r="C42" s="209"/>
      <c r="D42" s="226">
        <v>100</v>
      </c>
      <c r="E42" s="226">
        <f>E43</f>
        <v>100</v>
      </c>
      <c r="F42" s="228">
        <f t="shared" si="1"/>
        <v>0</v>
      </c>
    </row>
    <row r="43" spans="1:6" s="285" customFormat="1" x14ac:dyDescent="0.2">
      <c r="A43" s="202" t="s">
        <v>547</v>
      </c>
      <c r="B43" s="209" t="s">
        <v>1398</v>
      </c>
      <c r="C43" s="209" t="s">
        <v>519</v>
      </c>
      <c r="D43" s="226">
        <v>100</v>
      </c>
      <c r="E43" s="226">
        <f>E44</f>
        <v>100</v>
      </c>
      <c r="F43" s="228">
        <f t="shared" si="1"/>
        <v>0</v>
      </c>
    </row>
    <row r="44" spans="1:6" s="285" customFormat="1" x14ac:dyDescent="0.2">
      <c r="A44" s="202" t="s">
        <v>546</v>
      </c>
      <c r="B44" s="209" t="s">
        <v>1398</v>
      </c>
      <c r="C44" s="209" t="s">
        <v>544</v>
      </c>
      <c r="D44" s="226">
        <v>100</v>
      </c>
      <c r="E44" s="226">
        <f>'Функциональная 2020'!H336</f>
        <v>100</v>
      </c>
      <c r="F44" s="228">
        <f t="shared" si="1"/>
        <v>0</v>
      </c>
    </row>
    <row r="45" spans="1:6" x14ac:dyDescent="0.2">
      <c r="A45" s="202" t="s">
        <v>634</v>
      </c>
      <c r="B45" s="209" t="s">
        <v>633</v>
      </c>
      <c r="C45" s="209"/>
      <c r="D45" s="226">
        <v>109258.4</v>
      </c>
      <c r="E45" s="226">
        <f>E46</f>
        <v>109258.4</v>
      </c>
      <c r="F45" s="228">
        <f t="shared" si="1"/>
        <v>0</v>
      </c>
    </row>
    <row r="46" spans="1:6" x14ac:dyDescent="0.2">
      <c r="A46" s="202" t="s">
        <v>547</v>
      </c>
      <c r="B46" s="209" t="s">
        <v>633</v>
      </c>
      <c r="C46" s="209" t="s">
        <v>519</v>
      </c>
      <c r="D46" s="226">
        <v>109258.4</v>
      </c>
      <c r="E46" s="226">
        <f>E47</f>
        <v>109258.4</v>
      </c>
      <c r="F46" s="228">
        <f t="shared" si="1"/>
        <v>0</v>
      </c>
    </row>
    <row r="47" spans="1:6" x14ac:dyDescent="0.2">
      <c r="A47" s="202" t="s">
        <v>571</v>
      </c>
      <c r="B47" s="209" t="s">
        <v>633</v>
      </c>
      <c r="C47" s="209" t="s">
        <v>522</v>
      </c>
      <c r="D47" s="226">
        <v>109258.4</v>
      </c>
      <c r="E47" s="226">
        <f>'Функциональная 2020'!H1112</f>
        <v>109258.4</v>
      </c>
      <c r="F47" s="228">
        <f t="shared" si="1"/>
        <v>0</v>
      </c>
    </row>
    <row r="48" spans="1:6" ht="22.5" x14ac:dyDescent="0.2">
      <c r="A48" s="202" t="s">
        <v>632</v>
      </c>
      <c r="B48" s="209" t="s">
        <v>631</v>
      </c>
      <c r="C48" s="209"/>
      <c r="D48" s="226">
        <v>6717.8</v>
      </c>
      <c r="E48" s="226">
        <f>E49</f>
        <v>6717.8</v>
      </c>
      <c r="F48" s="228">
        <f t="shared" si="1"/>
        <v>0</v>
      </c>
    </row>
    <row r="49" spans="1:6" x14ac:dyDescent="0.2">
      <c r="A49" s="202" t="s">
        <v>547</v>
      </c>
      <c r="B49" s="209" t="s">
        <v>631</v>
      </c>
      <c r="C49" s="209" t="s">
        <v>519</v>
      </c>
      <c r="D49" s="226">
        <v>6717.8</v>
      </c>
      <c r="E49" s="226">
        <f>E50</f>
        <v>6717.8</v>
      </c>
      <c r="F49" s="228">
        <f t="shared" si="1"/>
        <v>0</v>
      </c>
    </row>
    <row r="50" spans="1:6" x14ac:dyDescent="0.2">
      <c r="A50" s="202" t="s">
        <v>571</v>
      </c>
      <c r="B50" s="209" t="s">
        <v>631</v>
      </c>
      <c r="C50" s="209" t="s">
        <v>522</v>
      </c>
      <c r="D50" s="226">
        <v>6717.8</v>
      </c>
      <c r="E50" s="226">
        <f>'Функциональная 2020'!H1115</f>
        <v>6717.8</v>
      </c>
      <c r="F50" s="228">
        <f t="shared" si="1"/>
        <v>0</v>
      </c>
    </row>
    <row r="51" spans="1:6" x14ac:dyDescent="0.2">
      <c r="A51" s="199" t="s">
        <v>630</v>
      </c>
      <c r="B51" s="212" t="s">
        <v>629</v>
      </c>
      <c r="C51" s="212"/>
      <c r="D51" s="205">
        <v>290</v>
      </c>
      <c r="E51" s="205">
        <f>E52</f>
        <v>290</v>
      </c>
      <c r="F51" s="206">
        <f t="shared" si="1"/>
        <v>0</v>
      </c>
    </row>
    <row r="52" spans="1:6" x14ac:dyDescent="0.2">
      <c r="A52" s="202" t="s">
        <v>628</v>
      </c>
      <c r="B52" s="209" t="s">
        <v>627</v>
      </c>
      <c r="C52" s="209"/>
      <c r="D52" s="226">
        <v>290</v>
      </c>
      <c r="E52" s="226">
        <f>E53+E55</f>
        <v>290</v>
      </c>
      <c r="F52" s="228">
        <f t="shared" si="1"/>
        <v>0</v>
      </c>
    </row>
    <row r="53" spans="1:6" x14ac:dyDescent="0.2">
      <c r="A53" s="202" t="s">
        <v>1347</v>
      </c>
      <c r="B53" s="209" t="s">
        <v>627</v>
      </c>
      <c r="C53" s="209" t="s">
        <v>535</v>
      </c>
      <c r="D53" s="226">
        <v>25</v>
      </c>
      <c r="E53" s="226">
        <f>E54</f>
        <v>25</v>
      </c>
      <c r="F53" s="228">
        <f t="shared" si="1"/>
        <v>0</v>
      </c>
    </row>
    <row r="54" spans="1:6" x14ac:dyDescent="0.2">
      <c r="A54" s="202" t="s">
        <v>534</v>
      </c>
      <c r="B54" s="209" t="s">
        <v>627</v>
      </c>
      <c r="C54" s="209" t="s">
        <v>529</v>
      </c>
      <c r="D54" s="226">
        <v>25</v>
      </c>
      <c r="E54" s="226">
        <f>'Функциональная 2020'!H1119</f>
        <v>25</v>
      </c>
      <c r="F54" s="228">
        <f t="shared" si="1"/>
        <v>0</v>
      </c>
    </row>
    <row r="55" spans="1:6" x14ac:dyDescent="0.2">
      <c r="A55" s="202" t="s">
        <v>553</v>
      </c>
      <c r="B55" s="209" t="s">
        <v>627</v>
      </c>
      <c r="C55" s="209" t="s">
        <v>552</v>
      </c>
      <c r="D55" s="226">
        <v>265</v>
      </c>
      <c r="E55" s="226">
        <f>E56</f>
        <v>265</v>
      </c>
      <c r="F55" s="228">
        <f t="shared" si="1"/>
        <v>0</v>
      </c>
    </row>
    <row r="56" spans="1:6" x14ac:dyDescent="0.2">
      <c r="A56" s="202" t="s">
        <v>621</v>
      </c>
      <c r="B56" s="209" t="s">
        <v>627</v>
      </c>
      <c r="C56" s="209" t="s">
        <v>619</v>
      </c>
      <c r="D56" s="226">
        <v>265</v>
      </c>
      <c r="E56" s="226">
        <f>'Функциональная 2020'!H1121</f>
        <v>265</v>
      </c>
      <c r="F56" s="228">
        <f t="shared" si="1"/>
        <v>0</v>
      </c>
    </row>
    <row r="57" spans="1:6" x14ac:dyDescent="0.2">
      <c r="A57" s="199" t="s">
        <v>1357</v>
      </c>
      <c r="B57" s="212" t="s">
        <v>1358</v>
      </c>
      <c r="C57" s="212"/>
      <c r="D57" s="205">
        <v>258995.9</v>
      </c>
      <c r="E57" s="205">
        <f>E58</f>
        <v>261000.9</v>
      </c>
      <c r="F57" s="206">
        <f t="shared" si="1"/>
        <v>2005</v>
      </c>
    </row>
    <row r="58" spans="1:6" x14ac:dyDescent="0.2">
      <c r="A58" s="202" t="s">
        <v>625</v>
      </c>
      <c r="B58" s="209" t="s">
        <v>1359</v>
      </c>
      <c r="C58" s="209"/>
      <c r="D58" s="226">
        <v>258995.9</v>
      </c>
      <c r="E58" s="226">
        <f>E59+E61</f>
        <v>261000.9</v>
      </c>
      <c r="F58" s="228">
        <f t="shared" si="1"/>
        <v>2005</v>
      </c>
    </row>
    <row r="59" spans="1:6" x14ac:dyDescent="0.2">
      <c r="A59" s="202" t="s">
        <v>1347</v>
      </c>
      <c r="B59" s="209" t="s">
        <v>1359</v>
      </c>
      <c r="C59" s="209" t="s">
        <v>535</v>
      </c>
      <c r="D59" s="226">
        <v>1708.1</v>
      </c>
      <c r="E59" s="226">
        <f>E60</f>
        <v>1708.1</v>
      </c>
      <c r="F59" s="228">
        <f t="shared" si="1"/>
        <v>0</v>
      </c>
    </row>
    <row r="60" spans="1:6" x14ac:dyDescent="0.2">
      <c r="A60" s="202" t="s">
        <v>534</v>
      </c>
      <c r="B60" s="209" t="s">
        <v>1359</v>
      </c>
      <c r="C60" s="209" t="s">
        <v>529</v>
      </c>
      <c r="D60" s="226">
        <v>1708.1</v>
      </c>
      <c r="E60" s="226">
        <f>'Функциональная 2020'!H1125</f>
        <v>1708.1</v>
      </c>
      <c r="F60" s="228">
        <f t="shared" si="1"/>
        <v>0</v>
      </c>
    </row>
    <row r="61" spans="1:6" x14ac:dyDescent="0.2">
      <c r="A61" s="202" t="s">
        <v>547</v>
      </c>
      <c r="B61" s="209" t="s">
        <v>1359</v>
      </c>
      <c r="C61" s="209" t="s">
        <v>519</v>
      </c>
      <c r="D61" s="226">
        <v>257287.8</v>
      </c>
      <c r="E61" s="226">
        <f>E62+E63</f>
        <v>259292.79999999999</v>
      </c>
      <c r="F61" s="228">
        <f t="shared" si="1"/>
        <v>2005</v>
      </c>
    </row>
    <row r="62" spans="1:6" x14ac:dyDescent="0.2">
      <c r="A62" s="202" t="s">
        <v>571</v>
      </c>
      <c r="B62" s="209" t="s">
        <v>1359</v>
      </c>
      <c r="C62" s="209" t="s">
        <v>522</v>
      </c>
      <c r="D62" s="226">
        <v>178810.3</v>
      </c>
      <c r="E62" s="226">
        <f>'Функциональная 2020'!H1127</f>
        <v>164187.69999999998</v>
      </c>
      <c r="F62" s="228">
        <f t="shared" si="1"/>
        <v>-14622.600000000006</v>
      </c>
    </row>
    <row r="63" spans="1:6" x14ac:dyDescent="0.2">
      <c r="A63" s="202" t="s">
        <v>546</v>
      </c>
      <c r="B63" s="209" t="s">
        <v>1359</v>
      </c>
      <c r="C63" s="209" t="s">
        <v>544</v>
      </c>
      <c r="D63" s="226">
        <v>78477.5</v>
      </c>
      <c r="E63" s="226">
        <f>'Функциональная 2020'!H1128</f>
        <v>95105.1</v>
      </c>
      <c r="F63" s="228">
        <f t="shared" si="1"/>
        <v>16627.600000000006</v>
      </c>
    </row>
    <row r="64" spans="1:6" x14ac:dyDescent="0.2">
      <c r="A64" s="199" t="s">
        <v>1267</v>
      </c>
      <c r="B64" s="212" t="s">
        <v>1266</v>
      </c>
      <c r="C64" s="212"/>
      <c r="D64" s="205">
        <v>4752</v>
      </c>
      <c r="E64" s="205">
        <f>E65+E69</f>
        <v>4752</v>
      </c>
      <c r="F64" s="206">
        <f t="shared" si="1"/>
        <v>0</v>
      </c>
    </row>
    <row r="65" spans="1:6" ht="22.5" x14ac:dyDescent="0.2">
      <c r="A65" s="199" t="s">
        <v>1265</v>
      </c>
      <c r="B65" s="212" t="s">
        <v>1264</v>
      </c>
      <c r="C65" s="212"/>
      <c r="D65" s="205">
        <v>400</v>
      </c>
      <c r="E65" s="205">
        <f>E66</f>
        <v>400</v>
      </c>
      <c r="F65" s="206">
        <f t="shared" si="1"/>
        <v>0</v>
      </c>
    </row>
    <row r="66" spans="1:6" x14ac:dyDescent="0.2">
      <c r="A66" s="202" t="s">
        <v>1263</v>
      </c>
      <c r="B66" s="209" t="s">
        <v>1262</v>
      </c>
      <c r="C66" s="209"/>
      <c r="D66" s="226">
        <v>400</v>
      </c>
      <c r="E66" s="226">
        <f>E67</f>
        <v>400</v>
      </c>
      <c r="F66" s="228">
        <f t="shared" si="1"/>
        <v>0</v>
      </c>
    </row>
    <row r="67" spans="1:6" x14ac:dyDescent="0.2">
      <c r="A67" s="202" t="s">
        <v>1347</v>
      </c>
      <c r="B67" s="209" t="s">
        <v>1262</v>
      </c>
      <c r="C67" s="209" t="s">
        <v>535</v>
      </c>
      <c r="D67" s="226">
        <v>400</v>
      </c>
      <c r="E67" s="226">
        <f>E68</f>
        <v>400</v>
      </c>
      <c r="F67" s="228">
        <f t="shared" si="1"/>
        <v>0</v>
      </c>
    </row>
    <row r="68" spans="1:6" x14ac:dyDescent="0.2">
      <c r="A68" s="202" t="s">
        <v>534</v>
      </c>
      <c r="B68" s="209" t="s">
        <v>1262</v>
      </c>
      <c r="C68" s="209" t="s">
        <v>529</v>
      </c>
      <c r="D68" s="226">
        <v>400</v>
      </c>
      <c r="E68" s="226">
        <f>'Функциональная 2020'!H37</f>
        <v>400</v>
      </c>
      <c r="F68" s="228">
        <f t="shared" si="1"/>
        <v>0</v>
      </c>
    </row>
    <row r="69" spans="1:6" ht="22.5" x14ac:dyDescent="0.2">
      <c r="A69" s="199" t="s">
        <v>1261</v>
      </c>
      <c r="B69" s="212" t="s">
        <v>1260</v>
      </c>
      <c r="C69" s="212"/>
      <c r="D69" s="205">
        <v>4352</v>
      </c>
      <c r="E69" s="205">
        <f>E70+E75</f>
        <v>4352</v>
      </c>
      <c r="F69" s="206">
        <f t="shared" si="1"/>
        <v>0</v>
      </c>
    </row>
    <row r="70" spans="1:6" ht="22.5" x14ac:dyDescent="0.2">
      <c r="A70" s="202" t="s">
        <v>1259</v>
      </c>
      <c r="B70" s="209" t="s">
        <v>1258</v>
      </c>
      <c r="C70" s="209"/>
      <c r="D70" s="226">
        <v>4277</v>
      </c>
      <c r="E70" s="226">
        <f>E71+E73</f>
        <v>4277</v>
      </c>
      <c r="F70" s="228">
        <f t="shared" si="1"/>
        <v>0</v>
      </c>
    </row>
    <row r="71" spans="1:6" ht="22.5" x14ac:dyDescent="0.2">
      <c r="A71" s="202" t="s">
        <v>1348</v>
      </c>
      <c r="B71" s="209" t="s">
        <v>1258</v>
      </c>
      <c r="C71" s="209" t="s">
        <v>556</v>
      </c>
      <c r="D71" s="226">
        <v>3977</v>
      </c>
      <c r="E71" s="226">
        <f>E72</f>
        <v>3977</v>
      </c>
      <c r="F71" s="228">
        <f t="shared" si="1"/>
        <v>0</v>
      </c>
    </row>
    <row r="72" spans="1:6" x14ac:dyDescent="0.2">
      <c r="A72" s="202" t="s">
        <v>749</v>
      </c>
      <c r="B72" s="209" t="s">
        <v>1258</v>
      </c>
      <c r="C72" s="209" t="s">
        <v>745</v>
      </c>
      <c r="D72" s="226">
        <v>3977</v>
      </c>
      <c r="E72" s="226">
        <f>'Функциональная 2020'!H41</f>
        <v>3977</v>
      </c>
      <c r="F72" s="228">
        <f t="shared" si="1"/>
        <v>0</v>
      </c>
    </row>
    <row r="73" spans="1:6" s="404" customFormat="1" x14ac:dyDescent="0.2">
      <c r="A73" s="202" t="s">
        <v>1347</v>
      </c>
      <c r="B73" s="209" t="s">
        <v>1258</v>
      </c>
      <c r="C73" s="209" t="s">
        <v>535</v>
      </c>
      <c r="D73" s="226">
        <v>300</v>
      </c>
      <c r="E73" s="226">
        <f>E74</f>
        <v>300</v>
      </c>
      <c r="F73" s="228">
        <f t="shared" si="1"/>
        <v>0</v>
      </c>
    </row>
    <row r="74" spans="1:6" s="404" customFormat="1" x14ac:dyDescent="0.2">
      <c r="A74" s="202" t="s">
        <v>534</v>
      </c>
      <c r="B74" s="209" t="s">
        <v>1258</v>
      </c>
      <c r="C74" s="209" t="s">
        <v>529</v>
      </c>
      <c r="D74" s="226">
        <v>300</v>
      </c>
      <c r="E74" s="226">
        <f>'Функциональная 2020'!H43</f>
        <v>300</v>
      </c>
      <c r="F74" s="228">
        <f t="shared" si="1"/>
        <v>0</v>
      </c>
    </row>
    <row r="75" spans="1:6" ht="33.75" x14ac:dyDescent="0.2">
      <c r="A75" s="202" t="s">
        <v>1257</v>
      </c>
      <c r="B75" s="209" t="s">
        <v>1256</v>
      </c>
      <c r="C75" s="209"/>
      <c r="D75" s="226">
        <v>75</v>
      </c>
      <c r="E75" s="226">
        <f>E76</f>
        <v>75</v>
      </c>
      <c r="F75" s="228">
        <f t="shared" si="1"/>
        <v>0</v>
      </c>
    </row>
    <row r="76" spans="1:6" x14ac:dyDescent="0.2">
      <c r="A76" s="202" t="s">
        <v>1347</v>
      </c>
      <c r="B76" s="209" t="s">
        <v>1256</v>
      </c>
      <c r="C76" s="209" t="s">
        <v>535</v>
      </c>
      <c r="D76" s="226">
        <v>75</v>
      </c>
      <c r="E76" s="226">
        <f>E77</f>
        <v>75</v>
      </c>
      <c r="F76" s="228">
        <f t="shared" si="1"/>
        <v>0</v>
      </c>
    </row>
    <row r="77" spans="1:6" x14ac:dyDescent="0.2">
      <c r="A77" s="202" t="s">
        <v>534</v>
      </c>
      <c r="B77" s="209" t="s">
        <v>1256</v>
      </c>
      <c r="C77" s="209" t="s">
        <v>529</v>
      </c>
      <c r="D77" s="226">
        <v>75</v>
      </c>
      <c r="E77" s="226">
        <f>'Функциональная 2020'!H46</f>
        <v>75</v>
      </c>
      <c r="F77" s="228">
        <f t="shared" si="1"/>
        <v>0</v>
      </c>
    </row>
    <row r="78" spans="1:6" x14ac:dyDescent="0.2">
      <c r="A78" s="199" t="s">
        <v>602</v>
      </c>
      <c r="B78" s="212" t="s">
        <v>624</v>
      </c>
      <c r="C78" s="212"/>
      <c r="D78" s="205">
        <v>4078.2</v>
      </c>
      <c r="E78" s="205">
        <f>E79</f>
        <v>3664</v>
      </c>
      <c r="F78" s="206">
        <f t="shared" si="1"/>
        <v>-414.19999999999982</v>
      </c>
    </row>
    <row r="79" spans="1:6" x14ac:dyDescent="0.2">
      <c r="A79" s="199" t="s">
        <v>600</v>
      </c>
      <c r="B79" s="212" t="s">
        <v>623</v>
      </c>
      <c r="C79" s="212"/>
      <c r="D79" s="205">
        <v>4078.2</v>
      </c>
      <c r="E79" s="205">
        <f>E80</f>
        <v>3664</v>
      </c>
      <c r="F79" s="206">
        <f t="shared" si="1"/>
        <v>-414.19999999999982</v>
      </c>
    </row>
    <row r="80" spans="1:6" x14ac:dyDescent="0.2">
      <c r="A80" s="202" t="s">
        <v>622</v>
      </c>
      <c r="B80" s="209" t="s">
        <v>620</v>
      </c>
      <c r="C80" s="209"/>
      <c r="D80" s="226">
        <v>4078.2</v>
      </c>
      <c r="E80" s="226">
        <f>E81+E83</f>
        <v>3664</v>
      </c>
      <c r="F80" s="228">
        <f t="shared" si="1"/>
        <v>-414.19999999999982</v>
      </c>
    </row>
    <row r="81" spans="1:6" x14ac:dyDescent="0.2">
      <c r="A81" s="202" t="s">
        <v>1347</v>
      </c>
      <c r="B81" s="209" t="s">
        <v>620</v>
      </c>
      <c r="C81" s="209" t="s">
        <v>535</v>
      </c>
      <c r="D81" s="226">
        <v>1718.2</v>
      </c>
      <c r="E81" s="226">
        <f>E82</f>
        <v>1288.2</v>
      </c>
      <c r="F81" s="228">
        <f t="shared" si="1"/>
        <v>-430</v>
      </c>
    </row>
    <row r="82" spans="1:6" x14ac:dyDescent="0.2">
      <c r="A82" s="202" t="s">
        <v>534</v>
      </c>
      <c r="B82" s="209" t="s">
        <v>620</v>
      </c>
      <c r="C82" s="209" t="s">
        <v>529</v>
      </c>
      <c r="D82" s="226">
        <v>1718.2</v>
      </c>
      <c r="E82" s="226">
        <f>'Функциональная 2020'!H1133</f>
        <v>1288.2</v>
      </c>
      <c r="F82" s="228">
        <f t="shared" si="1"/>
        <v>-430</v>
      </c>
    </row>
    <row r="83" spans="1:6" x14ac:dyDescent="0.2">
      <c r="A83" s="202" t="s">
        <v>553</v>
      </c>
      <c r="B83" s="209" t="s">
        <v>620</v>
      </c>
      <c r="C83" s="209" t="s">
        <v>552</v>
      </c>
      <c r="D83" s="226">
        <v>2360</v>
      </c>
      <c r="E83" s="226">
        <f>E84</f>
        <v>2375.8000000000002</v>
      </c>
      <c r="F83" s="228">
        <f t="shared" ref="F83:F173" si="2">E83-D83</f>
        <v>15.800000000000182</v>
      </c>
    </row>
    <row r="84" spans="1:6" x14ac:dyDescent="0.2">
      <c r="A84" s="202" t="s">
        <v>621</v>
      </c>
      <c r="B84" s="209" t="s">
        <v>620</v>
      </c>
      <c r="C84" s="209" t="s">
        <v>619</v>
      </c>
      <c r="D84" s="226">
        <v>2360</v>
      </c>
      <c r="E84" s="226">
        <f>'Функциональная 2020'!H1135</f>
        <v>2375.8000000000002</v>
      </c>
      <c r="F84" s="228">
        <f t="shared" si="2"/>
        <v>15.800000000000182</v>
      </c>
    </row>
    <row r="85" spans="1:6" x14ac:dyDescent="0.2">
      <c r="A85" s="199" t="s">
        <v>666</v>
      </c>
      <c r="B85" s="212" t="s">
        <v>665</v>
      </c>
      <c r="C85" s="212"/>
      <c r="D85" s="205">
        <v>5692203.5</v>
      </c>
      <c r="E85" s="205">
        <f>E86+E119+E172+E188</f>
        <v>6002016.2000000002</v>
      </c>
      <c r="F85" s="206">
        <f t="shared" si="2"/>
        <v>309812.70000000019</v>
      </c>
    </row>
    <row r="86" spans="1:6" x14ac:dyDescent="0.2">
      <c r="A86" s="199" t="s">
        <v>664</v>
      </c>
      <c r="B86" s="212" t="s">
        <v>663</v>
      </c>
      <c r="C86" s="212"/>
      <c r="D86" s="205">
        <v>2189206.5</v>
      </c>
      <c r="E86" s="205">
        <f>E87+E112</f>
        <v>2186594.2000000002</v>
      </c>
      <c r="F86" s="206">
        <f t="shared" si="2"/>
        <v>-2612.2999999998137</v>
      </c>
    </row>
    <row r="87" spans="1:6" ht="22.5" x14ac:dyDescent="0.2">
      <c r="A87" s="199" t="s">
        <v>662</v>
      </c>
      <c r="B87" s="212" t="s">
        <v>661</v>
      </c>
      <c r="C87" s="212"/>
      <c r="D87" s="205">
        <v>2174400.2999999998</v>
      </c>
      <c r="E87" s="205">
        <f>E88+E94+E98+E101+E108</f>
        <v>2167930</v>
      </c>
      <c r="F87" s="206">
        <f t="shared" si="2"/>
        <v>-6470.2999999998137</v>
      </c>
    </row>
    <row r="88" spans="1:6" x14ac:dyDescent="0.2">
      <c r="A88" s="202" t="s">
        <v>727</v>
      </c>
      <c r="B88" s="209" t="s">
        <v>726</v>
      </c>
      <c r="C88" s="209"/>
      <c r="D88" s="226">
        <v>465470</v>
      </c>
      <c r="E88" s="226">
        <f>E89+E91</f>
        <v>487115.69999999995</v>
      </c>
      <c r="F88" s="228">
        <f t="shared" si="2"/>
        <v>21645.699999999953</v>
      </c>
    </row>
    <row r="89" spans="1:6" x14ac:dyDescent="0.2">
      <c r="A89" s="202" t="s">
        <v>1347</v>
      </c>
      <c r="B89" s="209" t="s">
        <v>726</v>
      </c>
      <c r="C89" s="209" t="s">
        <v>535</v>
      </c>
      <c r="D89" s="226">
        <v>13464.1</v>
      </c>
      <c r="E89" s="226">
        <f>E90</f>
        <v>13464.1</v>
      </c>
      <c r="F89" s="228">
        <f t="shared" si="2"/>
        <v>0</v>
      </c>
    </row>
    <row r="90" spans="1:6" x14ac:dyDescent="0.2">
      <c r="A90" s="202" t="s">
        <v>534</v>
      </c>
      <c r="B90" s="209" t="s">
        <v>726</v>
      </c>
      <c r="C90" s="209" t="s">
        <v>529</v>
      </c>
      <c r="D90" s="226">
        <v>13464.1</v>
      </c>
      <c r="E90" s="226">
        <f>'Функциональная 2020'!H891</f>
        <v>13464.1</v>
      </c>
      <c r="F90" s="228">
        <f t="shared" si="2"/>
        <v>0</v>
      </c>
    </row>
    <row r="91" spans="1:6" x14ac:dyDescent="0.2">
      <c r="A91" s="202" t="s">
        <v>547</v>
      </c>
      <c r="B91" s="209" t="s">
        <v>726</v>
      </c>
      <c r="C91" s="209" t="s">
        <v>519</v>
      </c>
      <c r="D91" s="226">
        <v>452005.9</v>
      </c>
      <c r="E91" s="226">
        <f>E92+E93</f>
        <v>473651.6</v>
      </c>
      <c r="F91" s="228">
        <f t="shared" si="2"/>
        <v>21645.699999999953</v>
      </c>
    </row>
    <row r="92" spans="1:6" x14ac:dyDescent="0.2">
      <c r="A92" s="202" t="s">
        <v>571</v>
      </c>
      <c r="B92" s="209" t="s">
        <v>726</v>
      </c>
      <c r="C92" s="209" t="s">
        <v>522</v>
      </c>
      <c r="D92" s="226">
        <v>393000.5</v>
      </c>
      <c r="E92" s="226">
        <f>'Функциональная 2020'!H893</f>
        <v>410027.6</v>
      </c>
      <c r="F92" s="228">
        <f t="shared" si="2"/>
        <v>17027.099999999977</v>
      </c>
    </row>
    <row r="93" spans="1:6" x14ac:dyDescent="0.2">
      <c r="A93" s="202" t="s">
        <v>546</v>
      </c>
      <c r="B93" s="209" t="s">
        <v>726</v>
      </c>
      <c r="C93" s="209" t="s">
        <v>544</v>
      </c>
      <c r="D93" s="226">
        <v>59005.4</v>
      </c>
      <c r="E93" s="226">
        <f>'Функциональная 2020'!H894</f>
        <v>63624</v>
      </c>
      <c r="F93" s="228">
        <f t="shared" si="2"/>
        <v>4618.5999999999985</v>
      </c>
    </row>
    <row r="94" spans="1:6" ht="45" x14ac:dyDescent="0.2">
      <c r="A94" s="202" t="s">
        <v>725</v>
      </c>
      <c r="B94" s="209" t="s">
        <v>724</v>
      </c>
      <c r="C94" s="209"/>
      <c r="D94" s="226">
        <v>1501775</v>
      </c>
      <c r="E94" s="226">
        <f>E95</f>
        <v>1490318</v>
      </c>
      <c r="F94" s="228">
        <f t="shared" si="2"/>
        <v>-11457</v>
      </c>
    </row>
    <row r="95" spans="1:6" x14ac:dyDescent="0.2">
      <c r="A95" s="202" t="s">
        <v>547</v>
      </c>
      <c r="B95" s="209" t="s">
        <v>724</v>
      </c>
      <c r="C95" s="209" t="s">
        <v>519</v>
      </c>
      <c r="D95" s="226">
        <v>1501775</v>
      </c>
      <c r="E95" s="226">
        <f>E96+E97</f>
        <v>1490318</v>
      </c>
      <c r="F95" s="228">
        <f t="shared" si="2"/>
        <v>-11457</v>
      </c>
    </row>
    <row r="96" spans="1:6" x14ac:dyDescent="0.2">
      <c r="A96" s="202" t="s">
        <v>571</v>
      </c>
      <c r="B96" s="209" t="s">
        <v>724</v>
      </c>
      <c r="C96" s="209" t="s">
        <v>522</v>
      </c>
      <c r="D96" s="226">
        <v>1314562</v>
      </c>
      <c r="E96" s="226">
        <f>'Функциональная 2020'!H897</f>
        <v>1302932</v>
      </c>
      <c r="F96" s="228">
        <f t="shared" si="2"/>
        <v>-11630</v>
      </c>
    </row>
    <row r="97" spans="1:6" x14ac:dyDescent="0.2">
      <c r="A97" s="202" t="s">
        <v>546</v>
      </c>
      <c r="B97" s="209" t="s">
        <v>724</v>
      </c>
      <c r="C97" s="209" t="s">
        <v>544</v>
      </c>
      <c r="D97" s="226">
        <v>187213</v>
      </c>
      <c r="E97" s="226">
        <f>'Функциональная 2020'!H898</f>
        <v>187386</v>
      </c>
      <c r="F97" s="228">
        <f t="shared" si="2"/>
        <v>173</v>
      </c>
    </row>
    <row r="98" spans="1:6" ht="33.75" x14ac:dyDescent="0.2">
      <c r="A98" s="202" t="s">
        <v>723</v>
      </c>
      <c r="B98" s="209" t="s">
        <v>722</v>
      </c>
      <c r="C98" s="209"/>
      <c r="D98" s="226">
        <v>29989</v>
      </c>
      <c r="E98" s="226">
        <f>E99</f>
        <v>55557</v>
      </c>
      <c r="F98" s="228">
        <f t="shared" si="2"/>
        <v>25568</v>
      </c>
    </row>
    <row r="99" spans="1:6" x14ac:dyDescent="0.2">
      <c r="A99" s="202" t="s">
        <v>547</v>
      </c>
      <c r="B99" s="209" t="s">
        <v>722</v>
      </c>
      <c r="C99" s="209" t="s">
        <v>519</v>
      </c>
      <c r="D99" s="226">
        <v>29989</v>
      </c>
      <c r="E99" s="226">
        <f>E100</f>
        <v>55557</v>
      </c>
      <c r="F99" s="228">
        <f t="shared" si="2"/>
        <v>25568</v>
      </c>
    </row>
    <row r="100" spans="1:6" x14ac:dyDescent="0.2">
      <c r="A100" s="202" t="s">
        <v>705</v>
      </c>
      <c r="B100" s="209" t="s">
        <v>722</v>
      </c>
      <c r="C100" s="209" t="s">
        <v>703</v>
      </c>
      <c r="D100" s="226">
        <v>29989</v>
      </c>
      <c r="E100" s="226">
        <f>'Функциональная 2020'!H901</f>
        <v>55557</v>
      </c>
      <c r="F100" s="228">
        <f t="shared" si="2"/>
        <v>25568</v>
      </c>
    </row>
    <row r="101" spans="1:6" ht="22.5" x14ac:dyDescent="0.2">
      <c r="A101" s="202" t="s">
        <v>660</v>
      </c>
      <c r="B101" s="209" t="s">
        <v>656</v>
      </c>
      <c r="C101" s="209"/>
      <c r="D101" s="226">
        <v>111276</v>
      </c>
      <c r="E101" s="226">
        <f>E102+E104+E106</f>
        <v>93504</v>
      </c>
      <c r="F101" s="228">
        <f t="shared" si="2"/>
        <v>-17772</v>
      </c>
    </row>
    <row r="102" spans="1:6" ht="22.5" x14ac:dyDescent="0.2">
      <c r="A102" s="202" t="s">
        <v>1348</v>
      </c>
      <c r="B102" s="209" t="s">
        <v>656</v>
      </c>
      <c r="C102" s="209" t="s">
        <v>556</v>
      </c>
      <c r="D102" s="226">
        <v>4653</v>
      </c>
      <c r="E102" s="226">
        <f>E103</f>
        <v>4653</v>
      </c>
      <c r="F102" s="228">
        <f t="shared" si="2"/>
        <v>0</v>
      </c>
    </row>
    <row r="103" spans="1:6" x14ac:dyDescent="0.2">
      <c r="A103" s="202" t="s">
        <v>555</v>
      </c>
      <c r="B103" s="209" t="s">
        <v>656</v>
      </c>
      <c r="C103" s="209" t="s">
        <v>554</v>
      </c>
      <c r="D103" s="226">
        <v>4653</v>
      </c>
      <c r="E103" s="226">
        <f>'Функциональная 2020'!H153</f>
        <v>4653</v>
      </c>
      <c r="F103" s="228">
        <f t="shared" si="2"/>
        <v>0</v>
      </c>
    </row>
    <row r="104" spans="1:6" x14ac:dyDescent="0.2">
      <c r="A104" s="202" t="s">
        <v>1347</v>
      </c>
      <c r="B104" s="209" t="s">
        <v>656</v>
      </c>
      <c r="C104" s="209" t="s">
        <v>535</v>
      </c>
      <c r="D104" s="226">
        <v>1056</v>
      </c>
      <c r="E104" s="226">
        <f>E105</f>
        <v>880</v>
      </c>
      <c r="F104" s="228">
        <f t="shared" si="2"/>
        <v>-176</v>
      </c>
    </row>
    <row r="105" spans="1:6" x14ac:dyDescent="0.2">
      <c r="A105" s="202" t="s">
        <v>534</v>
      </c>
      <c r="B105" s="209" t="s">
        <v>656</v>
      </c>
      <c r="C105" s="209" t="s">
        <v>529</v>
      </c>
      <c r="D105" s="226">
        <v>1056</v>
      </c>
      <c r="E105" s="226">
        <f>'Функциональная 2020'!H1203</f>
        <v>880</v>
      </c>
      <c r="F105" s="228">
        <f t="shared" si="2"/>
        <v>-176</v>
      </c>
    </row>
    <row r="106" spans="1:6" x14ac:dyDescent="0.2">
      <c r="A106" s="202" t="s">
        <v>553</v>
      </c>
      <c r="B106" s="209" t="s">
        <v>656</v>
      </c>
      <c r="C106" s="209" t="s">
        <v>552</v>
      </c>
      <c r="D106" s="226">
        <v>105567</v>
      </c>
      <c r="E106" s="226">
        <f>E107</f>
        <v>87971</v>
      </c>
      <c r="F106" s="228">
        <f t="shared" si="2"/>
        <v>-17596</v>
      </c>
    </row>
    <row r="107" spans="1:6" x14ac:dyDescent="0.2">
      <c r="A107" s="202" t="s">
        <v>659</v>
      </c>
      <c r="B107" s="209" t="s">
        <v>656</v>
      </c>
      <c r="C107" s="209" t="s">
        <v>655</v>
      </c>
      <c r="D107" s="226">
        <v>105567</v>
      </c>
      <c r="E107" s="226">
        <f>'Функциональная 2020'!H1205</f>
        <v>87971</v>
      </c>
      <c r="F107" s="228">
        <f t="shared" si="2"/>
        <v>-17596</v>
      </c>
    </row>
    <row r="108" spans="1:6" ht="45" x14ac:dyDescent="0.2">
      <c r="A108" s="202" t="s">
        <v>721</v>
      </c>
      <c r="B108" s="209" t="s">
        <v>720</v>
      </c>
      <c r="C108" s="209"/>
      <c r="D108" s="226">
        <v>65890.3</v>
      </c>
      <c r="E108" s="226">
        <f>E109</f>
        <v>41435.300000000003</v>
      </c>
      <c r="F108" s="228">
        <f t="shared" si="2"/>
        <v>-24455</v>
      </c>
    </row>
    <row r="109" spans="1:6" x14ac:dyDescent="0.2">
      <c r="A109" s="202" t="s">
        <v>547</v>
      </c>
      <c r="B109" s="209" t="s">
        <v>720</v>
      </c>
      <c r="C109" s="209" t="s">
        <v>519</v>
      </c>
      <c r="D109" s="226">
        <v>65890.3</v>
      </c>
      <c r="E109" s="226">
        <f>E110+E111</f>
        <v>41435.300000000003</v>
      </c>
      <c r="F109" s="228">
        <f t="shared" si="2"/>
        <v>-24455</v>
      </c>
    </row>
    <row r="110" spans="1:6" x14ac:dyDescent="0.2">
      <c r="A110" s="202" t="s">
        <v>571</v>
      </c>
      <c r="B110" s="209" t="s">
        <v>720</v>
      </c>
      <c r="C110" s="209" t="s">
        <v>522</v>
      </c>
      <c r="D110" s="226">
        <v>58086.8</v>
      </c>
      <c r="E110" s="226">
        <f>'Функциональная 2020'!H904</f>
        <v>36276.800000000003</v>
      </c>
      <c r="F110" s="228">
        <f t="shared" si="2"/>
        <v>-21810</v>
      </c>
    </row>
    <row r="111" spans="1:6" x14ac:dyDescent="0.2">
      <c r="A111" s="202" t="s">
        <v>546</v>
      </c>
      <c r="B111" s="209" t="s">
        <v>720</v>
      </c>
      <c r="C111" s="209" t="s">
        <v>544</v>
      </c>
      <c r="D111" s="226">
        <v>7803.5</v>
      </c>
      <c r="E111" s="226">
        <f>'Функциональная 2020'!H905</f>
        <v>5158.5</v>
      </c>
      <c r="F111" s="228">
        <f t="shared" si="2"/>
        <v>-2645</v>
      </c>
    </row>
    <row r="112" spans="1:6" s="290" customFormat="1" ht="22.5" x14ac:dyDescent="0.2">
      <c r="A112" s="199" t="s">
        <v>1401</v>
      </c>
      <c r="B112" s="212" t="s">
        <v>1400</v>
      </c>
      <c r="C112" s="209"/>
      <c r="D112" s="205">
        <v>14806.2</v>
      </c>
      <c r="E112" s="205">
        <f>E113+E116</f>
        <v>18664.2</v>
      </c>
      <c r="F112" s="206">
        <f t="shared" si="2"/>
        <v>3858</v>
      </c>
    </row>
    <row r="113" spans="1:6" s="290" customFormat="1" ht="45" x14ac:dyDescent="0.2">
      <c r="A113" s="202" t="s">
        <v>1402</v>
      </c>
      <c r="B113" s="209" t="s">
        <v>1403</v>
      </c>
      <c r="C113" s="209"/>
      <c r="D113" s="226">
        <v>12492.2</v>
      </c>
      <c r="E113" s="226">
        <f t="shared" ref="E113:E114" si="3">E114</f>
        <v>12492.2</v>
      </c>
      <c r="F113" s="228">
        <f t="shared" si="2"/>
        <v>0</v>
      </c>
    </row>
    <row r="114" spans="1:6" s="290" customFormat="1" x14ac:dyDescent="0.2">
      <c r="A114" s="202" t="s">
        <v>547</v>
      </c>
      <c r="B114" s="209" t="s">
        <v>1403</v>
      </c>
      <c r="C114" s="209">
        <v>600</v>
      </c>
      <c r="D114" s="226">
        <v>12492.2</v>
      </c>
      <c r="E114" s="226">
        <f t="shared" si="3"/>
        <v>12492.2</v>
      </c>
      <c r="F114" s="228">
        <f t="shared" si="2"/>
        <v>0</v>
      </c>
    </row>
    <row r="115" spans="1:6" s="290" customFormat="1" x14ac:dyDescent="0.2">
      <c r="A115" s="202" t="s">
        <v>705</v>
      </c>
      <c r="B115" s="209" t="s">
        <v>1403</v>
      </c>
      <c r="C115" s="209">
        <v>630</v>
      </c>
      <c r="D115" s="226">
        <v>12492.2</v>
      </c>
      <c r="E115" s="226">
        <f>'Функциональная 2020'!H909</f>
        <v>12492.2</v>
      </c>
      <c r="F115" s="228">
        <f t="shared" si="2"/>
        <v>0</v>
      </c>
    </row>
    <row r="116" spans="1:6" s="402" customFormat="1" ht="22.5" x14ac:dyDescent="0.2">
      <c r="A116" s="202" t="s">
        <v>1534</v>
      </c>
      <c r="B116" s="209" t="s">
        <v>1535</v>
      </c>
      <c r="C116" s="209"/>
      <c r="D116" s="226">
        <v>2314</v>
      </c>
      <c r="E116" s="226">
        <f>E117</f>
        <v>6172</v>
      </c>
      <c r="F116" s="228">
        <f t="shared" si="2"/>
        <v>3858</v>
      </c>
    </row>
    <row r="117" spans="1:6" s="402" customFormat="1" x14ac:dyDescent="0.2">
      <c r="A117" s="202" t="s">
        <v>547</v>
      </c>
      <c r="B117" s="209" t="s">
        <v>1535</v>
      </c>
      <c r="C117" s="209" t="s">
        <v>519</v>
      </c>
      <c r="D117" s="226">
        <v>2314</v>
      </c>
      <c r="E117" s="226">
        <f>E118</f>
        <v>6172</v>
      </c>
      <c r="F117" s="228">
        <f t="shared" si="2"/>
        <v>3858</v>
      </c>
    </row>
    <row r="118" spans="1:6" s="402" customFormat="1" x14ac:dyDescent="0.2">
      <c r="A118" s="202" t="s">
        <v>705</v>
      </c>
      <c r="B118" s="209" t="s">
        <v>1535</v>
      </c>
      <c r="C118" s="209" t="s">
        <v>703</v>
      </c>
      <c r="D118" s="226">
        <v>2314</v>
      </c>
      <c r="E118" s="226">
        <f>'Функциональная 2020'!H912</f>
        <v>6172</v>
      </c>
      <c r="F118" s="228">
        <f t="shared" si="2"/>
        <v>3858</v>
      </c>
    </row>
    <row r="119" spans="1:6" x14ac:dyDescent="0.2">
      <c r="A119" s="199" t="s">
        <v>688</v>
      </c>
      <c r="B119" s="212" t="s">
        <v>687</v>
      </c>
      <c r="C119" s="212"/>
      <c r="D119" s="205">
        <v>3158117.8</v>
      </c>
      <c r="E119" s="205">
        <f>E120+E138+E142+E168</f>
        <v>3471042.8000000003</v>
      </c>
      <c r="F119" s="206">
        <f t="shared" si="2"/>
        <v>312925.00000000047</v>
      </c>
    </row>
    <row r="120" spans="1:6" x14ac:dyDescent="0.2">
      <c r="A120" s="199" t="s">
        <v>686</v>
      </c>
      <c r="B120" s="212" t="s">
        <v>685</v>
      </c>
      <c r="C120" s="212"/>
      <c r="D120" s="205">
        <v>2979095</v>
      </c>
      <c r="E120" s="205">
        <f>E121+E131+E135+E127</f>
        <v>3236190.3000000003</v>
      </c>
      <c r="F120" s="206">
        <f t="shared" si="2"/>
        <v>257095.30000000028</v>
      </c>
    </row>
    <row r="121" spans="1:6" x14ac:dyDescent="0.2">
      <c r="A121" s="202" t="s">
        <v>684</v>
      </c>
      <c r="B121" s="209" t="s">
        <v>683</v>
      </c>
      <c r="C121" s="209"/>
      <c r="D121" s="226">
        <v>522088.00000000006</v>
      </c>
      <c r="E121" s="226">
        <f>E122+E124</f>
        <v>535033.60000000009</v>
      </c>
      <c r="F121" s="228">
        <f t="shared" si="2"/>
        <v>12945.600000000035</v>
      </c>
    </row>
    <row r="122" spans="1:6" x14ac:dyDescent="0.2">
      <c r="A122" s="202" t="s">
        <v>1347</v>
      </c>
      <c r="B122" s="209" t="s">
        <v>683</v>
      </c>
      <c r="C122" s="209" t="s">
        <v>535</v>
      </c>
      <c r="D122" s="226">
        <v>13473.7</v>
      </c>
      <c r="E122" s="226">
        <f>E123</f>
        <v>13473.7</v>
      </c>
      <c r="F122" s="228">
        <f t="shared" si="2"/>
        <v>0</v>
      </c>
    </row>
    <row r="123" spans="1:6" x14ac:dyDescent="0.2">
      <c r="A123" s="202" t="s">
        <v>534</v>
      </c>
      <c r="B123" s="209" t="s">
        <v>683</v>
      </c>
      <c r="C123" s="209" t="s">
        <v>529</v>
      </c>
      <c r="D123" s="226">
        <v>13473.7</v>
      </c>
      <c r="E123" s="226">
        <f>'Функциональная 2020'!H934+'Функциональная 2020'!H1056</f>
        <v>13473.7</v>
      </c>
      <c r="F123" s="228">
        <f t="shared" si="2"/>
        <v>0</v>
      </c>
    </row>
    <row r="124" spans="1:6" x14ac:dyDescent="0.2">
      <c r="A124" s="202" t="s">
        <v>547</v>
      </c>
      <c r="B124" s="209" t="s">
        <v>683</v>
      </c>
      <c r="C124" s="209" t="s">
        <v>519</v>
      </c>
      <c r="D124" s="226">
        <v>508614.30000000005</v>
      </c>
      <c r="E124" s="226">
        <f>E125+E126</f>
        <v>521559.90000000008</v>
      </c>
      <c r="F124" s="228">
        <f t="shared" si="2"/>
        <v>12945.600000000035</v>
      </c>
    </row>
    <row r="125" spans="1:6" x14ac:dyDescent="0.2">
      <c r="A125" s="202" t="s">
        <v>571</v>
      </c>
      <c r="B125" s="209" t="s">
        <v>683</v>
      </c>
      <c r="C125" s="209" t="s">
        <v>522</v>
      </c>
      <c r="D125" s="226">
        <v>442179.50000000006</v>
      </c>
      <c r="E125" s="226">
        <f>'Функциональная 2020'!H936+'Функциональная 2020'!H1058</f>
        <v>455125.10000000009</v>
      </c>
      <c r="F125" s="228">
        <f t="shared" si="2"/>
        <v>12945.600000000035</v>
      </c>
    </row>
    <row r="126" spans="1:6" x14ac:dyDescent="0.2">
      <c r="A126" s="202" t="s">
        <v>546</v>
      </c>
      <c r="B126" s="209" t="s">
        <v>683</v>
      </c>
      <c r="C126" s="209" t="s">
        <v>544</v>
      </c>
      <c r="D126" s="226">
        <v>66434.799999999974</v>
      </c>
      <c r="E126" s="226">
        <f>'Функциональная 2020'!H937</f>
        <v>66434.799999999974</v>
      </c>
      <c r="F126" s="228">
        <f t="shared" si="2"/>
        <v>0</v>
      </c>
    </row>
    <row r="127" spans="1:6" s="410" customFormat="1" ht="67.5" x14ac:dyDescent="0.2">
      <c r="A127" s="202" t="s">
        <v>1602</v>
      </c>
      <c r="B127" s="209" t="s">
        <v>1603</v>
      </c>
      <c r="C127" s="209"/>
      <c r="D127" s="226">
        <f>D128</f>
        <v>0</v>
      </c>
      <c r="E127" s="226">
        <f>E128</f>
        <v>31457</v>
      </c>
      <c r="F127" s="228">
        <f t="shared" si="2"/>
        <v>31457</v>
      </c>
    </row>
    <row r="128" spans="1:6" s="410" customFormat="1" x14ac:dyDescent="0.2">
      <c r="A128" s="202" t="s">
        <v>547</v>
      </c>
      <c r="B128" s="209" t="s">
        <v>1603</v>
      </c>
      <c r="C128" s="209" t="s">
        <v>519</v>
      </c>
      <c r="D128" s="226">
        <f>D129+D130</f>
        <v>0</v>
      </c>
      <c r="E128" s="226">
        <f>E129+E130</f>
        <v>31457</v>
      </c>
      <c r="F128" s="228">
        <f t="shared" si="2"/>
        <v>31457</v>
      </c>
    </row>
    <row r="129" spans="1:6" s="410" customFormat="1" x14ac:dyDescent="0.2">
      <c r="A129" s="202" t="s">
        <v>571</v>
      </c>
      <c r="B129" s="209" t="s">
        <v>1603</v>
      </c>
      <c r="C129" s="209" t="s">
        <v>522</v>
      </c>
      <c r="D129" s="226">
        <v>0</v>
      </c>
      <c r="E129" s="226">
        <f>'Функциональная 2020'!H940</f>
        <v>28540</v>
      </c>
      <c r="F129" s="228">
        <f t="shared" si="2"/>
        <v>28540</v>
      </c>
    </row>
    <row r="130" spans="1:6" s="410" customFormat="1" x14ac:dyDescent="0.2">
      <c r="A130" s="202" t="s">
        <v>546</v>
      </c>
      <c r="B130" s="209" t="s">
        <v>1603</v>
      </c>
      <c r="C130" s="209" t="s">
        <v>544</v>
      </c>
      <c r="D130" s="226">
        <v>0</v>
      </c>
      <c r="E130" s="226">
        <f>'Функциональная 2020'!H941</f>
        <v>2917</v>
      </c>
      <c r="F130" s="228">
        <f t="shared" si="2"/>
        <v>2917</v>
      </c>
    </row>
    <row r="131" spans="1:6" ht="56.25" x14ac:dyDescent="0.2">
      <c r="A131" s="202" t="s">
        <v>716</v>
      </c>
      <c r="B131" s="209" t="s">
        <v>715</v>
      </c>
      <c r="C131" s="209"/>
      <c r="D131" s="226">
        <v>2296132</v>
      </c>
      <c r="E131" s="226">
        <f>E132</f>
        <v>2490901.7000000002</v>
      </c>
      <c r="F131" s="228">
        <f t="shared" si="2"/>
        <v>194769.70000000019</v>
      </c>
    </row>
    <row r="132" spans="1:6" x14ac:dyDescent="0.2">
      <c r="A132" s="202" t="s">
        <v>547</v>
      </c>
      <c r="B132" s="209" t="s">
        <v>715</v>
      </c>
      <c r="C132" s="209" t="s">
        <v>519</v>
      </c>
      <c r="D132" s="226">
        <v>2296132</v>
      </c>
      <c r="E132" s="226">
        <f>E133+E134</f>
        <v>2490901.7000000002</v>
      </c>
      <c r="F132" s="228">
        <f t="shared" si="2"/>
        <v>194769.70000000019</v>
      </c>
    </row>
    <row r="133" spans="1:6" x14ac:dyDescent="0.2">
      <c r="A133" s="202" t="s">
        <v>571</v>
      </c>
      <c r="B133" s="209" t="s">
        <v>715</v>
      </c>
      <c r="C133" s="209" t="s">
        <v>522</v>
      </c>
      <c r="D133" s="226">
        <v>2094688</v>
      </c>
      <c r="E133" s="226">
        <f>'Функциональная 2020'!H944</f>
        <v>2214194.7000000002</v>
      </c>
      <c r="F133" s="228">
        <f t="shared" si="2"/>
        <v>119506.70000000019</v>
      </c>
    </row>
    <row r="134" spans="1:6" s="296" customFormat="1" x14ac:dyDescent="0.2">
      <c r="A134" s="202" t="s">
        <v>546</v>
      </c>
      <c r="B134" s="209" t="s">
        <v>715</v>
      </c>
      <c r="C134" s="209" t="s">
        <v>544</v>
      </c>
      <c r="D134" s="226">
        <v>201444</v>
      </c>
      <c r="E134" s="226">
        <f>'Функциональная 2020'!H945</f>
        <v>276707</v>
      </c>
      <c r="F134" s="228">
        <f t="shared" si="2"/>
        <v>75263</v>
      </c>
    </row>
    <row r="135" spans="1:6" ht="56.25" x14ac:dyDescent="0.2">
      <c r="A135" s="202" t="s">
        <v>714</v>
      </c>
      <c r="B135" s="209" t="s">
        <v>713</v>
      </c>
      <c r="C135" s="209"/>
      <c r="D135" s="226">
        <v>160875</v>
      </c>
      <c r="E135" s="226">
        <f>E136</f>
        <v>178798</v>
      </c>
      <c r="F135" s="228">
        <f t="shared" si="2"/>
        <v>17923</v>
      </c>
    </row>
    <row r="136" spans="1:6" x14ac:dyDescent="0.2">
      <c r="A136" s="202" t="s">
        <v>547</v>
      </c>
      <c r="B136" s="209" t="s">
        <v>713</v>
      </c>
      <c r="C136" s="209" t="s">
        <v>519</v>
      </c>
      <c r="D136" s="226">
        <v>160875</v>
      </c>
      <c r="E136" s="226">
        <f>E137</f>
        <v>178798</v>
      </c>
      <c r="F136" s="228">
        <f t="shared" si="2"/>
        <v>17923</v>
      </c>
    </row>
    <row r="137" spans="1:6" x14ac:dyDescent="0.2">
      <c r="A137" s="202" t="s">
        <v>705</v>
      </c>
      <c r="B137" s="209" t="s">
        <v>713</v>
      </c>
      <c r="C137" s="209" t="s">
        <v>703</v>
      </c>
      <c r="D137" s="226">
        <v>160875</v>
      </c>
      <c r="E137" s="226">
        <f>'Функциональная 2020'!H948</f>
        <v>178798</v>
      </c>
      <c r="F137" s="228">
        <f t="shared" si="2"/>
        <v>17923</v>
      </c>
    </row>
    <row r="138" spans="1:6" ht="22.5" x14ac:dyDescent="0.2">
      <c r="A138" s="199" t="s">
        <v>712</v>
      </c>
      <c r="B138" s="212" t="s">
        <v>711</v>
      </c>
      <c r="C138" s="212"/>
      <c r="D138" s="205">
        <v>8325</v>
      </c>
      <c r="E138" s="205">
        <f>E139</f>
        <v>8537.4</v>
      </c>
      <c r="F138" s="206">
        <f t="shared" si="2"/>
        <v>212.39999999999964</v>
      </c>
    </row>
    <row r="139" spans="1:6" ht="33.75" x14ac:dyDescent="0.2">
      <c r="A139" s="202" t="s">
        <v>710</v>
      </c>
      <c r="B139" s="209" t="s">
        <v>709</v>
      </c>
      <c r="C139" s="209"/>
      <c r="D139" s="226">
        <v>8325</v>
      </c>
      <c r="E139" s="226">
        <f>E140</f>
        <v>8537.4</v>
      </c>
      <c r="F139" s="228">
        <f t="shared" si="2"/>
        <v>212.39999999999964</v>
      </c>
    </row>
    <row r="140" spans="1:6" x14ac:dyDescent="0.2">
      <c r="A140" s="202" t="s">
        <v>547</v>
      </c>
      <c r="B140" s="209" t="s">
        <v>709</v>
      </c>
      <c r="C140" s="209" t="s">
        <v>519</v>
      </c>
      <c r="D140" s="226">
        <v>8325</v>
      </c>
      <c r="E140" s="226">
        <f>E141</f>
        <v>8537.4</v>
      </c>
      <c r="F140" s="228">
        <f t="shared" si="2"/>
        <v>212.39999999999964</v>
      </c>
    </row>
    <row r="141" spans="1:6" x14ac:dyDescent="0.2">
      <c r="A141" s="202" t="s">
        <v>571</v>
      </c>
      <c r="B141" s="209" t="s">
        <v>709</v>
      </c>
      <c r="C141" s="209" t="s">
        <v>522</v>
      </c>
      <c r="D141" s="226">
        <v>8325</v>
      </c>
      <c r="E141" s="226">
        <f>'Функциональная 2020'!H952</f>
        <v>8537.4</v>
      </c>
      <c r="F141" s="228">
        <f t="shared" si="2"/>
        <v>212.39999999999964</v>
      </c>
    </row>
    <row r="142" spans="1:6" ht="33.75" x14ac:dyDescent="0.2">
      <c r="A142" s="199" t="s">
        <v>708</v>
      </c>
      <c r="B142" s="212" t="s">
        <v>707</v>
      </c>
      <c r="C142" s="212"/>
      <c r="D142" s="205">
        <v>161472.79999999999</v>
      </c>
      <c r="E142" s="205">
        <f>E143+E154+E159+E163+E148</f>
        <v>217090.1</v>
      </c>
      <c r="F142" s="206">
        <f t="shared" si="2"/>
        <v>55617.300000000017</v>
      </c>
    </row>
    <row r="143" spans="1:6" ht="22.5" x14ac:dyDescent="0.2">
      <c r="A143" s="202" t="s">
        <v>1255</v>
      </c>
      <c r="B143" s="209" t="s">
        <v>1254</v>
      </c>
      <c r="C143" s="209"/>
      <c r="D143" s="226">
        <v>10805</v>
      </c>
      <c r="E143" s="226">
        <f>E144+E146</f>
        <v>11883.000000000002</v>
      </c>
      <c r="F143" s="228">
        <f t="shared" si="2"/>
        <v>1078.0000000000018</v>
      </c>
    </row>
    <row r="144" spans="1:6" ht="22.5" x14ac:dyDescent="0.2">
      <c r="A144" s="202" t="s">
        <v>1348</v>
      </c>
      <c r="B144" s="209" t="s">
        <v>1254</v>
      </c>
      <c r="C144" s="209" t="s">
        <v>556</v>
      </c>
      <c r="D144" s="226">
        <v>10627</v>
      </c>
      <c r="E144" s="226">
        <f>E145</f>
        <v>11742.400000000001</v>
      </c>
      <c r="F144" s="228">
        <f t="shared" si="2"/>
        <v>1115.4000000000015</v>
      </c>
    </row>
    <row r="145" spans="1:6" x14ac:dyDescent="0.2">
      <c r="A145" s="202" t="s">
        <v>749</v>
      </c>
      <c r="B145" s="209" t="s">
        <v>1254</v>
      </c>
      <c r="C145" s="209" t="s">
        <v>745</v>
      </c>
      <c r="D145" s="226">
        <v>10627</v>
      </c>
      <c r="E145" s="226">
        <f>'Функциональная 2020'!H52</f>
        <v>11742.400000000001</v>
      </c>
      <c r="F145" s="228">
        <f t="shared" si="2"/>
        <v>1115.4000000000015</v>
      </c>
    </row>
    <row r="146" spans="1:6" x14ac:dyDescent="0.2">
      <c r="A146" s="202" t="s">
        <v>1347</v>
      </c>
      <c r="B146" s="209" t="s">
        <v>1254</v>
      </c>
      <c r="C146" s="209" t="s">
        <v>535</v>
      </c>
      <c r="D146" s="226">
        <v>178</v>
      </c>
      <c r="E146" s="226">
        <f>E147</f>
        <v>140.6</v>
      </c>
      <c r="F146" s="228">
        <f t="shared" si="2"/>
        <v>-37.400000000000006</v>
      </c>
    </row>
    <row r="147" spans="1:6" x14ac:dyDescent="0.2">
      <c r="A147" s="202" t="s">
        <v>534</v>
      </c>
      <c r="B147" s="209" t="s">
        <v>1254</v>
      </c>
      <c r="C147" s="209" t="s">
        <v>529</v>
      </c>
      <c r="D147" s="226">
        <v>178</v>
      </c>
      <c r="E147" s="226">
        <f>'Функциональная 2020'!H54</f>
        <v>140.6</v>
      </c>
      <c r="F147" s="228">
        <f t="shared" si="2"/>
        <v>-37.400000000000006</v>
      </c>
    </row>
    <row r="148" spans="1:6" s="414" customFormat="1" ht="56.25" x14ac:dyDescent="0.2">
      <c r="A148" s="202" t="s">
        <v>1609</v>
      </c>
      <c r="B148" s="209" t="s">
        <v>1610</v>
      </c>
      <c r="C148" s="209"/>
      <c r="D148" s="226">
        <v>0</v>
      </c>
      <c r="E148" s="226">
        <f>E149+E151</f>
        <v>46602</v>
      </c>
      <c r="F148" s="228">
        <f t="shared" si="2"/>
        <v>46602</v>
      </c>
    </row>
    <row r="149" spans="1:6" s="414" customFormat="1" x14ac:dyDescent="0.2">
      <c r="A149" s="202" t="s">
        <v>553</v>
      </c>
      <c r="B149" s="209" t="s">
        <v>1610</v>
      </c>
      <c r="C149" s="209">
        <v>300</v>
      </c>
      <c r="D149" s="226">
        <v>0</v>
      </c>
      <c r="E149" s="226">
        <f>E150</f>
        <v>38835</v>
      </c>
      <c r="F149" s="228">
        <f t="shared" si="2"/>
        <v>38835</v>
      </c>
    </row>
    <row r="150" spans="1:6" s="414" customFormat="1" x14ac:dyDescent="0.2">
      <c r="A150" s="202" t="s">
        <v>832</v>
      </c>
      <c r="B150" s="209" t="s">
        <v>1610</v>
      </c>
      <c r="C150" s="209">
        <v>320</v>
      </c>
      <c r="D150" s="226">
        <v>0</v>
      </c>
      <c r="E150" s="226">
        <f>'Функциональная 2020'!H956</f>
        <v>38835</v>
      </c>
      <c r="F150" s="228">
        <f t="shared" si="2"/>
        <v>38835</v>
      </c>
    </row>
    <row r="151" spans="1:6" s="414" customFormat="1" x14ac:dyDescent="0.2">
      <c r="A151" s="202" t="s">
        <v>547</v>
      </c>
      <c r="B151" s="209" t="s">
        <v>1610</v>
      </c>
      <c r="C151" s="209">
        <v>600</v>
      </c>
      <c r="D151" s="226">
        <v>0</v>
      </c>
      <c r="E151" s="226">
        <f>E152+E153</f>
        <v>7767</v>
      </c>
      <c r="F151" s="228">
        <f t="shared" si="2"/>
        <v>7767</v>
      </c>
    </row>
    <row r="152" spans="1:6" s="414" customFormat="1" x14ac:dyDescent="0.2">
      <c r="A152" s="202" t="s">
        <v>546</v>
      </c>
      <c r="B152" s="209" t="s">
        <v>1610</v>
      </c>
      <c r="C152" s="209">
        <v>620</v>
      </c>
      <c r="D152" s="226">
        <v>0</v>
      </c>
      <c r="E152" s="226">
        <f>'Функциональная 2020'!H958</f>
        <v>4126</v>
      </c>
      <c r="F152" s="228">
        <f t="shared" si="2"/>
        <v>4126</v>
      </c>
    </row>
    <row r="153" spans="1:6" s="414" customFormat="1" x14ac:dyDescent="0.2">
      <c r="A153" s="202" t="s">
        <v>705</v>
      </c>
      <c r="B153" s="209" t="s">
        <v>1610</v>
      </c>
      <c r="C153" s="209">
        <v>630</v>
      </c>
      <c r="D153" s="226">
        <v>0</v>
      </c>
      <c r="E153" s="226">
        <f>'Функциональная 2020'!H959</f>
        <v>3641</v>
      </c>
      <c r="F153" s="228">
        <f t="shared" si="2"/>
        <v>3641</v>
      </c>
    </row>
    <row r="154" spans="1:6" ht="45" x14ac:dyDescent="0.2">
      <c r="A154" s="202" t="s">
        <v>706</v>
      </c>
      <c r="B154" s="209" t="s">
        <v>704</v>
      </c>
      <c r="C154" s="209"/>
      <c r="D154" s="226">
        <v>146900</v>
      </c>
      <c r="E154" s="226">
        <f>E155</f>
        <v>86934.3</v>
      </c>
      <c r="F154" s="228">
        <f t="shared" si="2"/>
        <v>-59965.7</v>
      </c>
    </row>
    <row r="155" spans="1:6" x14ac:dyDescent="0.2">
      <c r="A155" s="202" t="s">
        <v>547</v>
      </c>
      <c r="B155" s="209" t="s">
        <v>704</v>
      </c>
      <c r="C155" s="209" t="s">
        <v>519</v>
      </c>
      <c r="D155" s="226">
        <v>146900</v>
      </c>
      <c r="E155" s="226">
        <f>E156+E157+E158+0.1</f>
        <v>86934.3</v>
      </c>
      <c r="F155" s="228">
        <f t="shared" si="2"/>
        <v>-59965.7</v>
      </c>
    </row>
    <row r="156" spans="1:6" x14ac:dyDescent="0.2">
      <c r="A156" s="202" t="s">
        <v>571</v>
      </c>
      <c r="B156" s="209" t="s">
        <v>704</v>
      </c>
      <c r="C156" s="209" t="s">
        <v>522</v>
      </c>
      <c r="D156" s="226">
        <v>123364.9</v>
      </c>
      <c r="E156" s="226">
        <f>'Функциональная 2020'!H962</f>
        <v>73369.399999999994</v>
      </c>
      <c r="F156" s="228">
        <f t="shared" si="2"/>
        <v>-49995.5</v>
      </c>
    </row>
    <row r="157" spans="1:6" x14ac:dyDescent="0.2">
      <c r="A157" s="202" t="s">
        <v>546</v>
      </c>
      <c r="B157" s="209" t="s">
        <v>704</v>
      </c>
      <c r="C157" s="209" t="s">
        <v>544</v>
      </c>
      <c r="D157" s="226">
        <v>15640.3</v>
      </c>
      <c r="E157" s="226">
        <f>'Функциональная 2020'!H963</f>
        <v>9223.7999999999993</v>
      </c>
      <c r="F157" s="228">
        <f t="shared" si="2"/>
        <v>-6416.5</v>
      </c>
    </row>
    <row r="158" spans="1:6" x14ac:dyDescent="0.2">
      <c r="A158" s="202" t="s">
        <v>705</v>
      </c>
      <c r="B158" s="209" t="s">
        <v>704</v>
      </c>
      <c r="C158" s="209" t="s">
        <v>703</v>
      </c>
      <c r="D158" s="226">
        <v>7894.7</v>
      </c>
      <c r="E158" s="226">
        <f>'Функциональная 2020'!H964</f>
        <v>4341</v>
      </c>
      <c r="F158" s="228">
        <f t="shared" si="2"/>
        <v>-3553.7</v>
      </c>
    </row>
    <row r="159" spans="1:6" ht="22.5" x14ac:dyDescent="0.2">
      <c r="A159" s="202" t="s">
        <v>702</v>
      </c>
      <c r="B159" s="209" t="s">
        <v>701</v>
      </c>
      <c r="C159" s="209"/>
      <c r="D159" s="226">
        <v>194</v>
      </c>
      <c r="E159" s="226">
        <f>E160</f>
        <v>194</v>
      </c>
      <c r="F159" s="228">
        <f t="shared" si="2"/>
        <v>0</v>
      </c>
    </row>
    <row r="160" spans="1:6" x14ac:dyDescent="0.2">
      <c r="A160" s="202" t="s">
        <v>547</v>
      </c>
      <c r="B160" s="209" t="s">
        <v>701</v>
      </c>
      <c r="C160" s="209" t="s">
        <v>519</v>
      </c>
      <c r="D160" s="226">
        <v>194</v>
      </c>
      <c r="E160" s="226">
        <f>E161+E162</f>
        <v>194</v>
      </c>
      <c r="F160" s="228">
        <f t="shared" si="2"/>
        <v>0</v>
      </c>
    </row>
    <row r="161" spans="1:6" x14ac:dyDescent="0.2">
      <c r="A161" s="202" t="s">
        <v>571</v>
      </c>
      <c r="B161" s="209" t="s">
        <v>701</v>
      </c>
      <c r="C161" s="209" t="s">
        <v>522</v>
      </c>
      <c r="D161" s="226">
        <v>169</v>
      </c>
      <c r="E161" s="226">
        <f>'Функциональная 2020'!H967</f>
        <v>169</v>
      </c>
      <c r="F161" s="228">
        <f t="shared" si="2"/>
        <v>0</v>
      </c>
    </row>
    <row r="162" spans="1:6" x14ac:dyDescent="0.2">
      <c r="A162" s="202" t="s">
        <v>546</v>
      </c>
      <c r="B162" s="209" t="s">
        <v>701</v>
      </c>
      <c r="C162" s="209" t="s">
        <v>544</v>
      </c>
      <c r="D162" s="226">
        <v>25</v>
      </c>
      <c r="E162" s="226">
        <f>'Функциональная 2020'!H968</f>
        <v>25</v>
      </c>
      <c r="F162" s="228">
        <f t="shared" si="2"/>
        <v>0</v>
      </c>
    </row>
    <row r="163" spans="1:6" s="402" customFormat="1" ht="22.5" x14ac:dyDescent="0.2">
      <c r="A163" s="202" t="s">
        <v>1536</v>
      </c>
      <c r="B163" s="209" t="s">
        <v>1537</v>
      </c>
      <c r="C163" s="209"/>
      <c r="D163" s="226">
        <v>3573.8</v>
      </c>
      <c r="E163" s="226">
        <f>E164+E166</f>
        <v>71476.800000000003</v>
      </c>
      <c r="F163" s="228">
        <f t="shared" si="2"/>
        <v>67903</v>
      </c>
    </row>
    <row r="164" spans="1:6" s="402" customFormat="1" x14ac:dyDescent="0.2">
      <c r="A164" s="202" t="s">
        <v>1347</v>
      </c>
      <c r="B164" s="209" t="s">
        <v>1537</v>
      </c>
      <c r="C164" s="209" t="s">
        <v>535</v>
      </c>
      <c r="D164" s="226">
        <v>3573.8</v>
      </c>
      <c r="E164" s="226">
        <f>E165</f>
        <v>64376.800000000003</v>
      </c>
      <c r="F164" s="228">
        <f t="shared" si="2"/>
        <v>60803</v>
      </c>
    </row>
    <row r="165" spans="1:6" s="402" customFormat="1" x14ac:dyDescent="0.2">
      <c r="A165" s="202" t="s">
        <v>534</v>
      </c>
      <c r="B165" s="209" t="s">
        <v>1537</v>
      </c>
      <c r="C165" s="209" t="s">
        <v>529</v>
      </c>
      <c r="D165" s="226">
        <v>3573.8</v>
      </c>
      <c r="E165" s="226">
        <f>'Функциональная 2020'!H971</f>
        <v>64376.800000000003</v>
      </c>
      <c r="F165" s="228">
        <f t="shared" si="2"/>
        <v>60803</v>
      </c>
    </row>
    <row r="166" spans="1:6" s="414" customFormat="1" x14ac:dyDescent="0.2">
      <c r="A166" s="202" t="s">
        <v>547</v>
      </c>
      <c r="B166" s="209" t="s">
        <v>1537</v>
      </c>
      <c r="C166" s="209">
        <v>600</v>
      </c>
      <c r="D166" s="226">
        <f>D167</f>
        <v>0</v>
      </c>
      <c r="E166" s="226">
        <f>E167</f>
        <v>7100</v>
      </c>
      <c r="F166" s="228">
        <f t="shared" si="2"/>
        <v>7100</v>
      </c>
    </row>
    <row r="167" spans="1:6" s="414" customFormat="1" x14ac:dyDescent="0.2">
      <c r="A167" s="202" t="s">
        <v>546</v>
      </c>
      <c r="B167" s="209" t="s">
        <v>1537</v>
      </c>
      <c r="C167" s="209">
        <v>620</v>
      </c>
      <c r="D167" s="226">
        <v>0</v>
      </c>
      <c r="E167" s="226">
        <f>'Функциональная 2020'!H973</f>
        <v>7100</v>
      </c>
      <c r="F167" s="228">
        <f t="shared" si="2"/>
        <v>7100</v>
      </c>
    </row>
    <row r="168" spans="1:6" s="302" customFormat="1" x14ac:dyDescent="0.2">
      <c r="A168" s="199" t="s">
        <v>900</v>
      </c>
      <c r="B168" s="212" t="s">
        <v>1293</v>
      </c>
      <c r="C168" s="209"/>
      <c r="D168" s="205">
        <v>9225</v>
      </c>
      <c r="E168" s="205">
        <f t="shared" ref="E168:E170" si="4">E169</f>
        <v>9225</v>
      </c>
      <c r="F168" s="206">
        <f t="shared" si="2"/>
        <v>0</v>
      </c>
    </row>
    <row r="169" spans="1:6" s="302" customFormat="1" ht="16.5" customHeight="1" x14ac:dyDescent="0.2">
      <c r="A169" s="202" t="s">
        <v>1417</v>
      </c>
      <c r="B169" s="209" t="s">
        <v>1418</v>
      </c>
      <c r="C169" s="209"/>
      <c r="D169" s="226">
        <v>9225</v>
      </c>
      <c r="E169" s="226">
        <f t="shared" si="4"/>
        <v>9225</v>
      </c>
      <c r="F169" s="228">
        <f t="shared" si="2"/>
        <v>0</v>
      </c>
    </row>
    <row r="170" spans="1:6" s="302" customFormat="1" x14ac:dyDescent="0.2">
      <c r="A170" s="202" t="s">
        <v>1347</v>
      </c>
      <c r="B170" s="209" t="s">
        <v>1418</v>
      </c>
      <c r="C170" s="209">
        <v>200</v>
      </c>
      <c r="D170" s="226">
        <v>9225</v>
      </c>
      <c r="E170" s="226">
        <f t="shared" si="4"/>
        <v>9225</v>
      </c>
      <c r="F170" s="228">
        <f t="shared" si="2"/>
        <v>0</v>
      </c>
    </row>
    <row r="171" spans="1:6" s="302" customFormat="1" x14ac:dyDescent="0.2">
      <c r="A171" s="202" t="s">
        <v>534</v>
      </c>
      <c r="B171" s="209" t="s">
        <v>1418</v>
      </c>
      <c r="C171" s="209">
        <v>240</v>
      </c>
      <c r="D171" s="226">
        <v>9225</v>
      </c>
      <c r="E171" s="226">
        <f>'Функциональная 2020'!H977</f>
        <v>9225</v>
      </c>
      <c r="F171" s="228">
        <f t="shared" si="2"/>
        <v>0</v>
      </c>
    </row>
    <row r="172" spans="1:6" x14ac:dyDescent="0.2">
      <c r="A172" s="199" t="s">
        <v>699</v>
      </c>
      <c r="B172" s="212" t="s">
        <v>698</v>
      </c>
      <c r="C172" s="212"/>
      <c r="D172" s="205">
        <v>324809.40000000002</v>
      </c>
      <c r="E172" s="205">
        <f>E173+E178+E183</f>
        <v>324809.40000000002</v>
      </c>
      <c r="F172" s="206">
        <f t="shared" si="2"/>
        <v>0</v>
      </c>
    </row>
    <row r="173" spans="1:6" ht="22.5" x14ac:dyDescent="0.2">
      <c r="A173" s="199" t="s">
        <v>697</v>
      </c>
      <c r="B173" s="212" t="s">
        <v>696</v>
      </c>
      <c r="C173" s="212"/>
      <c r="D173" s="205">
        <v>308879</v>
      </c>
      <c r="E173" s="205">
        <f>E174</f>
        <v>300687.90000000002</v>
      </c>
      <c r="F173" s="206">
        <f t="shared" si="2"/>
        <v>-8191.0999999999767</v>
      </c>
    </row>
    <row r="174" spans="1:6" x14ac:dyDescent="0.2">
      <c r="A174" s="202" t="s">
        <v>695</v>
      </c>
      <c r="B174" s="209" t="s">
        <v>694</v>
      </c>
      <c r="C174" s="209"/>
      <c r="D174" s="226">
        <v>308879</v>
      </c>
      <c r="E174" s="226">
        <f>E175</f>
        <v>300687.90000000002</v>
      </c>
      <c r="F174" s="228">
        <f t="shared" ref="F174:F243" si="5">E174-D174</f>
        <v>-8191.0999999999767</v>
      </c>
    </row>
    <row r="175" spans="1:6" x14ac:dyDescent="0.2">
      <c r="A175" s="202" t="s">
        <v>547</v>
      </c>
      <c r="B175" s="209" t="s">
        <v>694</v>
      </c>
      <c r="C175" s="209" t="s">
        <v>519</v>
      </c>
      <c r="D175" s="226">
        <v>308879</v>
      </c>
      <c r="E175" s="226">
        <f>E176+E177</f>
        <v>300687.90000000002</v>
      </c>
      <c r="F175" s="228">
        <f t="shared" si="5"/>
        <v>-8191.0999999999767</v>
      </c>
    </row>
    <row r="176" spans="1:6" x14ac:dyDescent="0.2">
      <c r="A176" s="202" t="s">
        <v>571</v>
      </c>
      <c r="B176" s="209" t="s">
        <v>694</v>
      </c>
      <c r="C176" s="209" t="s">
        <v>522</v>
      </c>
      <c r="D176" s="226">
        <v>270190.40000000002</v>
      </c>
      <c r="E176" s="226">
        <f>'Функциональная 2020'!H1003</f>
        <v>261999.30000000002</v>
      </c>
      <c r="F176" s="228">
        <f t="shared" si="5"/>
        <v>-8191.1000000000058</v>
      </c>
    </row>
    <row r="177" spans="1:6" x14ac:dyDescent="0.2">
      <c r="A177" s="202" t="s">
        <v>546</v>
      </c>
      <c r="B177" s="209" t="s">
        <v>694</v>
      </c>
      <c r="C177" s="209" t="s">
        <v>544</v>
      </c>
      <c r="D177" s="226">
        <v>38688.6</v>
      </c>
      <c r="E177" s="226">
        <f>'Функциональная 2020'!H1004</f>
        <v>38688.6</v>
      </c>
      <c r="F177" s="228">
        <f t="shared" si="5"/>
        <v>0</v>
      </c>
    </row>
    <row r="178" spans="1:6" ht="22.5" x14ac:dyDescent="0.2">
      <c r="A178" s="199" t="s">
        <v>693</v>
      </c>
      <c r="B178" s="212" t="s">
        <v>692</v>
      </c>
      <c r="C178" s="212"/>
      <c r="D178" s="205">
        <v>15930.399999999998</v>
      </c>
      <c r="E178" s="205">
        <f>E179</f>
        <v>0</v>
      </c>
      <c r="F178" s="206">
        <f t="shared" si="5"/>
        <v>-15930.399999999998</v>
      </c>
    </row>
    <row r="179" spans="1:6" x14ac:dyDescent="0.2">
      <c r="A179" s="202" t="s">
        <v>691</v>
      </c>
      <c r="B179" s="209" t="s">
        <v>690</v>
      </c>
      <c r="C179" s="209"/>
      <c r="D179" s="226">
        <v>15930.399999999998</v>
      </c>
      <c r="E179" s="226">
        <f>E180</f>
        <v>0</v>
      </c>
      <c r="F179" s="228">
        <f t="shared" si="5"/>
        <v>-15930.399999999998</v>
      </c>
    </row>
    <row r="180" spans="1:6" x14ac:dyDescent="0.2">
      <c r="A180" s="202" t="s">
        <v>547</v>
      </c>
      <c r="B180" s="209" t="s">
        <v>690</v>
      </c>
      <c r="C180" s="209" t="s">
        <v>519</v>
      </c>
      <c r="D180" s="226">
        <v>15930.399999999998</v>
      </c>
      <c r="E180" s="226">
        <f>E181+E182</f>
        <v>0</v>
      </c>
      <c r="F180" s="228">
        <f t="shared" si="5"/>
        <v>-15930.399999999998</v>
      </c>
    </row>
    <row r="181" spans="1:6" x14ac:dyDescent="0.2">
      <c r="A181" s="202" t="s">
        <v>571</v>
      </c>
      <c r="B181" s="209" t="s">
        <v>690</v>
      </c>
      <c r="C181" s="209" t="s">
        <v>522</v>
      </c>
      <c r="D181" s="226">
        <v>15197.199999999997</v>
      </c>
      <c r="E181" s="226">
        <f>'Функциональная 2020'!H1008</f>
        <v>0</v>
      </c>
      <c r="F181" s="228">
        <f t="shared" si="5"/>
        <v>-15197.199999999997</v>
      </c>
    </row>
    <row r="182" spans="1:6" x14ac:dyDescent="0.2">
      <c r="A182" s="202" t="s">
        <v>546</v>
      </c>
      <c r="B182" s="209" t="s">
        <v>690</v>
      </c>
      <c r="C182" s="209" t="s">
        <v>544</v>
      </c>
      <c r="D182" s="226">
        <v>733.20000000000073</v>
      </c>
      <c r="E182" s="226">
        <f>'Функциональная 2020'!H1009</f>
        <v>0</v>
      </c>
      <c r="F182" s="228">
        <f t="shared" si="5"/>
        <v>-733.20000000000073</v>
      </c>
    </row>
    <row r="183" spans="1:6" s="444" customFormat="1" ht="22.5" x14ac:dyDescent="0.2">
      <c r="A183" s="199" t="s">
        <v>693</v>
      </c>
      <c r="B183" s="212" t="s">
        <v>1656</v>
      </c>
      <c r="C183" s="212"/>
      <c r="D183" s="205">
        <f>D184</f>
        <v>0</v>
      </c>
      <c r="E183" s="205">
        <f>E184</f>
        <v>24121.500000000004</v>
      </c>
      <c r="F183" s="206">
        <f t="shared" si="5"/>
        <v>24121.500000000004</v>
      </c>
    </row>
    <row r="184" spans="1:6" s="444" customFormat="1" x14ac:dyDescent="0.2">
      <c r="A184" s="202" t="s">
        <v>691</v>
      </c>
      <c r="B184" s="209" t="s">
        <v>1657</v>
      </c>
      <c r="C184" s="209"/>
      <c r="D184" s="226">
        <f>D185</f>
        <v>0</v>
      </c>
      <c r="E184" s="226">
        <f>E185</f>
        <v>24121.500000000004</v>
      </c>
      <c r="F184" s="228">
        <f t="shared" si="5"/>
        <v>24121.500000000004</v>
      </c>
    </row>
    <row r="185" spans="1:6" s="444" customFormat="1" x14ac:dyDescent="0.2">
      <c r="A185" s="202" t="s">
        <v>547</v>
      </c>
      <c r="B185" s="209" t="s">
        <v>1657</v>
      </c>
      <c r="C185" s="209" t="s">
        <v>519</v>
      </c>
      <c r="D185" s="226">
        <f>D186+D187</f>
        <v>0</v>
      </c>
      <c r="E185" s="226">
        <f>E186+E187</f>
        <v>24121.500000000004</v>
      </c>
      <c r="F185" s="228">
        <f t="shared" si="5"/>
        <v>24121.500000000004</v>
      </c>
    </row>
    <row r="186" spans="1:6" s="444" customFormat="1" x14ac:dyDescent="0.2">
      <c r="A186" s="202" t="s">
        <v>571</v>
      </c>
      <c r="B186" s="209" t="s">
        <v>1657</v>
      </c>
      <c r="C186" s="209" t="s">
        <v>522</v>
      </c>
      <c r="D186" s="226">
        <v>0</v>
      </c>
      <c r="E186" s="226">
        <f>'Функциональная 2020'!H1013</f>
        <v>23388.300000000003</v>
      </c>
      <c r="F186" s="228">
        <f t="shared" si="5"/>
        <v>23388.300000000003</v>
      </c>
    </row>
    <row r="187" spans="1:6" s="444" customFormat="1" x14ac:dyDescent="0.2">
      <c r="A187" s="202" t="s">
        <v>546</v>
      </c>
      <c r="B187" s="209" t="s">
        <v>1657</v>
      </c>
      <c r="C187" s="209" t="s">
        <v>544</v>
      </c>
      <c r="D187" s="226">
        <v>0</v>
      </c>
      <c r="E187" s="226">
        <f>'Функциональная 2020'!H1014</f>
        <v>733.2</v>
      </c>
      <c r="F187" s="228">
        <f t="shared" si="5"/>
        <v>733.2</v>
      </c>
    </row>
    <row r="188" spans="1:6" x14ac:dyDescent="0.2">
      <c r="A188" s="199" t="s">
        <v>682</v>
      </c>
      <c r="B188" s="212" t="s">
        <v>681</v>
      </c>
      <c r="C188" s="212"/>
      <c r="D188" s="205">
        <v>20069.8</v>
      </c>
      <c r="E188" s="205">
        <f>E189</f>
        <v>19569.8</v>
      </c>
      <c r="F188" s="206">
        <f t="shared" si="5"/>
        <v>-500</v>
      </c>
    </row>
    <row r="189" spans="1:6" x14ac:dyDescent="0.2">
      <c r="A189" s="199" t="s">
        <v>600</v>
      </c>
      <c r="B189" s="212" t="s">
        <v>680</v>
      </c>
      <c r="C189" s="212"/>
      <c r="D189" s="205">
        <v>20069.8</v>
      </c>
      <c r="E189" s="205">
        <f>E190+E193</f>
        <v>19569.8</v>
      </c>
      <c r="F189" s="206">
        <f t="shared" si="5"/>
        <v>-500</v>
      </c>
    </row>
    <row r="190" spans="1:6" x14ac:dyDescent="0.2">
      <c r="A190" s="202" t="s">
        <v>679</v>
      </c>
      <c r="B190" s="209" t="s">
        <v>678</v>
      </c>
      <c r="C190" s="209"/>
      <c r="D190" s="226">
        <v>1850</v>
      </c>
      <c r="E190" s="226">
        <f>E191</f>
        <v>1850</v>
      </c>
      <c r="F190" s="228">
        <f t="shared" si="5"/>
        <v>0</v>
      </c>
    </row>
    <row r="191" spans="1:6" x14ac:dyDescent="0.2">
      <c r="A191" s="202" t="s">
        <v>547</v>
      </c>
      <c r="B191" s="209" t="s">
        <v>678</v>
      </c>
      <c r="C191" s="209" t="s">
        <v>519</v>
      </c>
      <c r="D191" s="226">
        <v>1850</v>
      </c>
      <c r="E191" s="226">
        <f>E192</f>
        <v>1850</v>
      </c>
      <c r="F191" s="228">
        <f t="shared" si="5"/>
        <v>0</v>
      </c>
    </row>
    <row r="192" spans="1:6" x14ac:dyDescent="0.2">
      <c r="A192" s="202" t="s">
        <v>571</v>
      </c>
      <c r="B192" s="209" t="s">
        <v>678</v>
      </c>
      <c r="C192" s="209" t="s">
        <v>522</v>
      </c>
      <c r="D192" s="226">
        <v>1850</v>
      </c>
      <c r="E192" s="226">
        <f>'Функциональная 2020'!H1063</f>
        <v>1850</v>
      </c>
      <c r="F192" s="228">
        <f t="shared" si="5"/>
        <v>0</v>
      </c>
    </row>
    <row r="193" spans="1:6" x14ac:dyDescent="0.2">
      <c r="A193" s="202" t="s">
        <v>677</v>
      </c>
      <c r="B193" s="209" t="s">
        <v>676</v>
      </c>
      <c r="C193" s="209"/>
      <c r="D193" s="226">
        <v>18219.8</v>
      </c>
      <c r="E193" s="226">
        <f>E194</f>
        <v>17719.8</v>
      </c>
      <c r="F193" s="228">
        <f t="shared" si="5"/>
        <v>-500</v>
      </c>
    </row>
    <row r="194" spans="1:6" x14ac:dyDescent="0.2">
      <c r="A194" s="202" t="s">
        <v>547</v>
      </c>
      <c r="B194" s="209" t="s">
        <v>676</v>
      </c>
      <c r="C194" s="209" t="s">
        <v>519</v>
      </c>
      <c r="D194" s="226">
        <v>18219.8</v>
      </c>
      <c r="E194" s="226">
        <f>E195</f>
        <v>17719.8</v>
      </c>
      <c r="F194" s="228">
        <f t="shared" si="5"/>
        <v>-500</v>
      </c>
    </row>
    <row r="195" spans="1:6" x14ac:dyDescent="0.2">
      <c r="A195" s="202" t="s">
        <v>571</v>
      </c>
      <c r="B195" s="209" t="s">
        <v>676</v>
      </c>
      <c r="C195" s="209" t="s">
        <v>522</v>
      </c>
      <c r="D195" s="226">
        <v>18219.8</v>
      </c>
      <c r="E195" s="226">
        <f>'Функциональная 2020'!H1066</f>
        <v>17719.8</v>
      </c>
      <c r="F195" s="228">
        <f t="shared" si="5"/>
        <v>-500</v>
      </c>
    </row>
    <row r="196" spans="1:6" x14ac:dyDescent="0.2">
      <c r="A196" s="199" t="s">
        <v>568</v>
      </c>
      <c r="B196" s="212" t="s">
        <v>567</v>
      </c>
      <c r="C196" s="212"/>
      <c r="D196" s="205">
        <v>188067.69999999998</v>
      </c>
      <c r="E196" s="205">
        <f>E197+E217+E240+E248</f>
        <v>189104.4</v>
      </c>
      <c r="F196" s="206">
        <f t="shared" si="5"/>
        <v>1036.7000000000116</v>
      </c>
    </row>
    <row r="197" spans="1:6" x14ac:dyDescent="0.2">
      <c r="A197" s="199" t="s">
        <v>855</v>
      </c>
      <c r="B197" s="212" t="s">
        <v>854</v>
      </c>
      <c r="C197" s="212"/>
      <c r="D197" s="205">
        <v>159089</v>
      </c>
      <c r="E197" s="205">
        <f>E198+E209+E213</f>
        <v>160125.70000000001</v>
      </c>
      <c r="F197" s="206">
        <f t="shared" si="5"/>
        <v>1036.7000000000116</v>
      </c>
    </row>
    <row r="198" spans="1:6" ht="22.5" x14ac:dyDescent="0.2">
      <c r="A198" s="199" t="s">
        <v>853</v>
      </c>
      <c r="B198" s="212" t="s">
        <v>852</v>
      </c>
      <c r="C198" s="212"/>
      <c r="D198" s="205">
        <v>131989</v>
      </c>
      <c r="E198" s="205">
        <f>E199+E204</f>
        <v>131989</v>
      </c>
      <c r="F198" s="206">
        <f t="shared" si="5"/>
        <v>0</v>
      </c>
    </row>
    <row r="199" spans="1:6" x14ac:dyDescent="0.2">
      <c r="A199" s="202" t="s">
        <v>851</v>
      </c>
      <c r="B199" s="209" t="s">
        <v>850</v>
      </c>
      <c r="C199" s="209"/>
      <c r="D199" s="226">
        <v>121331</v>
      </c>
      <c r="E199" s="226">
        <f>E200+E202</f>
        <v>121331</v>
      </c>
      <c r="F199" s="228">
        <f t="shared" si="5"/>
        <v>0</v>
      </c>
    </row>
    <row r="200" spans="1:6" x14ac:dyDescent="0.2">
      <c r="A200" s="202" t="s">
        <v>1347</v>
      </c>
      <c r="B200" s="209" t="s">
        <v>850</v>
      </c>
      <c r="C200" s="209" t="s">
        <v>535</v>
      </c>
      <c r="D200" s="226">
        <v>906.9</v>
      </c>
      <c r="E200" s="226">
        <f>E201</f>
        <v>906.9</v>
      </c>
      <c r="F200" s="228">
        <f t="shared" si="5"/>
        <v>0</v>
      </c>
    </row>
    <row r="201" spans="1:6" x14ac:dyDescent="0.2">
      <c r="A201" s="202" t="s">
        <v>534</v>
      </c>
      <c r="B201" s="209" t="s">
        <v>850</v>
      </c>
      <c r="C201" s="209" t="s">
        <v>529</v>
      </c>
      <c r="D201" s="226">
        <v>906.9</v>
      </c>
      <c r="E201" s="226">
        <f>'Функциональная 2020'!H1181</f>
        <v>906.9</v>
      </c>
      <c r="F201" s="228">
        <f t="shared" si="5"/>
        <v>0</v>
      </c>
    </row>
    <row r="202" spans="1:6" x14ac:dyDescent="0.2">
      <c r="A202" s="202" t="s">
        <v>553</v>
      </c>
      <c r="B202" s="209" t="s">
        <v>850</v>
      </c>
      <c r="C202" s="209" t="s">
        <v>552</v>
      </c>
      <c r="D202" s="226">
        <v>120424.1</v>
      </c>
      <c r="E202" s="226">
        <f>E203</f>
        <v>120424.1</v>
      </c>
      <c r="F202" s="228">
        <f t="shared" si="5"/>
        <v>0</v>
      </c>
    </row>
    <row r="203" spans="1:6" x14ac:dyDescent="0.2">
      <c r="A203" s="202" t="s">
        <v>832</v>
      </c>
      <c r="B203" s="209" t="s">
        <v>850</v>
      </c>
      <c r="C203" s="209" t="s">
        <v>830</v>
      </c>
      <c r="D203" s="226">
        <v>120424.1</v>
      </c>
      <c r="E203" s="226">
        <f>'Функциональная 2020'!H1183</f>
        <v>120424.1</v>
      </c>
      <c r="F203" s="228">
        <f t="shared" si="5"/>
        <v>0</v>
      </c>
    </row>
    <row r="204" spans="1:6" x14ac:dyDescent="0.2">
      <c r="A204" s="202" t="s">
        <v>1253</v>
      </c>
      <c r="B204" s="209" t="s">
        <v>1252</v>
      </c>
      <c r="C204" s="209"/>
      <c r="D204" s="226">
        <v>10658</v>
      </c>
      <c r="E204" s="226">
        <f>E205+E207</f>
        <v>10658</v>
      </c>
      <c r="F204" s="228">
        <f t="shared" si="5"/>
        <v>0</v>
      </c>
    </row>
    <row r="205" spans="1:6" ht="22.5" x14ac:dyDescent="0.2">
      <c r="A205" s="202" t="s">
        <v>1348</v>
      </c>
      <c r="B205" s="209" t="s">
        <v>1252</v>
      </c>
      <c r="C205" s="209" t="s">
        <v>556</v>
      </c>
      <c r="D205" s="226">
        <v>9543.4</v>
      </c>
      <c r="E205" s="226">
        <f>E206</f>
        <v>9543.4</v>
      </c>
      <c r="F205" s="228">
        <f t="shared" si="5"/>
        <v>0</v>
      </c>
    </row>
    <row r="206" spans="1:6" x14ac:dyDescent="0.2">
      <c r="A206" s="202" t="s">
        <v>749</v>
      </c>
      <c r="B206" s="209" t="s">
        <v>1252</v>
      </c>
      <c r="C206" s="209" t="s">
        <v>745</v>
      </c>
      <c r="D206" s="226">
        <v>9543.4</v>
      </c>
      <c r="E206" s="226">
        <f>'Функциональная 2020'!H60</f>
        <v>9543.4</v>
      </c>
      <c r="F206" s="228">
        <f t="shared" si="5"/>
        <v>0</v>
      </c>
    </row>
    <row r="207" spans="1:6" x14ac:dyDescent="0.2">
      <c r="A207" s="202" t="s">
        <v>1347</v>
      </c>
      <c r="B207" s="209" t="s">
        <v>1252</v>
      </c>
      <c r="C207" s="209" t="s">
        <v>535</v>
      </c>
      <c r="D207" s="226">
        <v>1114.5999999999999</v>
      </c>
      <c r="E207" s="226">
        <f>E208</f>
        <v>1114.5999999999999</v>
      </c>
      <c r="F207" s="228">
        <f t="shared" si="5"/>
        <v>0</v>
      </c>
    </row>
    <row r="208" spans="1:6" x14ac:dyDescent="0.2">
      <c r="A208" s="202" t="s">
        <v>534</v>
      </c>
      <c r="B208" s="209" t="s">
        <v>1252</v>
      </c>
      <c r="C208" s="209" t="s">
        <v>529</v>
      </c>
      <c r="D208" s="226">
        <v>1114.5999999999999</v>
      </c>
      <c r="E208" s="226">
        <f>'Функциональная 2020'!H62</f>
        <v>1114.5999999999999</v>
      </c>
      <c r="F208" s="228">
        <f t="shared" si="5"/>
        <v>0</v>
      </c>
    </row>
    <row r="209" spans="1:6" ht="22.5" x14ac:dyDescent="0.2">
      <c r="A209" s="199" t="s">
        <v>868</v>
      </c>
      <c r="B209" s="212" t="s">
        <v>867</v>
      </c>
      <c r="C209" s="212"/>
      <c r="D209" s="205">
        <v>27100</v>
      </c>
      <c r="E209" s="205">
        <f>E210</f>
        <v>27100</v>
      </c>
      <c r="F209" s="206">
        <f t="shared" si="5"/>
        <v>0</v>
      </c>
    </row>
    <row r="210" spans="1:6" x14ac:dyDescent="0.2">
      <c r="A210" s="202" t="s">
        <v>866</v>
      </c>
      <c r="B210" s="209" t="s">
        <v>865</v>
      </c>
      <c r="C210" s="209"/>
      <c r="D210" s="226">
        <v>27100</v>
      </c>
      <c r="E210" s="226">
        <f>E211</f>
        <v>27100</v>
      </c>
      <c r="F210" s="228">
        <f t="shared" si="5"/>
        <v>0</v>
      </c>
    </row>
    <row r="211" spans="1:6" x14ac:dyDescent="0.2">
      <c r="A211" s="202" t="s">
        <v>553</v>
      </c>
      <c r="B211" s="209" t="s">
        <v>865</v>
      </c>
      <c r="C211" s="209" t="s">
        <v>552</v>
      </c>
      <c r="D211" s="226">
        <v>27100</v>
      </c>
      <c r="E211" s="226">
        <f>E212</f>
        <v>27100</v>
      </c>
      <c r="F211" s="228">
        <f t="shared" si="5"/>
        <v>0</v>
      </c>
    </row>
    <row r="212" spans="1:6" x14ac:dyDescent="0.2">
      <c r="A212" s="202" t="s">
        <v>832</v>
      </c>
      <c r="B212" s="209" t="s">
        <v>865</v>
      </c>
      <c r="C212" s="209" t="s">
        <v>830</v>
      </c>
      <c r="D212" s="226">
        <v>27100</v>
      </c>
      <c r="E212" s="226">
        <f>'Функциональная 2020'!H1168</f>
        <v>27100</v>
      </c>
      <c r="F212" s="228">
        <f t="shared" si="5"/>
        <v>0</v>
      </c>
    </row>
    <row r="213" spans="1:6" s="419" customFormat="1" x14ac:dyDescent="0.2">
      <c r="A213" s="199" t="s">
        <v>1617</v>
      </c>
      <c r="B213" s="212" t="s">
        <v>1618</v>
      </c>
      <c r="C213" s="209"/>
      <c r="D213" s="205">
        <f t="shared" ref="D213:E215" si="6">D214</f>
        <v>0</v>
      </c>
      <c r="E213" s="205">
        <f t="shared" si="6"/>
        <v>1036.7</v>
      </c>
      <c r="F213" s="206">
        <f t="shared" si="5"/>
        <v>1036.7</v>
      </c>
    </row>
    <row r="214" spans="1:6" s="419" customFormat="1" x14ac:dyDescent="0.2">
      <c r="A214" s="202" t="s">
        <v>1619</v>
      </c>
      <c r="B214" s="209" t="s">
        <v>1620</v>
      </c>
      <c r="C214" s="209"/>
      <c r="D214" s="226">
        <f t="shared" si="6"/>
        <v>0</v>
      </c>
      <c r="E214" s="226">
        <f t="shared" si="6"/>
        <v>1036.7</v>
      </c>
      <c r="F214" s="228">
        <f t="shared" si="5"/>
        <v>1036.7</v>
      </c>
    </row>
    <row r="215" spans="1:6" s="419" customFormat="1" x14ac:dyDescent="0.2">
      <c r="A215" s="202" t="s">
        <v>547</v>
      </c>
      <c r="B215" s="209" t="s">
        <v>1620</v>
      </c>
      <c r="C215" s="209" t="s">
        <v>519</v>
      </c>
      <c r="D215" s="226">
        <f t="shared" si="6"/>
        <v>0</v>
      </c>
      <c r="E215" s="226">
        <f t="shared" si="6"/>
        <v>1036.7</v>
      </c>
      <c r="F215" s="228">
        <f t="shared" si="5"/>
        <v>1036.7</v>
      </c>
    </row>
    <row r="216" spans="1:6" s="419" customFormat="1" x14ac:dyDescent="0.2">
      <c r="A216" s="202" t="s">
        <v>571</v>
      </c>
      <c r="B216" s="209" t="s">
        <v>1620</v>
      </c>
      <c r="C216" s="209" t="s">
        <v>522</v>
      </c>
      <c r="D216" s="226">
        <v>0</v>
      </c>
      <c r="E216" s="226">
        <f>'Функциональная 2020'!H1141</f>
        <v>1036.7</v>
      </c>
      <c r="F216" s="228">
        <f t="shared" si="5"/>
        <v>1036.7</v>
      </c>
    </row>
    <row r="217" spans="1:6" x14ac:dyDescent="0.2">
      <c r="A217" s="199" t="s">
        <v>566</v>
      </c>
      <c r="B217" s="212" t="s">
        <v>565</v>
      </c>
      <c r="C217" s="212"/>
      <c r="D217" s="205">
        <v>2409.8000000000002</v>
      </c>
      <c r="E217" s="205">
        <f>E218+E232</f>
        <v>2409.8000000000002</v>
      </c>
      <c r="F217" s="206">
        <f t="shared" si="5"/>
        <v>0</v>
      </c>
    </row>
    <row r="218" spans="1:6" ht="22.5" x14ac:dyDescent="0.2">
      <c r="A218" s="199" t="s">
        <v>1387</v>
      </c>
      <c r="B218" s="212" t="s">
        <v>578</v>
      </c>
      <c r="C218" s="212"/>
      <c r="D218" s="205">
        <v>2047.3</v>
      </c>
      <c r="E218" s="205">
        <f>E219+E222+E226+E229</f>
        <v>2047.3</v>
      </c>
      <c r="F218" s="206">
        <f t="shared" si="5"/>
        <v>0</v>
      </c>
    </row>
    <row r="219" spans="1:6" x14ac:dyDescent="0.2">
      <c r="A219" s="202" t="s">
        <v>914</v>
      </c>
      <c r="B219" s="209" t="s">
        <v>913</v>
      </c>
      <c r="C219" s="209"/>
      <c r="D219" s="226">
        <v>760</v>
      </c>
      <c r="E219" s="226">
        <f>E220</f>
        <v>760</v>
      </c>
      <c r="F219" s="228">
        <f t="shared" si="5"/>
        <v>0</v>
      </c>
    </row>
    <row r="220" spans="1:6" x14ac:dyDescent="0.2">
      <c r="A220" s="202" t="s">
        <v>1347</v>
      </c>
      <c r="B220" s="209" t="s">
        <v>913</v>
      </c>
      <c r="C220" s="209" t="s">
        <v>535</v>
      </c>
      <c r="D220" s="226">
        <v>760</v>
      </c>
      <c r="E220" s="226">
        <f>E221</f>
        <v>760</v>
      </c>
      <c r="F220" s="228">
        <f t="shared" si="5"/>
        <v>0</v>
      </c>
    </row>
    <row r="221" spans="1:6" x14ac:dyDescent="0.2">
      <c r="A221" s="202" t="s">
        <v>534</v>
      </c>
      <c r="B221" s="209" t="s">
        <v>913</v>
      </c>
      <c r="C221" s="209" t="s">
        <v>529</v>
      </c>
      <c r="D221" s="226">
        <v>760</v>
      </c>
      <c r="E221" s="226">
        <f>'Функциональная 2020'!H918</f>
        <v>760</v>
      </c>
      <c r="F221" s="228">
        <f t="shared" si="5"/>
        <v>0</v>
      </c>
    </row>
    <row r="222" spans="1:6" ht="22.5" x14ac:dyDescent="0.2">
      <c r="A222" s="202" t="s">
        <v>1388</v>
      </c>
      <c r="B222" s="209" t="s">
        <v>577</v>
      </c>
      <c r="C222" s="209"/>
      <c r="D222" s="226">
        <v>801.3</v>
      </c>
      <c r="E222" s="226">
        <f>E223</f>
        <v>801.3</v>
      </c>
      <c r="F222" s="228">
        <f t="shared" si="5"/>
        <v>0</v>
      </c>
    </row>
    <row r="223" spans="1:6" x14ac:dyDescent="0.2">
      <c r="A223" s="202" t="s">
        <v>547</v>
      </c>
      <c r="B223" s="209" t="s">
        <v>577</v>
      </c>
      <c r="C223" s="209" t="s">
        <v>519</v>
      </c>
      <c r="D223" s="226">
        <v>801.3</v>
      </c>
      <c r="E223" s="226">
        <f>E224+E225</f>
        <v>801.3</v>
      </c>
      <c r="F223" s="228">
        <f t="shared" si="5"/>
        <v>0</v>
      </c>
    </row>
    <row r="224" spans="1:6" x14ac:dyDescent="0.2">
      <c r="A224" s="202" t="s">
        <v>571</v>
      </c>
      <c r="B224" s="209" t="s">
        <v>577</v>
      </c>
      <c r="C224" s="209" t="s">
        <v>522</v>
      </c>
      <c r="D224" s="226">
        <v>107</v>
      </c>
      <c r="E224" s="226">
        <f>'Функциональная 2020'!H1034+'Функциональная 2020'!H1231</f>
        <v>107</v>
      </c>
      <c r="F224" s="228">
        <f t="shared" si="5"/>
        <v>0</v>
      </c>
    </row>
    <row r="225" spans="1:6" x14ac:dyDescent="0.2">
      <c r="A225" s="202" t="s">
        <v>546</v>
      </c>
      <c r="B225" s="209" t="s">
        <v>577</v>
      </c>
      <c r="C225" s="209" t="s">
        <v>544</v>
      </c>
      <c r="D225" s="226">
        <v>694.3</v>
      </c>
      <c r="E225" s="226">
        <f>'Функциональная 2020'!H1232+'Ведомственная 2020'!H1357</f>
        <v>694.3</v>
      </c>
      <c r="F225" s="228">
        <f t="shared" si="5"/>
        <v>0</v>
      </c>
    </row>
    <row r="226" spans="1:6" ht="33.75" x14ac:dyDescent="0.2">
      <c r="A226" s="202" t="s">
        <v>1389</v>
      </c>
      <c r="B226" s="209" t="s">
        <v>1119</v>
      </c>
      <c r="C226" s="209"/>
      <c r="D226" s="226">
        <v>475</v>
      </c>
      <c r="E226" s="226">
        <f>E227</f>
        <v>475</v>
      </c>
      <c r="F226" s="228">
        <f t="shared" si="5"/>
        <v>0</v>
      </c>
    </row>
    <row r="227" spans="1:6" x14ac:dyDescent="0.2">
      <c r="A227" s="202" t="s">
        <v>547</v>
      </c>
      <c r="B227" s="209" t="s">
        <v>1119</v>
      </c>
      <c r="C227" s="209" t="s">
        <v>519</v>
      </c>
      <c r="D227" s="226">
        <v>475</v>
      </c>
      <c r="E227" s="226">
        <f>E228</f>
        <v>475</v>
      </c>
      <c r="F227" s="228">
        <f t="shared" si="5"/>
        <v>0</v>
      </c>
    </row>
    <row r="228" spans="1:6" x14ac:dyDescent="0.2">
      <c r="A228" s="202" t="s">
        <v>571</v>
      </c>
      <c r="B228" s="209" t="s">
        <v>1119</v>
      </c>
      <c r="C228" s="209" t="s">
        <v>522</v>
      </c>
      <c r="D228" s="226">
        <v>475</v>
      </c>
      <c r="E228" s="226">
        <f>'Функциональная 2020'!H408</f>
        <v>475</v>
      </c>
      <c r="F228" s="228">
        <f t="shared" si="5"/>
        <v>0</v>
      </c>
    </row>
    <row r="229" spans="1:6" ht="33.75" x14ac:dyDescent="0.2">
      <c r="A229" s="202" t="s">
        <v>1390</v>
      </c>
      <c r="B229" s="209" t="s">
        <v>1118</v>
      </c>
      <c r="C229" s="209"/>
      <c r="D229" s="226">
        <v>11</v>
      </c>
      <c r="E229" s="226">
        <f>E230</f>
        <v>11</v>
      </c>
      <c r="F229" s="228">
        <f t="shared" si="5"/>
        <v>0</v>
      </c>
    </row>
    <row r="230" spans="1:6" x14ac:dyDescent="0.2">
      <c r="A230" s="202" t="s">
        <v>1347</v>
      </c>
      <c r="B230" s="209" t="s">
        <v>1118</v>
      </c>
      <c r="C230" s="209" t="s">
        <v>535</v>
      </c>
      <c r="D230" s="226">
        <v>11</v>
      </c>
      <c r="E230" s="226">
        <f>E231</f>
        <v>11</v>
      </c>
      <c r="F230" s="228">
        <f t="shared" si="5"/>
        <v>0</v>
      </c>
    </row>
    <row r="231" spans="1:6" x14ac:dyDescent="0.2">
      <c r="A231" s="202" t="s">
        <v>534</v>
      </c>
      <c r="B231" s="209" t="s">
        <v>1118</v>
      </c>
      <c r="C231" s="209" t="s">
        <v>529</v>
      </c>
      <c r="D231" s="226">
        <v>11</v>
      </c>
      <c r="E231" s="226">
        <f>'Функциональная 2020'!H411</f>
        <v>11</v>
      </c>
      <c r="F231" s="228">
        <f t="shared" si="5"/>
        <v>0</v>
      </c>
    </row>
    <row r="232" spans="1:6" ht="22.5" x14ac:dyDescent="0.2">
      <c r="A232" s="199" t="s">
        <v>564</v>
      </c>
      <c r="B232" s="212" t="s">
        <v>563</v>
      </c>
      <c r="C232" s="212"/>
      <c r="D232" s="205">
        <v>362.5</v>
      </c>
      <c r="E232" s="205">
        <f>E233</f>
        <v>362.5</v>
      </c>
      <c r="F232" s="206">
        <f t="shared" si="5"/>
        <v>0</v>
      </c>
    </row>
    <row r="233" spans="1:6" ht="22.5" x14ac:dyDescent="0.2">
      <c r="A233" s="202" t="s">
        <v>562</v>
      </c>
      <c r="B233" s="209" t="s">
        <v>561</v>
      </c>
      <c r="C233" s="209"/>
      <c r="D233" s="226">
        <v>362.5</v>
      </c>
      <c r="E233" s="226">
        <f>E234+E236+E238</f>
        <v>362.5</v>
      </c>
      <c r="F233" s="228">
        <f t="shared" si="5"/>
        <v>0</v>
      </c>
    </row>
    <row r="234" spans="1:6" ht="22.5" x14ac:dyDescent="0.2">
      <c r="A234" s="202" t="s">
        <v>1348</v>
      </c>
      <c r="B234" s="209" t="s">
        <v>561</v>
      </c>
      <c r="C234" s="209" t="s">
        <v>556</v>
      </c>
      <c r="D234" s="226">
        <v>135</v>
      </c>
      <c r="E234" s="226">
        <f>E235</f>
        <v>135</v>
      </c>
      <c r="F234" s="228">
        <f t="shared" si="5"/>
        <v>0</v>
      </c>
    </row>
    <row r="235" spans="1:6" x14ac:dyDescent="0.2">
      <c r="A235" s="202" t="s">
        <v>555</v>
      </c>
      <c r="B235" s="209" t="s">
        <v>561</v>
      </c>
      <c r="C235" s="209" t="s">
        <v>554</v>
      </c>
      <c r="D235" s="226">
        <v>135</v>
      </c>
      <c r="E235" s="226">
        <f>'Функциональная 2020'!H1264</f>
        <v>135</v>
      </c>
      <c r="F235" s="228">
        <f t="shared" si="5"/>
        <v>0</v>
      </c>
    </row>
    <row r="236" spans="1:6" x14ac:dyDescent="0.2">
      <c r="A236" s="202" t="s">
        <v>1347</v>
      </c>
      <c r="B236" s="209" t="s">
        <v>561</v>
      </c>
      <c r="C236" s="209" t="s">
        <v>535</v>
      </c>
      <c r="D236" s="226">
        <v>180</v>
      </c>
      <c r="E236" s="226">
        <f>E237</f>
        <v>180</v>
      </c>
      <c r="F236" s="228">
        <f t="shared" si="5"/>
        <v>0</v>
      </c>
    </row>
    <row r="237" spans="1:6" x14ac:dyDescent="0.2">
      <c r="A237" s="202" t="s">
        <v>534</v>
      </c>
      <c r="B237" s="209" t="s">
        <v>561</v>
      </c>
      <c r="C237" s="209" t="s">
        <v>529</v>
      </c>
      <c r="D237" s="226">
        <v>180</v>
      </c>
      <c r="E237" s="226">
        <f>'Функциональная 2020'!H1266</f>
        <v>180</v>
      </c>
      <c r="F237" s="228">
        <f t="shared" si="5"/>
        <v>0</v>
      </c>
    </row>
    <row r="238" spans="1:6" x14ac:dyDescent="0.2">
      <c r="A238" s="202" t="s">
        <v>547</v>
      </c>
      <c r="B238" s="209" t="s">
        <v>561</v>
      </c>
      <c r="C238" s="209" t="s">
        <v>519</v>
      </c>
      <c r="D238" s="226">
        <v>47.5</v>
      </c>
      <c r="E238" s="226">
        <f>E239</f>
        <v>47.5</v>
      </c>
      <c r="F238" s="228">
        <f t="shared" si="5"/>
        <v>0</v>
      </c>
    </row>
    <row r="239" spans="1:6" s="304" customFormat="1" x14ac:dyDescent="0.2">
      <c r="A239" s="202" t="s">
        <v>546</v>
      </c>
      <c r="B239" s="209" t="s">
        <v>561</v>
      </c>
      <c r="C239" s="209">
        <v>620</v>
      </c>
      <c r="D239" s="226">
        <v>47.5</v>
      </c>
      <c r="E239" s="226">
        <f>'Ведомственная 2020'!H1361</f>
        <v>47.5</v>
      </c>
      <c r="F239" s="228">
        <f t="shared" si="5"/>
        <v>0</v>
      </c>
    </row>
    <row r="240" spans="1:6" x14ac:dyDescent="0.2">
      <c r="A240" s="199" t="s">
        <v>675</v>
      </c>
      <c r="B240" s="212" t="s">
        <v>674</v>
      </c>
      <c r="C240" s="212"/>
      <c r="D240" s="205">
        <v>26368.9</v>
      </c>
      <c r="E240" s="205">
        <f>E241</f>
        <v>26368.9</v>
      </c>
      <c r="F240" s="206">
        <f t="shared" si="5"/>
        <v>0</v>
      </c>
    </row>
    <row r="241" spans="1:6" ht="22.5" x14ac:dyDescent="0.2">
      <c r="A241" s="199" t="s">
        <v>673</v>
      </c>
      <c r="B241" s="212" t="s">
        <v>672</v>
      </c>
      <c r="C241" s="212"/>
      <c r="D241" s="205">
        <v>26368.9</v>
      </c>
      <c r="E241" s="205">
        <f>E242</f>
        <v>26368.9</v>
      </c>
      <c r="F241" s="206">
        <f t="shared" si="5"/>
        <v>0</v>
      </c>
    </row>
    <row r="242" spans="1:6" x14ac:dyDescent="0.2">
      <c r="A242" s="202" t="s">
        <v>671</v>
      </c>
      <c r="B242" s="209" t="s">
        <v>669</v>
      </c>
      <c r="C242" s="209"/>
      <c r="D242" s="226">
        <v>26368.9</v>
      </c>
      <c r="E242" s="226">
        <f>E243+E245</f>
        <v>26368.9</v>
      </c>
      <c r="F242" s="228">
        <f t="shared" si="5"/>
        <v>0</v>
      </c>
    </row>
    <row r="243" spans="1:6" x14ac:dyDescent="0.2">
      <c r="A243" s="202" t="s">
        <v>553</v>
      </c>
      <c r="B243" s="209" t="s">
        <v>669</v>
      </c>
      <c r="C243" s="209" t="s">
        <v>552</v>
      </c>
      <c r="D243" s="226">
        <v>14536.3</v>
      </c>
      <c r="E243" s="226">
        <f>E244</f>
        <v>14536.3</v>
      </c>
      <c r="F243" s="228">
        <f t="shared" si="5"/>
        <v>0</v>
      </c>
    </row>
    <row r="244" spans="1:6" x14ac:dyDescent="0.2">
      <c r="A244" s="202" t="s">
        <v>832</v>
      </c>
      <c r="B244" s="209" t="s">
        <v>669</v>
      </c>
      <c r="C244" s="209" t="s">
        <v>830</v>
      </c>
      <c r="D244" s="226">
        <v>14536.3</v>
      </c>
      <c r="E244" s="226">
        <f>'Функциональная 2020'!H1072</f>
        <v>14536.3</v>
      </c>
      <c r="F244" s="228">
        <f t="shared" ref="F244:F321" si="7">E244-D244</f>
        <v>0</v>
      </c>
    </row>
    <row r="245" spans="1:6" x14ac:dyDescent="0.2">
      <c r="A245" s="202" t="s">
        <v>547</v>
      </c>
      <c r="B245" s="209" t="s">
        <v>669</v>
      </c>
      <c r="C245" s="209" t="s">
        <v>519</v>
      </c>
      <c r="D245" s="226">
        <v>11832.600000000002</v>
      </c>
      <c r="E245" s="226">
        <f>E246+E247</f>
        <v>11832.600000000002</v>
      </c>
      <c r="F245" s="228">
        <f t="shared" si="7"/>
        <v>0</v>
      </c>
    </row>
    <row r="246" spans="1:6" x14ac:dyDescent="0.2">
      <c r="A246" s="202" t="s">
        <v>571</v>
      </c>
      <c r="B246" s="209" t="s">
        <v>669</v>
      </c>
      <c r="C246" s="209" t="s">
        <v>522</v>
      </c>
      <c r="D246" s="226">
        <v>10444.900000000001</v>
      </c>
      <c r="E246" s="226">
        <f>'Функциональная 2020'!H1020+'Функциональная 2020'!H1074</f>
        <v>10444.900000000001</v>
      </c>
      <c r="F246" s="228">
        <f t="shared" si="7"/>
        <v>0</v>
      </c>
    </row>
    <row r="247" spans="1:6" s="304" customFormat="1" x14ac:dyDescent="0.2">
      <c r="A247" s="202" t="s">
        <v>546</v>
      </c>
      <c r="B247" s="209" t="s">
        <v>669</v>
      </c>
      <c r="C247" s="209">
        <v>620</v>
      </c>
      <c r="D247" s="226">
        <v>1387.7</v>
      </c>
      <c r="E247" s="226">
        <f>'Функциональная 2020'!H1075</f>
        <v>1387.7</v>
      </c>
      <c r="F247" s="228">
        <f t="shared" si="7"/>
        <v>0</v>
      </c>
    </row>
    <row r="248" spans="1:6" x14ac:dyDescent="0.2">
      <c r="A248" s="199" t="s">
        <v>819</v>
      </c>
      <c r="B248" s="212" t="s">
        <v>818</v>
      </c>
      <c r="C248" s="212"/>
      <c r="D248" s="205">
        <v>200</v>
      </c>
      <c r="E248" s="205">
        <f>E249</f>
        <v>200</v>
      </c>
      <c r="F248" s="206">
        <f t="shared" si="7"/>
        <v>0</v>
      </c>
    </row>
    <row r="249" spans="1:6" x14ac:dyDescent="0.2">
      <c r="A249" s="199" t="s">
        <v>817</v>
      </c>
      <c r="B249" s="212" t="s">
        <v>816</v>
      </c>
      <c r="C249" s="212"/>
      <c r="D249" s="205">
        <v>200</v>
      </c>
      <c r="E249" s="205">
        <f>E250</f>
        <v>200</v>
      </c>
      <c r="F249" s="206">
        <f t="shared" si="7"/>
        <v>0</v>
      </c>
    </row>
    <row r="250" spans="1:6" ht="22.5" x14ac:dyDescent="0.2">
      <c r="A250" s="202" t="s">
        <v>815</v>
      </c>
      <c r="B250" s="209" t="s">
        <v>814</v>
      </c>
      <c r="C250" s="209"/>
      <c r="D250" s="226">
        <v>200</v>
      </c>
      <c r="E250" s="226">
        <f>E251</f>
        <v>200</v>
      </c>
      <c r="F250" s="228">
        <f t="shared" si="7"/>
        <v>0</v>
      </c>
    </row>
    <row r="251" spans="1:6" x14ac:dyDescent="0.2">
      <c r="A251" s="202" t="s">
        <v>615</v>
      </c>
      <c r="B251" s="209" t="s">
        <v>814</v>
      </c>
      <c r="C251" s="209" t="s">
        <v>509</v>
      </c>
      <c r="D251" s="226">
        <v>200</v>
      </c>
      <c r="E251" s="226">
        <f>E252</f>
        <v>200</v>
      </c>
      <c r="F251" s="228">
        <f t="shared" si="7"/>
        <v>0</v>
      </c>
    </row>
    <row r="252" spans="1:6" ht="22.5" x14ac:dyDescent="0.2">
      <c r="A252" s="202" t="s">
        <v>1346</v>
      </c>
      <c r="B252" s="209" t="s">
        <v>814</v>
      </c>
      <c r="C252" s="209" t="s">
        <v>511</v>
      </c>
      <c r="D252" s="226">
        <v>200</v>
      </c>
      <c r="E252" s="226">
        <f>'Функциональная 2020'!H1223</f>
        <v>200</v>
      </c>
      <c r="F252" s="228">
        <f t="shared" si="7"/>
        <v>0</v>
      </c>
    </row>
    <row r="253" spans="1:6" x14ac:dyDescent="0.2">
      <c r="A253" s="199" t="s">
        <v>542</v>
      </c>
      <c r="B253" s="212" t="s">
        <v>541</v>
      </c>
      <c r="C253" s="212"/>
      <c r="D253" s="205">
        <v>433738.1</v>
      </c>
      <c r="E253" s="205">
        <f>E254+E270</f>
        <v>433738.1</v>
      </c>
      <c r="F253" s="206">
        <f t="shared" si="7"/>
        <v>0</v>
      </c>
    </row>
    <row r="254" spans="1:6" x14ac:dyDescent="0.2">
      <c r="A254" s="199" t="s">
        <v>560</v>
      </c>
      <c r="B254" s="212" t="s">
        <v>559</v>
      </c>
      <c r="C254" s="212"/>
      <c r="D254" s="205">
        <v>251736</v>
      </c>
      <c r="E254" s="205">
        <f>E255</f>
        <v>251736</v>
      </c>
      <c r="F254" s="206">
        <f t="shared" si="7"/>
        <v>0</v>
      </c>
    </row>
    <row r="255" spans="1:6" ht="22.5" x14ac:dyDescent="0.2">
      <c r="A255" s="199" t="s">
        <v>558</v>
      </c>
      <c r="B255" s="212" t="s">
        <v>557</v>
      </c>
      <c r="C255" s="212"/>
      <c r="D255" s="205">
        <v>251736</v>
      </c>
      <c r="E255" s="205">
        <f>E256+E259+E266</f>
        <v>251736</v>
      </c>
      <c r="F255" s="206">
        <f t="shared" si="7"/>
        <v>0</v>
      </c>
    </row>
    <row r="256" spans="1:6" x14ac:dyDescent="0.2">
      <c r="A256" s="202" t="s">
        <v>576</v>
      </c>
      <c r="B256" s="209" t="s">
        <v>575</v>
      </c>
      <c r="C256" s="209"/>
      <c r="D256" s="226">
        <v>4335</v>
      </c>
      <c r="E256" s="226">
        <f>E257</f>
        <v>4335</v>
      </c>
      <c r="F256" s="228">
        <f t="shared" si="7"/>
        <v>0</v>
      </c>
    </row>
    <row r="257" spans="1:6" x14ac:dyDescent="0.2">
      <c r="A257" s="202" t="s">
        <v>547</v>
      </c>
      <c r="B257" s="209" t="s">
        <v>575</v>
      </c>
      <c r="C257" s="209" t="s">
        <v>519</v>
      </c>
      <c r="D257" s="226">
        <v>4335</v>
      </c>
      <c r="E257" s="226">
        <f>E258</f>
        <v>4335</v>
      </c>
      <c r="F257" s="228">
        <f t="shared" si="7"/>
        <v>0</v>
      </c>
    </row>
    <row r="258" spans="1:6" x14ac:dyDescent="0.2">
      <c r="A258" s="202" t="s">
        <v>546</v>
      </c>
      <c r="B258" s="209" t="s">
        <v>575</v>
      </c>
      <c r="C258" s="209" t="s">
        <v>544</v>
      </c>
      <c r="D258" s="226">
        <v>4335</v>
      </c>
      <c r="E258" s="226">
        <f>'Функциональная 2020'!H1238</f>
        <v>4335</v>
      </c>
      <c r="F258" s="228">
        <f t="shared" si="7"/>
        <v>0</v>
      </c>
    </row>
    <row r="259" spans="1:6" x14ac:dyDescent="0.2">
      <c r="A259" s="202" t="s">
        <v>1641</v>
      </c>
      <c r="B259" s="209" t="s">
        <v>550</v>
      </c>
      <c r="C259" s="209"/>
      <c r="D259" s="226">
        <v>3465</v>
      </c>
      <c r="E259" s="226">
        <f>E260+E262+E264</f>
        <v>3465</v>
      </c>
      <c r="F259" s="228">
        <f t="shared" si="7"/>
        <v>0</v>
      </c>
    </row>
    <row r="260" spans="1:6" ht="22.5" x14ac:dyDescent="0.2">
      <c r="A260" s="202" t="s">
        <v>1348</v>
      </c>
      <c r="B260" s="209" t="s">
        <v>550</v>
      </c>
      <c r="C260" s="209" t="s">
        <v>556</v>
      </c>
      <c r="D260" s="226">
        <v>1015</v>
      </c>
      <c r="E260" s="226">
        <f>E261</f>
        <v>1015</v>
      </c>
      <c r="F260" s="228">
        <f t="shared" si="7"/>
        <v>0</v>
      </c>
    </row>
    <row r="261" spans="1:6" x14ac:dyDescent="0.2">
      <c r="A261" s="202" t="s">
        <v>555</v>
      </c>
      <c r="B261" s="209" t="s">
        <v>550</v>
      </c>
      <c r="C261" s="209" t="s">
        <v>554</v>
      </c>
      <c r="D261" s="226">
        <v>1015</v>
      </c>
      <c r="E261" s="226">
        <f>'Функциональная 2020'!H1272</f>
        <v>1015</v>
      </c>
      <c r="F261" s="228">
        <f t="shared" si="7"/>
        <v>0</v>
      </c>
    </row>
    <row r="262" spans="1:6" x14ac:dyDescent="0.2">
      <c r="A262" s="202" t="s">
        <v>1347</v>
      </c>
      <c r="B262" s="209" t="s">
        <v>550</v>
      </c>
      <c r="C262" s="209" t="s">
        <v>535</v>
      </c>
      <c r="D262" s="226">
        <v>1550</v>
      </c>
      <c r="E262" s="226">
        <f>E263</f>
        <v>1550</v>
      </c>
      <c r="F262" s="228">
        <f t="shared" si="7"/>
        <v>0</v>
      </c>
    </row>
    <row r="263" spans="1:6" x14ac:dyDescent="0.2">
      <c r="A263" s="202" t="s">
        <v>534</v>
      </c>
      <c r="B263" s="209" t="s">
        <v>550</v>
      </c>
      <c r="C263" s="209" t="s">
        <v>529</v>
      </c>
      <c r="D263" s="226">
        <v>1550</v>
      </c>
      <c r="E263" s="226">
        <f>'Функциональная 2020'!H1274</f>
        <v>1550</v>
      </c>
      <c r="F263" s="228">
        <f t="shared" si="7"/>
        <v>0</v>
      </c>
    </row>
    <row r="264" spans="1:6" x14ac:dyDescent="0.2">
      <c r="A264" s="202" t="s">
        <v>553</v>
      </c>
      <c r="B264" s="209" t="s">
        <v>550</v>
      </c>
      <c r="C264" s="209" t="s">
        <v>552</v>
      </c>
      <c r="D264" s="226">
        <v>900</v>
      </c>
      <c r="E264" s="226">
        <f>E265</f>
        <v>900</v>
      </c>
      <c r="F264" s="228">
        <f t="shared" si="7"/>
        <v>0</v>
      </c>
    </row>
    <row r="265" spans="1:6" x14ac:dyDescent="0.2">
      <c r="A265" s="202" t="s">
        <v>551</v>
      </c>
      <c r="B265" s="209" t="s">
        <v>550</v>
      </c>
      <c r="C265" s="209" t="s">
        <v>549</v>
      </c>
      <c r="D265" s="226">
        <v>900</v>
      </c>
      <c r="E265" s="226">
        <f>'Функциональная 2020'!H1276</f>
        <v>900</v>
      </c>
      <c r="F265" s="228">
        <f t="shared" si="7"/>
        <v>0</v>
      </c>
    </row>
    <row r="266" spans="1:6" x14ac:dyDescent="0.2">
      <c r="A266" s="202" t="s">
        <v>548</v>
      </c>
      <c r="B266" s="209" t="s">
        <v>545</v>
      </c>
      <c r="C266" s="209"/>
      <c r="D266" s="226">
        <v>243936</v>
      </c>
      <c r="E266" s="226">
        <f>E267</f>
        <v>243936</v>
      </c>
      <c r="F266" s="228">
        <f t="shared" si="7"/>
        <v>0</v>
      </c>
    </row>
    <row r="267" spans="1:6" x14ac:dyDescent="0.2">
      <c r="A267" s="202" t="s">
        <v>547</v>
      </c>
      <c r="B267" s="209" t="s">
        <v>545</v>
      </c>
      <c r="C267" s="209" t="s">
        <v>519</v>
      </c>
      <c r="D267" s="226">
        <v>243936</v>
      </c>
      <c r="E267" s="226">
        <f>E268+E269</f>
        <v>243936</v>
      </c>
      <c r="F267" s="228">
        <f t="shared" si="7"/>
        <v>0</v>
      </c>
    </row>
    <row r="268" spans="1:6" x14ac:dyDescent="0.2">
      <c r="A268" s="202" t="s">
        <v>571</v>
      </c>
      <c r="B268" s="209" t="s">
        <v>545</v>
      </c>
      <c r="C268" s="209" t="s">
        <v>522</v>
      </c>
      <c r="D268" s="226">
        <v>14894</v>
      </c>
      <c r="E268" s="226">
        <f>'Функциональная 2020'!H1241</f>
        <v>14894</v>
      </c>
      <c r="F268" s="228">
        <f t="shared" si="7"/>
        <v>0</v>
      </c>
    </row>
    <row r="269" spans="1:6" x14ac:dyDescent="0.2">
      <c r="A269" s="202" t="s">
        <v>546</v>
      </c>
      <c r="B269" s="209" t="s">
        <v>545</v>
      </c>
      <c r="C269" s="209" t="s">
        <v>544</v>
      </c>
      <c r="D269" s="226">
        <v>229042</v>
      </c>
      <c r="E269" s="226">
        <f>'Функциональная 2020'!H1242+'Функциональная 2020'!H1279</f>
        <v>229042</v>
      </c>
      <c r="F269" s="228">
        <f t="shared" si="7"/>
        <v>0</v>
      </c>
    </row>
    <row r="270" spans="1:6" x14ac:dyDescent="0.2">
      <c r="A270" s="199" t="s">
        <v>540</v>
      </c>
      <c r="B270" s="212" t="s">
        <v>539</v>
      </c>
      <c r="C270" s="212"/>
      <c r="D270" s="205">
        <v>182002.1</v>
      </c>
      <c r="E270" s="205">
        <f>E271+E276</f>
        <v>182002.1</v>
      </c>
      <c r="F270" s="206">
        <f t="shared" si="7"/>
        <v>0</v>
      </c>
    </row>
    <row r="271" spans="1:6" x14ac:dyDescent="0.2">
      <c r="A271" s="199" t="s">
        <v>574</v>
      </c>
      <c r="B271" s="212" t="s">
        <v>573</v>
      </c>
      <c r="C271" s="212"/>
      <c r="D271" s="205">
        <v>180402.1</v>
      </c>
      <c r="E271" s="205">
        <f>E272</f>
        <v>180402.1</v>
      </c>
      <c r="F271" s="206">
        <f t="shared" si="7"/>
        <v>0</v>
      </c>
    </row>
    <row r="272" spans="1:6" ht="22.5" x14ac:dyDescent="0.2">
      <c r="A272" s="202" t="s">
        <v>572</v>
      </c>
      <c r="B272" s="209" t="s">
        <v>570</v>
      </c>
      <c r="C272" s="209"/>
      <c r="D272" s="226">
        <v>180402.1</v>
      </c>
      <c r="E272" s="226">
        <f>E273</f>
        <v>180402.1</v>
      </c>
      <c r="F272" s="228">
        <f t="shared" si="7"/>
        <v>0</v>
      </c>
    </row>
    <row r="273" spans="1:6" x14ac:dyDescent="0.2">
      <c r="A273" s="202" t="s">
        <v>547</v>
      </c>
      <c r="B273" s="209" t="s">
        <v>570</v>
      </c>
      <c r="C273" s="209" t="s">
        <v>519</v>
      </c>
      <c r="D273" s="226">
        <v>180402.1</v>
      </c>
      <c r="E273" s="226">
        <f>E274+E275</f>
        <v>180402.1</v>
      </c>
      <c r="F273" s="228">
        <f t="shared" si="7"/>
        <v>0</v>
      </c>
    </row>
    <row r="274" spans="1:6" x14ac:dyDescent="0.2">
      <c r="A274" s="202" t="s">
        <v>571</v>
      </c>
      <c r="B274" s="209" t="s">
        <v>570</v>
      </c>
      <c r="C274" s="209" t="s">
        <v>522</v>
      </c>
      <c r="D274" s="226">
        <v>127903.8</v>
      </c>
      <c r="E274" s="226">
        <f>'Функциональная 2020'!H1247</f>
        <v>127903.8</v>
      </c>
      <c r="F274" s="228">
        <f t="shared" si="7"/>
        <v>0</v>
      </c>
    </row>
    <row r="275" spans="1:6" x14ac:dyDescent="0.2">
      <c r="A275" s="202" t="s">
        <v>546</v>
      </c>
      <c r="B275" s="209" t="s">
        <v>570</v>
      </c>
      <c r="C275" s="209" t="s">
        <v>544</v>
      </c>
      <c r="D275" s="226">
        <v>52498.3</v>
      </c>
      <c r="E275" s="226">
        <f>'Функциональная 2020'!H1248</f>
        <v>52498.3</v>
      </c>
      <c r="F275" s="228">
        <f t="shared" si="7"/>
        <v>0</v>
      </c>
    </row>
    <row r="276" spans="1:6" x14ac:dyDescent="0.2">
      <c r="A276" s="199" t="s">
        <v>538</v>
      </c>
      <c r="B276" s="212" t="s">
        <v>537</v>
      </c>
      <c r="C276" s="212"/>
      <c r="D276" s="205">
        <v>1600</v>
      </c>
      <c r="E276" s="205">
        <f>E277</f>
        <v>1600</v>
      </c>
      <c r="F276" s="206">
        <f t="shared" si="7"/>
        <v>0</v>
      </c>
    </row>
    <row r="277" spans="1:6" ht="22.5" x14ac:dyDescent="0.2">
      <c r="A277" s="202" t="s">
        <v>536</v>
      </c>
      <c r="B277" s="209" t="s">
        <v>530</v>
      </c>
      <c r="C277" s="209"/>
      <c r="D277" s="226">
        <v>1600</v>
      </c>
      <c r="E277" s="226">
        <f>E278</f>
        <v>1600</v>
      </c>
      <c r="F277" s="228">
        <f t="shared" si="7"/>
        <v>0</v>
      </c>
    </row>
    <row r="278" spans="1:6" s="302" customFormat="1" x14ac:dyDescent="0.2">
      <c r="A278" s="202" t="s">
        <v>547</v>
      </c>
      <c r="B278" s="209" t="s">
        <v>530</v>
      </c>
      <c r="C278" s="209">
        <v>600</v>
      </c>
      <c r="D278" s="226">
        <v>1600</v>
      </c>
      <c r="E278" s="226">
        <f>E279</f>
        <v>1600</v>
      </c>
      <c r="F278" s="228">
        <f t="shared" si="7"/>
        <v>0</v>
      </c>
    </row>
    <row r="279" spans="1:6" s="302" customFormat="1" x14ac:dyDescent="0.2">
      <c r="A279" s="202" t="s">
        <v>571</v>
      </c>
      <c r="B279" s="209" t="s">
        <v>530</v>
      </c>
      <c r="C279" s="209">
        <v>610</v>
      </c>
      <c r="D279" s="226">
        <v>1600</v>
      </c>
      <c r="E279" s="226">
        <f>'Функциональная 2020'!H1286</f>
        <v>1600</v>
      </c>
      <c r="F279" s="228">
        <f t="shared" si="7"/>
        <v>0</v>
      </c>
    </row>
    <row r="280" spans="1:6" x14ac:dyDescent="0.2">
      <c r="A280" s="199" t="s">
        <v>1145</v>
      </c>
      <c r="B280" s="212" t="s">
        <v>1144</v>
      </c>
      <c r="C280" s="212"/>
      <c r="D280" s="205">
        <v>7627</v>
      </c>
      <c r="E280" s="205">
        <f>E281+E286</f>
        <v>7979</v>
      </c>
      <c r="F280" s="206">
        <f t="shared" si="7"/>
        <v>352</v>
      </c>
    </row>
    <row r="281" spans="1:6" x14ac:dyDescent="0.2">
      <c r="A281" s="199" t="s">
        <v>1143</v>
      </c>
      <c r="B281" s="212" t="s">
        <v>1142</v>
      </c>
      <c r="C281" s="212"/>
      <c r="D281" s="205">
        <v>3956</v>
      </c>
      <c r="E281" s="205">
        <f>E282</f>
        <v>3956</v>
      </c>
      <c r="F281" s="206">
        <f t="shared" si="7"/>
        <v>0</v>
      </c>
    </row>
    <row r="282" spans="1:6" ht="22.5" x14ac:dyDescent="0.2">
      <c r="A282" s="199" t="s">
        <v>1141</v>
      </c>
      <c r="B282" s="212" t="s">
        <v>1140</v>
      </c>
      <c r="C282" s="212"/>
      <c r="D282" s="205">
        <v>3956</v>
      </c>
      <c r="E282" s="205">
        <f>E283</f>
        <v>3956</v>
      </c>
      <c r="F282" s="206">
        <f t="shared" si="7"/>
        <v>0</v>
      </c>
    </row>
    <row r="283" spans="1:6" x14ac:dyDescent="0.2">
      <c r="A283" s="202" t="s">
        <v>1139</v>
      </c>
      <c r="B283" s="209" t="s">
        <v>1138</v>
      </c>
      <c r="C283" s="209"/>
      <c r="D283" s="226">
        <v>3956</v>
      </c>
      <c r="E283" s="226">
        <f>E284</f>
        <v>3956</v>
      </c>
      <c r="F283" s="228">
        <f t="shared" si="7"/>
        <v>0</v>
      </c>
    </row>
    <row r="284" spans="1:6" x14ac:dyDescent="0.2">
      <c r="A284" s="202" t="s">
        <v>1347</v>
      </c>
      <c r="B284" s="209" t="s">
        <v>1138</v>
      </c>
      <c r="C284" s="209" t="s">
        <v>535</v>
      </c>
      <c r="D284" s="226">
        <v>3956</v>
      </c>
      <c r="E284" s="226">
        <f>E285</f>
        <v>3956</v>
      </c>
      <c r="F284" s="228">
        <f t="shared" si="7"/>
        <v>0</v>
      </c>
    </row>
    <row r="285" spans="1:6" x14ac:dyDescent="0.2">
      <c r="A285" s="202" t="s">
        <v>534</v>
      </c>
      <c r="B285" s="209" t="s">
        <v>1138</v>
      </c>
      <c r="C285" s="209" t="s">
        <v>529</v>
      </c>
      <c r="D285" s="226">
        <v>3956</v>
      </c>
      <c r="E285" s="226">
        <f>'Функциональная 2020'!H380</f>
        <v>3956</v>
      </c>
      <c r="F285" s="228">
        <f t="shared" si="7"/>
        <v>0</v>
      </c>
    </row>
    <row r="286" spans="1:6" x14ac:dyDescent="0.2">
      <c r="A286" s="199" t="s">
        <v>1137</v>
      </c>
      <c r="B286" s="212" t="s">
        <v>1136</v>
      </c>
      <c r="C286" s="212"/>
      <c r="D286" s="205">
        <v>3671</v>
      </c>
      <c r="E286" s="205">
        <f>E287</f>
        <v>4023</v>
      </c>
      <c r="F286" s="206">
        <f t="shared" si="7"/>
        <v>352</v>
      </c>
    </row>
    <row r="287" spans="1:6" ht="22.5" x14ac:dyDescent="0.2">
      <c r="A287" s="199" t="s">
        <v>1135</v>
      </c>
      <c r="B287" s="212" t="s">
        <v>1134</v>
      </c>
      <c r="C287" s="212"/>
      <c r="D287" s="205">
        <v>3671</v>
      </c>
      <c r="E287" s="205">
        <f>E288+E293</f>
        <v>4023</v>
      </c>
      <c r="F287" s="206">
        <f t="shared" si="7"/>
        <v>352</v>
      </c>
    </row>
    <row r="288" spans="1:6" ht="22.5" x14ac:dyDescent="0.2">
      <c r="A288" s="202" t="s">
        <v>1606</v>
      </c>
      <c r="B288" s="209" t="s">
        <v>1133</v>
      </c>
      <c r="C288" s="209"/>
      <c r="D288" s="226">
        <v>3371</v>
      </c>
      <c r="E288" s="226">
        <f>E289+E291</f>
        <v>3723</v>
      </c>
      <c r="F288" s="228">
        <f t="shared" si="7"/>
        <v>352</v>
      </c>
    </row>
    <row r="289" spans="1:6" ht="22.5" x14ac:dyDescent="0.2">
      <c r="A289" s="202" t="s">
        <v>1348</v>
      </c>
      <c r="B289" s="209" t="s">
        <v>1133</v>
      </c>
      <c r="C289" s="209" t="s">
        <v>556</v>
      </c>
      <c r="D289" s="226">
        <v>1069.2</v>
      </c>
      <c r="E289" s="226">
        <f>E290</f>
        <v>1069.2</v>
      </c>
      <c r="F289" s="228">
        <f t="shared" si="7"/>
        <v>0</v>
      </c>
    </row>
    <row r="290" spans="1:6" x14ac:dyDescent="0.2">
      <c r="A290" s="202" t="s">
        <v>749</v>
      </c>
      <c r="B290" s="209" t="s">
        <v>1133</v>
      </c>
      <c r="C290" s="209" t="s">
        <v>745</v>
      </c>
      <c r="D290" s="226">
        <v>1069.2</v>
      </c>
      <c r="E290" s="226">
        <f>'Функциональная 2020'!H68</f>
        <v>1069.2</v>
      </c>
      <c r="F290" s="228">
        <f t="shared" si="7"/>
        <v>0</v>
      </c>
    </row>
    <row r="291" spans="1:6" x14ac:dyDescent="0.2">
      <c r="A291" s="202" t="s">
        <v>1347</v>
      </c>
      <c r="B291" s="209" t="s">
        <v>1133</v>
      </c>
      <c r="C291" s="209" t="s">
        <v>535</v>
      </c>
      <c r="D291" s="226">
        <v>2301.8000000000002</v>
      </c>
      <c r="E291" s="226">
        <f>E292</f>
        <v>2653.8</v>
      </c>
      <c r="F291" s="228">
        <f t="shared" si="7"/>
        <v>352</v>
      </c>
    </row>
    <row r="292" spans="1:6" x14ac:dyDescent="0.2">
      <c r="A292" s="202" t="s">
        <v>534</v>
      </c>
      <c r="B292" s="209" t="s">
        <v>1133</v>
      </c>
      <c r="C292" s="209" t="s">
        <v>529</v>
      </c>
      <c r="D292" s="226">
        <v>2301.8000000000002</v>
      </c>
      <c r="E292" s="226">
        <f>'Функциональная 2020'!H70+'Функциональная 2020'!H385</f>
        <v>2653.8</v>
      </c>
      <c r="F292" s="228">
        <f t="shared" si="7"/>
        <v>352</v>
      </c>
    </row>
    <row r="293" spans="1:6" ht="22.5" x14ac:dyDescent="0.2">
      <c r="A293" s="202" t="s">
        <v>1608</v>
      </c>
      <c r="B293" s="209" t="s">
        <v>1132</v>
      </c>
      <c r="C293" s="209"/>
      <c r="D293" s="226">
        <v>300</v>
      </c>
      <c r="E293" s="226">
        <f>E294</f>
        <v>300</v>
      </c>
      <c r="F293" s="228">
        <f t="shared" si="7"/>
        <v>0</v>
      </c>
    </row>
    <row r="294" spans="1:6" x14ac:dyDescent="0.2">
      <c r="A294" s="202" t="s">
        <v>1347</v>
      </c>
      <c r="B294" s="209" t="s">
        <v>1132</v>
      </c>
      <c r="C294" s="209" t="s">
        <v>535</v>
      </c>
      <c r="D294" s="226">
        <v>300</v>
      </c>
      <c r="E294" s="226">
        <f>E295</f>
        <v>300</v>
      </c>
      <c r="F294" s="228">
        <f t="shared" si="7"/>
        <v>0</v>
      </c>
    </row>
    <row r="295" spans="1:6" x14ac:dyDescent="0.2">
      <c r="A295" s="202" t="s">
        <v>534</v>
      </c>
      <c r="B295" s="209" t="s">
        <v>1132</v>
      </c>
      <c r="C295" s="209" t="s">
        <v>529</v>
      </c>
      <c r="D295" s="226">
        <v>300</v>
      </c>
      <c r="E295" s="226">
        <f>'Функциональная 2020'!H388</f>
        <v>300</v>
      </c>
      <c r="F295" s="228">
        <f t="shared" si="7"/>
        <v>0</v>
      </c>
    </row>
    <row r="296" spans="1:6" x14ac:dyDescent="0.2">
      <c r="A296" s="199" t="s">
        <v>923</v>
      </c>
      <c r="B296" s="212" t="s">
        <v>922</v>
      </c>
      <c r="C296" s="212"/>
      <c r="D296" s="205">
        <v>64443.100000000006</v>
      </c>
      <c r="E296" s="205">
        <f>E297+E331</f>
        <v>66311.8</v>
      </c>
      <c r="F296" s="206">
        <f t="shared" si="7"/>
        <v>1868.6999999999971</v>
      </c>
    </row>
    <row r="297" spans="1:6" x14ac:dyDescent="0.2">
      <c r="A297" s="199" t="s">
        <v>921</v>
      </c>
      <c r="B297" s="212" t="s">
        <v>920</v>
      </c>
      <c r="C297" s="212"/>
      <c r="D297" s="205">
        <v>64223.100000000006</v>
      </c>
      <c r="E297" s="205">
        <f>E298+E327</f>
        <v>66091.8</v>
      </c>
      <c r="F297" s="206">
        <f t="shared" si="7"/>
        <v>1868.6999999999971</v>
      </c>
    </row>
    <row r="298" spans="1:6" ht="22.5" x14ac:dyDescent="0.2">
      <c r="A298" s="199" t="s">
        <v>1015</v>
      </c>
      <c r="B298" s="212" t="s">
        <v>1014</v>
      </c>
      <c r="C298" s="212"/>
      <c r="D298" s="205">
        <v>64173.100000000006</v>
      </c>
      <c r="E298" s="205">
        <f>E308+E311+E314+E321+E324+E299+E305+E302</f>
        <v>66041.8</v>
      </c>
      <c r="F298" s="206">
        <f t="shared" si="7"/>
        <v>1868.6999999999971</v>
      </c>
    </row>
    <row r="299" spans="1:6" s="239" customFormat="1" x14ac:dyDescent="0.2">
      <c r="A299" s="202" t="s">
        <v>917</v>
      </c>
      <c r="B299" s="209" t="s">
        <v>1377</v>
      </c>
      <c r="C299" s="209"/>
      <c r="D299" s="226">
        <v>1759.9</v>
      </c>
      <c r="E299" s="226">
        <f>E300</f>
        <v>1759.9</v>
      </c>
      <c r="F299" s="228">
        <f t="shared" si="7"/>
        <v>0</v>
      </c>
    </row>
    <row r="300" spans="1:6" s="239" customFormat="1" x14ac:dyDescent="0.2">
      <c r="A300" s="202" t="s">
        <v>1347</v>
      </c>
      <c r="B300" s="209" t="s">
        <v>1377</v>
      </c>
      <c r="C300" s="209">
        <v>200</v>
      </c>
      <c r="D300" s="226">
        <v>1759.9</v>
      </c>
      <c r="E300" s="226">
        <f>E301</f>
        <v>1759.9</v>
      </c>
      <c r="F300" s="228">
        <f t="shared" si="7"/>
        <v>0</v>
      </c>
    </row>
    <row r="301" spans="1:6" s="239" customFormat="1" x14ac:dyDescent="0.2">
      <c r="A301" s="202" t="s">
        <v>534</v>
      </c>
      <c r="B301" s="209" t="s">
        <v>1377</v>
      </c>
      <c r="C301" s="209">
        <v>240</v>
      </c>
      <c r="D301" s="226">
        <v>1759.9</v>
      </c>
      <c r="E301" s="226">
        <f>'Функциональная 2020'!H661+'Функциональная 2020'!H866</f>
        <v>1759.9</v>
      </c>
      <c r="F301" s="228">
        <f t="shared" si="7"/>
        <v>0</v>
      </c>
    </row>
    <row r="302" spans="1:6" s="371" customFormat="1" x14ac:dyDescent="0.2">
      <c r="A302" s="202" t="s">
        <v>1529</v>
      </c>
      <c r="B302" s="209" t="s">
        <v>1486</v>
      </c>
      <c r="C302" s="209"/>
      <c r="D302" s="226">
        <v>5150</v>
      </c>
      <c r="E302" s="226">
        <f>E303</f>
        <v>5150</v>
      </c>
      <c r="F302" s="228">
        <f t="shared" si="7"/>
        <v>0</v>
      </c>
    </row>
    <row r="303" spans="1:6" s="389" customFormat="1" x14ac:dyDescent="0.2">
      <c r="A303" s="202" t="s">
        <v>547</v>
      </c>
      <c r="B303" s="209" t="s">
        <v>1486</v>
      </c>
      <c r="C303" s="209">
        <v>600</v>
      </c>
      <c r="D303" s="226">
        <v>5150</v>
      </c>
      <c r="E303" s="226">
        <f>E304</f>
        <v>5150</v>
      </c>
      <c r="F303" s="228">
        <f t="shared" si="7"/>
        <v>0</v>
      </c>
    </row>
    <row r="304" spans="1:6" s="389" customFormat="1" x14ac:dyDescent="0.2">
      <c r="A304" s="202" t="s">
        <v>571</v>
      </c>
      <c r="B304" s="209" t="s">
        <v>1486</v>
      </c>
      <c r="C304" s="209">
        <v>610</v>
      </c>
      <c r="D304" s="226">
        <v>5150</v>
      </c>
      <c r="E304" s="226">
        <f>'Функциональная 2020'!H664</f>
        <v>5150</v>
      </c>
      <c r="F304" s="228">
        <f t="shared" si="7"/>
        <v>0</v>
      </c>
    </row>
    <row r="305" spans="1:6" s="242" customFormat="1" x14ac:dyDescent="0.2">
      <c r="A305" s="202" t="s">
        <v>915</v>
      </c>
      <c r="B305" s="209" t="s">
        <v>1386</v>
      </c>
      <c r="C305" s="209"/>
      <c r="D305" s="226">
        <v>3741.7</v>
      </c>
      <c r="E305" s="226">
        <f>E306</f>
        <v>2862.3999999999996</v>
      </c>
      <c r="F305" s="228">
        <f t="shared" si="7"/>
        <v>-879.30000000000018</v>
      </c>
    </row>
    <row r="306" spans="1:6" s="242" customFormat="1" x14ac:dyDescent="0.2">
      <c r="A306" s="202" t="s">
        <v>1347</v>
      </c>
      <c r="B306" s="209" t="s">
        <v>1386</v>
      </c>
      <c r="C306" s="209">
        <v>200</v>
      </c>
      <c r="D306" s="226">
        <v>3741.7</v>
      </c>
      <c r="E306" s="226">
        <f>E307</f>
        <v>2862.3999999999996</v>
      </c>
      <c r="F306" s="228">
        <f t="shared" si="7"/>
        <v>-879.30000000000018</v>
      </c>
    </row>
    <row r="307" spans="1:6" s="242" customFormat="1" x14ac:dyDescent="0.2">
      <c r="A307" s="202" t="s">
        <v>534</v>
      </c>
      <c r="B307" s="209" t="s">
        <v>1386</v>
      </c>
      <c r="C307" s="209">
        <v>240</v>
      </c>
      <c r="D307" s="226">
        <v>3741.7</v>
      </c>
      <c r="E307" s="226">
        <f>'Функциональная 2020'!H869</f>
        <v>2862.3999999999996</v>
      </c>
      <c r="F307" s="228">
        <f t="shared" si="7"/>
        <v>-879.30000000000018</v>
      </c>
    </row>
    <row r="308" spans="1:6" x14ac:dyDescent="0.2">
      <c r="A308" s="202" t="s">
        <v>1013</v>
      </c>
      <c r="B308" s="209" t="s">
        <v>1012</v>
      </c>
      <c r="C308" s="209"/>
      <c r="D308" s="226">
        <v>16776.2</v>
      </c>
      <c r="E308" s="226">
        <f>E309</f>
        <v>21776</v>
      </c>
      <c r="F308" s="228">
        <f t="shared" si="7"/>
        <v>4999.7999999999993</v>
      </c>
    </row>
    <row r="309" spans="1:6" x14ac:dyDescent="0.2">
      <c r="A309" s="202" t="s">
        <v>1347</v>
      </c>
      <c r="B309" s="209" t="s">
        <v>1012</v>
      </c>
      <c r="C309" s="209" t="s">
        <v>535</v>
      </c>
      <c r="D309" s="226">
        <v>16776.2</v>
      </c>
      <c r="E309" s="226">
        <f>E310</f>
        <v>21776</v>
      </c>
      <c r="F309" s="228">
        <f t="shared" si="7"/>
        <v>4999.7999999999993</v>
      </c>
    </row>
    <row r="310" spans="1:6" x14ac:dyDescent="0.2">
      <c r="A310" s="202" t="s">
        <v>534</v>
      </c>
      <c r="B310" s="209" t="s">
        <v>1012</v>
      </c>
      <c r="C310" s="209" t="s">
        <v>529</v>
      </c>
      <c r="D310" s="226">
        <v>16776.2</v>
      </c>
      <c r="E310" s="226">
        <f>'Функциональная 2020'!H667</f>
        <v>21776</v>
      </c>
      <c r="F310" s="228">
        <f t="shared" si="7"/>
        <v>4999.7999999999993</v>
      </c>
    </row>
    <row r="311" spans="1:6" x14ac:dyDescent="0.2">
      <c r="A311" s="202" t="s">
        <v>1007</v>
      </c>
      <c r="B311" s="209" t="s">
        <v>1011</v>
      </c>
      <c r="C311" s="209"/>
      <c r="D311" s="226">
        <v>9763.1</v>
      </c>
      <c r="E311" s="226">
        <f>E312</f>
        <v>9599.5</v>
      </c>
      <c r="F311" s="228">
        <f t="shared" si="7"/>
        <v>-163.60000000000036</v>
      </c>
    </row>
    <row r="312" spans="1:6" x14ac:dyDescent="0.2">
      <c r="A312" s="202" t="s">
        <v>1347</v>
      </c>
      <c r="B312" s="209" t="s">
        <v>1011</v>
      </c>
      <c r="C312" s="209" t="s">
        <v>535</v>
      </c>
      <c r="D312" s="226">
        <v>9763.1</v>
      </c>
      <c r="E312" s="226">
        <f>E313</f>
        <v>9599.5</v>
      </c>
      <c r="F312" s="228">
        <f t="shared" si="7"/>
        <v>-163.60000000000036</v>
      </c>
    </row>
    <row r="313" spans="1:6" x14ac:dyDescent="0.2">
      <c r="A313" s="202" t="s">
        <v>534</v>
      </c>
      <c r="B313" s="209" t="s">
        <v>1011</v>
      </c>
      <c r="C313" s="209" t="s">
        <v>529</v>
      </c>
      <c r="D313" s="226">
        <v>9763.1</v>
      </c>
      <c r="E313" s="226">
        <f>'Функциональная 2020'!H670</f>
        <v>9599.5</v>
      </c>
      <c r="F313" s="228">
        <f t="shared" si="7"/>
        <v>-163.60000000000036</v>
      </c>
    </row>
    <row r="314" spans="1:6" x14ac:dyDescent="0.2">
      <c r="A314" s="202" t="s">
        <v>1529</v>
      </c>
      <c r="B314" s="209" t="s">
        <v>1010</v>
      </c>
      <c r="C314" s="209"/>
      <c r="D314" s="226">
        <v>2974.6</v>
      </c>
      <c r="E314" s="226">
        <f>E315+E317+E319</f>
        <v>2974.6</v>
      </c>
      <c r="F314" s="228">
        <f t="shared" si="7"/>
        <v>0</v>
      </c>
    </row>
    <row r="315" spans="1:6" s="242" customFormat="1" ht="22.5" x14ac:dyDescent="0.2">
      <c r="A315" s="202" t="s">
        <v>1348</v>
      </c>
      <c r="B315" s="209" t="s">
        <v>1010</v>
      </c>
      <c r="C315" s="209">
        <v>100</v>
      </c>
      <c r="D315" s="226">
        <v>177.5</v>
      </c>
      <c r="E315" s="226">
        <f>E316</f>
        <v>177.5</v>
      </c>
      <c r="F315" s="228">
        <f t="shared" si="7"/>
        <v>0</v>
      </c>
    </row>
    <row r="316" spans="1:6" s="242" customFormat="1" x14ac:dyDescent="0.2">
      <c r="A316" s="202" t="s">
        <v>555</v>
      </c>
      <c r="B316" s="209" t="s">
        <v>1010</v>
      </c>
      <c r="C316" s="209">
        <v>110</v>
      </c>
      <c r="D316" s="226">
        <v>177.5</v>
      </c>
      <c r="E316" s="226">
        <f>'Функциональная 2020'!H872</f>
        <v>177.5</v>
      </c>
      <c r="F316" s="228">
        <f t="shared" si="7"/>
        <v>0</v>
      </c>
    </row>
    <row r="317" spans="1:6" x14ac:dyDescent="0.2">
      <c r="A317" s="202" t="s">
        <v>1347</v>
      </c>
      <c r="B317" s="209" t="s">
        <v>1010</v>
      </c>
      <c r="C317" s="209" t="s">
        <v>535</v>
      </c>
      <c r="D317" s="226">
        <v>346.40000000000009</v>
      </c>
      <c r="E317" s="226">
        <f>E318</f>
        <v>346.40000000000009</v>
      </c>
      <c r="F317" s="228">
        <f t="shared" si="7"/>
        <v>0</v>
      </c>
    </row>
    <row r="318" spans="1:6" x14ac:dyDescent="0.2">
      <c r="A318" s="202" t="s">
        <v>534</v>
      </c>
      <c r="B318" s="209" t="s">
        <v>1010</v>
      </c>
      <c r="C318" s="209" t="s">
        <v>529</v>
      </c>
      <c r="D318" s="226">
        <v>346.40000000000009</v>
      </c>
      <c r="E318" s="226">
        <f>'Функциональная 2020'!H673</f>
        <v>346.40000000000009</v>
      </c>
      <c r="F318" s="228">
        <f t="shared" si="7"/>
        <v>0</v>
      </c>
    </row>
    <row r="319" spans="1:6" s="389" customFormat="1" x14ac:dyDescent="0.2">
      <c r="A319" s="202" t="s">
        <v>547</v>
      </c>
      <c r="B319" s="209" t="s">
        <v>1010</v>
      </c>
      <c r="C319" s="209">
        <v>600</v>
      </c>
      <c r="D319" s="226">
        <v>2450.6999999999998</v>
      </c>
      <c r="E319" s="226">
        <f>E320</f>
        <v>2450.6999999999998</v>
      </c>
      <c r="F319" s="228">
        <f t="shared" si="7"/>
        <v>0</v>
      </c>
    </row>
    <row r="320" spans="1:6" s="389" customFormat="1" x14ac:dyDescent="0.2">
      <c r="A320" s="202" t="s">
        <v>571</v>
      </c>
      <c r="B320" s="209" t="s">
        <v>1010</v>
      </c>
      <c r="C320" s="209">
        <v>610</v>
      </c>
      <c r="D320" s="226">
        <v>2450.6999999999998</v>
      </c>
      <c r="E320" s="226">
        <f>'Функциональная 2020'!H675+'Функциональная 2020'!H874</f>
        <v>2450.6999999999998</v>
      </c>
      <c r="F320" s="228">
        <f t="shared" si="7"/>
        <v>0</v>
      </c>
    </row>
    <row r="321" spans="1:6" x14ac:dyDescent="0.2">
      <c r="A321" s="202" t="s">
        <v>1009</v>
      </c>
      <c r="B321" s="209" t="s">
        <v>1008</v>
      </c>
      <c r="C321" s="209"/>
      <c r="D321" s="226">
        <v>21351.200000000001</v>
      </c>
      <c r="E321" s="226">
        <f>E322</f>
        <v>19263</v>
      </c>
      <c r="F321" s="228">
        <f t="shared" si="7"/>
        <v>-2088.2000000000007</v>
      </c>
    </row>
    <row r="322" spans="1:6" x14ac:dyDescent="0.2">
      <c r="A322" s="202" t="s">
        <v>1347</v>
      </c>
      <c r="B322" s="209" t="s">
        <v>1008</v>
      </c>
      <c r="C322" s="209" t="s">
        <v>535</v>
      </c>
      <c r="D322" s="226">
        <v>21351.200000000001</v>
      </c>
      <c r="E322" s="226">
        <f>E323</f>
        <v>19263</v>
      </c>
      <c r="F322" s="228">
        <f t="shared" ref="F322:F388" si="8">E322-D322</f>
        <v>-2088.2000000000007</v>
      </c>
    </row>
    <row r="323" spans="1:6" x14ac:dyDescent="0.2">
      <c r="A323" s="202" t="s">
        <v>534</v>
      </c>
      <c r="B323" s="209" t="s">
        <v>1008</v>
      </c>
      <c r="C323" s="209" t="s">
        <v>529</v>
      </c>
      <c r="D323" s="226">
        <v>21351.200000000001</v>
      </c>
      <c r="E323" s="226">
        <f>'Функциональная 2020'!H678</f>
        <v>19263</v>
      </c>
      <c r="F323" s="228">
        <f t="shared" si="8"/>
        <v>-2088.2000000000007</v>
      </c>
    </row>
    <row r="324" spans="1:6" x14ac:dyDescent="0.2">
      <c r="A324" s="202" t="s">
        <v>1007</v>
      </c>
      <c r="B324" s="209" t="s">
        <v>1006</v>
      </c>
      <c r="C324" s="209"/>
      <c r="D324" s="226">
        <v>2656.4</v>
      </c>
      <c r="E324" s="226">
        <f>E325</f>
        <v>2656.4</v>
      </c>
      <c r="F324" s="228">
        <f t="shared" si="8"/>
        <v>0</v>
      </c>
    </row>
    <row r="325" spans="1:6" ht="22.5" x14ac:dyDescent="0.2">
      <c r="A325" s="202" t="s">
        <v>1348</v>
      </c>
      <c r="B325" s="209" t="s">
        <v>1006</v>
      </c>
      <c r="C325" s="209" t="s">
        <v>556</v>
      </c>
      <c r="D325" s="226">
        <v>2656.4</v>
      </c>
      <c r="E325" s="226">
        <f>E326</f>
        <v>2656.4</v>
      </c>
      <c r="F325" s="228">
        <f t="shared" si="8"/>
        <v>0</v>
      </c>
    </row>
    <row r="326" spans="1:6" x14ac:dyDescent="0.2">
      <c r="A326" s="202" t="s">
        <v>555</v>
      </c>
      <c r="B326" s="209" t="s">
        <v>1006</v>
      </c>
      <c r="C326" s="209" t="s">
        <v>554</v>
      </c>
      <c r="D326" s="226">
        <v>2656.4</v>
      </c>
      <c r="E326" s="226">
        <f>'Функциональная 2020'!H681</f>
        <v>2656.4</v>
      </c>
      <c r="F326" s="228">
        <f t="shared" si="8"/>
        <v>0</v>
      </c>
    </row>
    <row r="327" spans="1:6" x14ac:dyDescent="0.2">
      <c r="A327" s="199" t="s">
        <v>919</v>
      </c>
      <c r="B327" s="212" t="s">
        <v>918</v>
      </c>
      <c r="C327" s="212"/>
      <c r="D327" s="205">
        <v>50</v>
      </c>
      <c r="E327" s="205">
        <f>E328</f>
        <v>50</v>
      </c>
      <c r="F327" s="206">
        <f t="shared" si="8"/>
        <v>0</v>
      </c>
    </row>
    <row r="328" spans="1:6" x14ac:dyDescent="0.2">
      <c r="A328" s="202" t="s">
        <v>917</v>
      </c>
      <c r="B328" s="209" t="s">
        <v>916</v>
      </c>
      <c r="C328" s="209"/>
      <c r="D328" s="226">
        <v>50</v>
      </c>
      <c r="E328" s="226">
        <f>E329</f>
        <v>50</v>
      </c>
      <c r="F328" s="228">
        <f t="shared" si="8"/>
        <v>0</v>
      </c>
    </row>
    <row r="329" spans="1:6" x14ac:dyDescent="0.2">
      <c r="A329" s="202" t="s">
        <v>1347</v>
      </c>
      <c r="B329" s="209" t="s">
        <v>916</v>
      </c>
      <c r="C329" s="209" t="s">
        <v>535</v>
      </c>
      <c r="D329" s="226">
        <v>50</v>
      </c>
      <c r="E329" s="226">
        <f>E330</f>
        <v>50</v>
      </c>
      <c r="F329" s="228">
        <f t="shared" si="8"/>
        <v>0</v>
      </c>
    </row>
    <row r="330" spans="1:6" x14ac:dyDescent="0.2">
      <c r="A330" s="202" t="s">
        <v>534</v>
      </c>
      <c r="B330" s="209" t="s">
        <v>916</v>
      </c>
      <c r="C330" s="209" t="s">
        <v>529</v>
      </c>
      <c r="D330" s="226">
        <v>50</v>
      </c>
      <c r="E330" s="226">
        <f>'Функциональная 2020'!H878</f>
        <v>50</v>
      </c>
      <c r="F330" s="228">
        <f t="shared" si="8"/>
        <v>0</v>
      </c>
    </row>
    <row r="331" spans="1:6" s="242" customFormat="1" x14ac:dyDescent="0.2">
      <c r="A331" s="199" t="s">
        <v>1380</v>
      </c>
      <c r="B331" s="212" t="s">
        <v>1383</v>
      </c>
      <c r="C331" s="212"/>
      <c r="D331" s="205">
        <v>220</v>
      </c>
      <c r="E331" s="205">
        <f t="shared" ref="E331:E334" si="9">E332</f>
        <v>220</v>
      </c>
      <c r="F331" s="206">
        <f t="shared" si="8"/>
        <v>0</v>
      </c>
    </row>
    <row r="332" spans="1:6" s="242" customFormat="1" x14ac:dyDescent="0.2">
      <c r="A332" s="199" t="s">
        <v>1381</v>
      </c>
      <c r="B332" s="212" t="s">
        <v>1384</v>
      </c>
      <c r="C332" s="212"/>
      <c r="D332" s="205">
        <v>220</v>
      </c>
      <c r="E332" s="205">
        <f t="shared" si="9"/>
        <v>220</v>
      </c>
      <c r="F332" s="206">
        <f t="shared" si="8"/>
        <v>0</v>
      </c>
    </row>
    <row r="333" spans="1:6" s="242" customFormat="1" x14ac:dyDescent="0.2">
      <c r="A333" s="202" t="s">
        <v>1382</v>
      </c>
      <c r="B333" s="209" t="s">
        <v>1385</v>
      </c>
      <c r="C333" s="209"/>
      <c r="D333" s="226">
        <v>220</v>
      </c>
      <c r="E333" s="226">
        <f t="shared" si="9"/>
        <v>220</v>
      </c>
      <c r="F333" s="228">
        <f t="shared" si="8"/>
        <v>0</v>
      </c>
    </row>
    <row r="334" spans="1:6" s="242" customFormat="1" x14ac:dyDescent="0.2">
      <c r="A334" s="202" t="s">
        <v>1347</v>
      </c>
      <c r="B334" s="209" t="s">
        <v>1385</v>
      </c>
      <c r="C334" s="209" t="s">
        <v>535</v>
      </c>
      <c r="D334" s="226">
        <v>220</v>
      </c>
      <c r="E334" s="226">
        <f t="shared" si="9"/>
        <v>220</v>
      </c>
      <c r="F334" s="228">
        <f t="shared" si="8"/>
        <v>0</v>
      </c>
    </row>
    <row r="335" spans="1:6" s="242" customFormat="1" x14ac:dyDescent="0.2">
      <c r="A335" s="202" t="s">
        <v>534</v>
      </c>
      <c r="B335" s="209" t="s">
        <v>1385</v>
      </c>
      <c r="C335" s="209" t="s">
        <v>529</v>
      </c>
      <c r="D335" s="226">
        <v>220</v>
      </c>
      <c r="E335" s="226">
        <f>'Функциональная 2020'!H883</f>
        <v>220</v>
      </c>
      <c r="F335" s="228">
        <f t="shared" si="8"/>
        <v>0</v>
      </c>
    </row>
    <row r="336" spans="1:6" x14ac:dyDescent="0.2">
      <c r="A336" s="199" t="s">
        <v>1005</v>
      </c>
      <c r="B336" s="212" t="s">
        <v>1004</v>
      </c>
      <c r="C336" s="212"/>
      <c r="D336" s="205">
        <v>142177.29999999999</v>
      </c>
      <c r="E336" s="205">
        <f>E337+E403+E411+E416+E432</f>
        <v>142858.29999999999</v>
      </c>
      <c r="F336" s="206">
        <f t="shared" si="8"/>
        <v>681</v>
      </c>
    </row>
    <row r="337" spans="1:6" x14ac:dyDescent="0.2">
      <c r="A337" s="199" t="s">
        <v>1003</v>
      </c>
      <c r="B337" s="212" t="s">
        <v>1002</v>
      </c>
      <c r="C337" s="212"/>
      <c r="D337" s="205">
        <v>95075.6</v>
      </c>
      <c r="E337" s="205">
        <f>E338+E351+E355+E366+E377+E362</f>
        <v>95847.7</v>
      </c>
      <c r="F337" s="206">
        <f t="shared" si="8"/>
        <v>772.09999999999127</v>
      </c>
    </row>
    <row r="338" spans="1:6" ht="22.5" x14ac:dyDescent="0.2">
      <c r="A338" s="199" t="s">
        <v>1170</v>
      </c>
      <c r="B338" s="212" t="s">
        <v>1169</v>
      </c>
      <c r="C338" s="212"/>
      <c r="D338" s="205">
        <v>5348.1</v>
      </c>
      <c r="E338" s="205">
        <f>E339+E342+E345+E348</f>
        <v>5334.6</v>
      </c>
      <c r="F338" s="206">
        <f t="shared" si="8"/>
        <v>-13.5</v>
      </c>
    </row>
    <row r="339" spans="1:6" ht="33.75" x14ac:dyDescent="0.2">
      <c r="A339" s="202" t="s">
        <v>1168</v>
      </c>
      <c r="B339" s="209" t="s">
        <v>1167</v>
      </c>
      <c r="C339" s="209"/>
      <c r="D339" s="226">
        <v>4623.3</v>
      </c>
      <c r="E339" s="226">
        <f>E340</f>
        <v>4623.3</v>
      </c>
      <c r="F339" s="228">
        <f t="shared" si="8"/>
        <v>0</v>
      </c>
    </row>
    <row r="340" spans="1:6" x14ac:dyDescent="0.2">
      <c r="A340" s="202" t="s">
        <v>1347</v>
      </c>
      <c r="B340" s="209" t="s">
        <v>1167</v>
      </c>
      <c r="C340" s="209" t="s">
        <v>535</v>
      </c>
      <c r="D340" s="226">
        <v>4623.3</v>
      </c>
      <c r="E340" s="226">
        <f>E341</f>
        <v>4623.3</v>
      </c>
      <c r="F340" s="228">
        <f t="shared" si="8"/>
        <v>0</v>
      </c>
    </row>
    <row r="341" spans="1:6" x14ac:dyDescent="0.2">
      <c r="A341" s="202" t="s">
        <v>534</v>
      </c>
      <c r="B341" s="209" t="s">
        <v>1167</v>
      </c>
      <c r="C341" s="209" t="s">
        <v>529</v>
      </c>
      <c r="D341" s="226">
        <v>4623.3</v>
      </c>
      <c r="E341" s="226">
        <f>'Функциональная 2020'!H299</f>
        <v>4623.3</v>
      </c>
      <c r="F341" s="228">
        <f t="shared" si="8"/>
        <v>0</v>
      </c>
    </row>
    <row r="342" spans="1:6" ht="33.75" x14ac:dyDescent="0.2">
      <c r="A342" s="202" t="s">
        <v>1525</v>
      </c>
      <c r="B342" s="209" t="s">
        <v>1166</v>
      </c>
      <c r="C342" s="209"/>
      <c r="D342" s="226">
        <v>90</v>
      </c>
      <c r="E342" s="226">
        <f>E343</f>
        <v>90</v>
      </c>
      <c r="F342" s="228">
        <f t="shared" si="8"/>
        <v>0</v>
      </c>
    </row>
    <row r="343" spans="1:6" s="389" customFormat="1" x14ac:dyDescent="0.2">
      <c r="A343" s="202" t="s">
        <v>547</v>
      </c>
      <c r="B343" s="209" t="s">
        <v>1166</v>
      </c>
      <c r="C343" s="209">
        <v>600</v>
      </c>
      <c r="D343" s="226">
        <v>90</v>
      </c>
      <c r="E343" s="226">
        <f>E344</f>
        <v>90</v>
      </c>
      <c r="F343" s="228">
        <f t="shared" si="8"/>
        <v>0</v>
      </c>
    </row>
    <row r="344" spans="1:6" s="389" customFormat="1" x14ac:dyDescent="0.2">
      <c r="A344" s="202" t="s">
        <v>571</v>
      </c>
      <c r="B344" s="209" t="s">
        <v>1166</v>
      </c>
      <c r="C344" s="209">
        <v>610</v>
      </c>
      <c r="D344" s="226">
        <v>90</v>
      </c>
      <c r="E344" s="226">
        <f>'Функциональная 2020'!H302</f>
        <v>90</v>
      </c>
      <c r="F344" s="228">
        <f t="shared" si="8"/>
        <v>0</v>
      </c>
    </row>
    <row r="345" spans="1:6" ht="33.75" x14ac:dyDescent="0.2">
      <c r="A345" s="202" t="s">
        <v>1165</v>
      </c>
      <c r="B345" s="209" t="s">
        <v>1164</v>
      </c>
      <c r="C345" s="209"/>
      <c r="D345" s="226">
        <v>549.79999999999995</v>
      </c>
      <c r="E345" s="226">
        <f>E346</f>
        <v>536.29999999999995</v>
      </c>
      <c r="F345" s="228">
        <f t="shared" si="8"/>
        <v>-13.5</v>
      </c>
    </row>
    <row r="346" spans="1:6" x14ac:dyDescent="0.2">
      <c r="A346" s="202" t="s">
        <v>1347</v>
      </c>
      <c r="B346" s="209" t="s">
        <v>1164</v>
      </c>
      <c r="C346" s="209" t="s">
        <v>535</v>
      </c>
      <c r="D346" s="226">
        <v>549.79999999999995</v>
      </c>
      <c r="E346" s="226">
        <f>E347</f>
        <v>536.29999999999995</v>
      </c>
      <c r="F346" s="228">
        <f t="shared" si="8"/>
        <v>-13.5</v>
      </c>
    </row>
    <row r="347" spans="1:6" x14ac:dyDescent="0.2">
      <c r="A347" s="202" t="s">
        <v>534</v>
      </c>
      <c r="B347" s="209" t="s">
        <v>1164</v>
      </c>
      <c r="C347" s="209" t="s">
        <v>529</v>
      </c>
      <c r="D347" s="226">
        <v>549.79999999999995</v>
      </c>
      <c r="E347" s="226">
        <f>'Функциональная 2020'!H305</f>
        <v>536.29999999999995</v>
      </c>
      <c r="F347" s="228">
        <f t="shared" si="8"/>
        <v>-13.5</v>
      </c>
    </row>
    <row r="348" spans="1:6" ht="33.75" x14ac:dyDescent="0.2">
      <c r="A348" s="202" t="s">
        <v>1161</v>
      </c>
      <c r="B348" s="209" t="s">
        <v>1160</v>
      </c>
      <c r="C348" s="209"/>
      <c r="D348" s="226">
        <v>85</v>
      </c>
      <c r="E348" s="226">
        <f>E349</f>
        <v>85</v>
      </c>
      <c r="F348" s="228">
        <f t="shared" si="8"/>
        <v>0</v>
      </c>
    </row>
    <row r="349" spans="1:6" x14ac:dyDescent="0.2">
      <c r="A349" s="202" t="s">
        <v>547</v>
      </c>
      <c r="B349" s="209" t="s">
        <v>1160</v>
      </c>
      <c r="C349" s="209" t="s">
        <v>519</v>
      </c>
      <c r="D349" s="226">
        <v>85</v>
      </c>
      <c r="E349" s="226">
        <f>E350</f>
        <v>85</v>
      </c>
      <c r="F349" s="228">
        <f t="shared" si="8"/>
        <v>0</v>
      </c>
    </row>
    <row r="350" spans="1:6" x14ac:dyDescent="0.2">
      <c r="A350" s="202" t="s">
        <v>546</v>
      </c>
      <c r="B350" s="209" t="s">
        <v>1160</v>
      </c>
      <c r="C350" s="209" t="s">
        <v>544</v>
      </c>
      <c r="D350" s="226">
        <v>85</v>
      </c>
      <c r="E350" s="226">
        <f>'Функциональная 2020'!H308</f>
        <v>85</v>
      </c>
      <c r="F350" s="228">
        <f t="shared" si="8"/>
        <v>0</v>
      </c>
    </row>
    <row r="351" spans="1:6" ht="33.75" x14ac:dyDescent="0.2">
      <c r="A351" s="199" t="s">
        <v>1159</v>
      </c>
      <c r="B351" s="212" t="s">
        <v>1158</v>
      </c>
      <c r="C351" s="212"/>
      <c r="D351" s="205">
        <v>18</v>
      </c>
      <c r="E351" s="205">
        <f>E352</f>
        <v>18</v>
      </c>
      <c r="F351" s="206">
        <f t="shared" si="8"/>
        <v>0</v>
      </c>
    </row>
    <row r="352" spans="1:6" x14ac:dyDescent="0.2">
      <c r="A352" s="202" t="s">
        <v>1157</v>
      </c>
      <c r="B352" s="209" t="s">
        <v>1156</v>
      </c>
      <c r="C352" s="209"/>
      <c r="D352" s="226">
        <v>18</v>
      </c>
      <c r="E352" s="226">
        <f>E353</f>
        <v>18</v>
      </c>
      <c r="F352" s="228">
        <f t="shared" si="8"/>
        <v>0</v>
      </c>
    </row>
    <row r="353" spans="1:6" x14ac:dyDescent="0.2">
      <c r="A353" s="202" t="s">
        <v>547</v>
      </c>
      <c r="B353" s="209" t="s">
        <v>1156</v>
      </c>
      <c r="C353" s="209" t="s">
        <v>519</v>
      </c>
      <c r="D353" s="226">
        <v>18</v>
      </c>
      <c r="E353" s="226">
        <f>E354</f>
        <v>18</v>
      </c>
      <c r="F353" s="228">
        <f t="shared" si="8"/>
        <v>0</v>
      </c>
    </row>
    <row r="354" spans="1:6" x14ac:dyDescent="0.2">
      <c r="A354" s="202" t="s">
        <v>546</v>
      </c>
      <c r="B354" s="209" t="s">
        <v>1156</v>
      </c>
      <c r="C354" s="209" t="s">
        <v>544</v>
      </c>
      <c r="D354" s="226">
        <v>18</v>
      </c>
      <c r="E354" s="226">
        <f>'Функциональная 2020'!H312</f>
        <v>18</v>
      </c>
      <c r="F354" s="228">
        <f t="shared" si="8"/>
        <v>0</v>
      </c>
    </row>
    <row r="355" spans="1:6" ht="22.5" x14ac:dyDescent="0.2">
      <c r="A355" s="199" t="s">
        <v>1155</v>
      </c>
      <c r="B355" s="212" t="s">
        <v>1154</v>
      </c>
      <c r="C355" s="212"/>
      <c r="D355" s="205">
        <v>36974.400000000001</v>
      </c>
      <c r="E355" s="205">
        <f>E356+E359</f>
        <v>34760</v>
      </c>
      <c r="F355" s="206">
        <f t="shared" si="8"/>
        <v>-2214.4000000000015</v>
      </c>
    </row>
    <row r="356" spans="1:6" x14ac:dyDescent="0.2">
      <c r="A356" s="202" t="s">
        <v>1153</v>
      </c>
      <c r="B356" s="209" t="s">
        <v>1152</v>
      </c>
      <c r="C356" s="209"/>
      <c r="D356" s="226">
        <v>8832.1</v>
      </c>
      <c r="E356" s="226">
        <f>E357</f>
        <v>8832.1</v>
      </c>
      <c r="F356" s="228">
        <f t="shared" si="8"/>
        <v>0</v>
      </c>
    </row>
    <row r="357" spans="1:6" x14ac:dyDescent="0.2">
      <c r="A357" s="202" t="s">
        <v>1347</v>
      </c>
      <c r="B357" s="209" t="s">
        <v>1152</v>
      </c>
      <c r="C357" s="209" t="s">
        <v>535</v>
      </c>
      <c r="D357" s="226">
        <v>8832.1</v>
      </c>
      <c r="E357" s="226">
        <f>E358</f>
        <v>8832.1</v>
      </c>
      <c r="F357" s="228">
        <f t="shared" si="8"/>
        <v>0</v>
      </c>
    </row>
    <row r="358" spans="1:6" x14ac:dyDescent="0.2">
      <c r="A358" s="202" t="s">
        <v>534</v>
      </c>
      <c r="B358" s="209" t="s">
        <v>1152</v>
      </c>
      <c r="C358" s="209" t="s">
        <v>529</v>
      </c>
      <c r="D358" s="226">
        <v>8832.1</v>
      </c>
      <c r="E358" s="226">
        <f>'Функциональная 2020'!H316</f>
        <v>8832.1</v>
      </c>
      <c r="F358" s="228">
        <f t="shared" si="8"/>
        <v>0</v>
      </c>
    </row>
    <row r="359" spans="1:6" x14ac:dyDescent="0.2">
      <c r="A359" s="202" t="s">
        <v>1351</v>
      </c>
      <c r="B359" s="209" t="s">
        <v>1150</v>
      </c>
      <c r="C359" s="209"/>
      <c r="D359" s="226">
        <v>28142.3</v>
      </c>
      <c r="E359" s="226">
        <f>E360</f>
        <v>25927.9</v>
      </c>
      <c r="F359" s="228">
        <f t="shared" si="8"/>
        <v>-2214.3999999999978</v>
      </c>
    </row>
    <row r="360" spans="1:6" x14ac:dyDescent="0.2">
      <c r="A360" s="202" t="s">
        <v>547</v>
      </c>
      <c r="B360" s="209" t="s">
        <v>1150</v>
      </c>
      <c r="C360" s="209" t="s">
        <v>519</v>
      </c>
      <c r="D360" s="226">
        <v>28142.3</v>
      </c>
      <c r="E360" s="226">
        <f>E361</f>
        <v>25927.9</v>
      </c>
      <c r="F360" s="228">
        <f t="shared" si="8"/>
        <v>-2214.3999999999978</v>
      </c>
    </row>
    <row r="361" spans="1:6" x14ac:dyDescent="0.2">
      <c r="A361" s="202" t="s">
        <v>546</v>
      </c>
      <c r="B361" s="209" t="s">
        <v>1150</v>
      </c>
      <c r="C361" s="209" t="s">
        <v>544</v>
      </c>
      <c r="D361" s="226">
        <v>28142.3</v>
      </c>
      <c r="E361" s="226">
        <f>'Функциональная 2020'!H319</f>
        <v>25927.9</v>
      </c>
      <c r="F361" s="228">
        <f t="shared" si="8"/>
        <v>-2214.3999999999978</v>
      </c>
    </row>
    <row r="362" spans="1:6" s="377" customFormat="1" ht="45.75" customHeight="1" x14ac:dyDescent="0.2">
      <c r="A362" s="199" t="s">
        <v>1502</v>
      </c>
      <c r="B362" s="212" t="s">
        <v>1503</v>
      </c>
      <c r="C362" s="209"/>
      <c r="D362" s="205">
        <v>120</v>
      </c>
      <c r="E362" s="205">
        <f t="shared" ref="E362:E364" si="10">E363</f>
        <v>120</v>
      </c>
      <c r="F362" s="206">
        <f t="shared" si="8"/>
        <v>0</v>
      </c>
    </row>
    <row r="363" spans="1:6" s="377" customFormat="1" ht="33.75" x14ac:dyDescent="0.2">
      <c r="A363" s="202" t="s">
        <v>1504</v>
      </c>
      <c r="B363" s="209" t="s">
        <v>1505</v>
      </c>
      <c r="C363" s="209"/>
      <c r="D363" s="226">
        <v>120</v>
      </c>
      <c r="E363" s="226">
        <f t="shared" si="10"/>
        <v>120</v>
      </c>
      <c r="F363" s="228">
        <f t="shared" si="8"/>
        <v>0</v>
      </c>
    </row>
    <row r="364" spans="1:6" s="377" customFormat="1" x14ac:dyDescent="0.2">
      <c r="A364" s="202" t="s">
        <v>1347</v>
      </c>
      <c r="B364" s="209" t="s">
        <v>1505</v>
      </c>
      <c r="C364" s="209" t="s">
        <v>535</v>
      </c>
      <c r="D364" s="226">
        <v>120</v>
      </c>
      <c r="E364" s="226">
        <f t="shared" si="10"/>
        <v>120</v>
      </c>
      <c r="F364" s="228">
        <f t="shared" si="8"/>
        <v>0</v>
      </c>
    </row>
    <row r="365" spans="1:6" s="377" customFormat="1" x14ac:dyDescent="0.2">
      <c r="A365" s="202" t="s">
        <v>534</v>
      </c>
      <c r="B365" s="209" t="s">
        <v>1505</v>
      </c>
      <c r="C365" s="209" t="s">
        <v>529</v>
      </c>
      <c r="D365" s="226">
        <v>120</v>
      </c>
      <c r="E365" s="226">
        <f>'Функциональная 2020'!H323</f>
        <v>120</v>
      </c>
      <c r="F365" s="228">
        <f t="shared" si="8"/>
        <v>0</v>
      </c>
    </row>
    <row r="366" spans="1:6" ht="33.75" x14ac:dyDescent="0.2">
      <c r="A366" s="199" t="s">
        <v>1001</v>
      </c>
      <c r="B366" s="212" t="s">
        <v>1000</v>
      </c>
      <c r="C366" s="212"/>
      <c r="D366" s="205">
        <v>4453.6000000000004</v>
      </c>
      <c r="E366" s="205">
        <f>E367+E372</f>
        <v>0</v>
      </c>
      <c r="F366" s="206">
        <f t="shared" si="8"/>
        <v>-4453.6000000000004</v>
      </c>
    </row>
    <row r="367" spans="1:6" ht="33.75" x14ac:dyDescent="0.2">
      <c r="A367" s="202" t="s">
        <v>1064</v>
      </c>
      <c r="B367" s="209" t="s">
        <v>1063</v>
      </c>
      <c r="C367" s="209"/>
      <c r="D367" s="226">
        <v>2399</v>
      </c>
      <c r="E367" s="226">
        <f>E368+E370</f>
        <v>0</v>
      </c>
      <c r="F367" s="228">
        <f t="shared" si="8"/>
        <v>-2399</v>
      </c>
    </row>
    <row r="368" spans="1:6" ht="22.5" x14ac:dyDescent="0.2">
      <c r="A368" s="202" t="s">
        <v>1348</v>
      </c>
      <c r="B368" s="209" t="s">
        <v>1063</v>
      </c>
      <c r="C368" s="209" t="s">
        <v>556</v>
      </c>
      <c r="D368" s="226">
        <v>1385.1</v>
      </c>
      <c r="E368" s="226">
        <f>E369</f>
        <v>0</v>
      </c>
      <c r="F368" s="228">
        <f t="shared" si="8"/>
        <v>-1385.1</v>
      </c>
    </row>
    <row r="369" spans="1:6" x14ac:dyDescent="0.2">
      <c r="A369" s="202" t="s">
        <v>555</v>
      </c>
      <c r="B369" s="209" t="s">
        <v>1063</v>
      </c>
      <c r="C369" s="209" t="s">
        <v>554</v>
      </c>
      <c r="D369" s="226">
        <v>1385.1</v>
      </c>
      <c r="E369" s="226">
        <f>'Функциональная 2020'!H536</f>
        <v>0</v>
      </c>
      <c r="F369" s="228">
        <f t="shared" si="8"/>
        <v>-1385.1</v>
      </c>
    </row>
    <row r="370" spans="1:6" x14ac:dyDescent="0.2">
      <c r="A370" s="202" t="s">
        <v>1347</v>
      </c>
      <c r="B370" s="209" t="s">
        <v>1063</v>
      </c>
      <c r="C370" s="209" t="s">
        <v>535</v>
      </c>
      <c r="D370" s="226">
        <v>1013.9</v>
      </c>
      <c r="E370" s="226">
        <f>E371</f>
        <v>0</v>
      </c>
      <c r="F370" s="228">
        <f t="shared" si="8"/>
        <v>-1013.9</v>
      </c>
    </row>
    <row r="371" spans="1:6" x14ac:dyDescent="0.2">
      <c r="A371" s="202" t="s">
        <v>534</v>
      </c>
      <c r="B371" s="209" t="s">
        <v>1063</v>
      </c>
      <c r="C371" s="209" t="s">
        <v>529</v>
      </c>
      <c r="D371" s="226">
        <v>1013.9</v>
      </c>
      <c r="E371" s="226">
        <f>'Функциональная 2020'!H538</f>
        <v>0</v>
      </c>
      <c r="F371" s="228">
        <f t="shared" si="8"/>
        <v>-1013.9</v>
      </c>
    </row>
    <row r="372" spans="1:6" ht="33.75" x14ac:dyDescent="0.2">
      <c r="A372" s="202" t="s">
        <v>1367</v>
      </c>
      <c r="B372" s="209" t="s">
        <v>999</v>
      </c>
      <c r="C372" s="209"/>
      <c r="D372" s="226">
        <v>2054.6000000000004</v>
      </c>
      <c r="E372" s="226">
        <f>E373+E375</f>
        <v>0</v>
      </c>
      <c r="F372" s="228">
        <f t="shared" si="8"/>
        <v>-2054.6000000000004</v>
      </c>
    </row>
    <row r="373" spans="1:6" ht="22.5" x14ac:dyDescent="0.2">
      <c r="A373" s="202" t="s">
        <v>1348</v>
      </c>
      <c r="B373" s="209" t="s">
        <v>999</v>
      </c>
      <c r="C373" s="209" t="s">
        <v>556</v>
      </c>
      <c r="D373" s="226">
        <v>1499.1000000000001</v>
      </c>
      <c r="E373" s="226">
        <f>E374</f>
        <v>0</v>
      </c>
      <c r="F373" s="228">
        <f t="shared" si="8"/>
        <v>-1499.1000000000001</v>
      </c>
    </row>
    <row r="374" spans="1:6" x14ac:dyDescent="0.2">
      <c r="A374" s="202" t="s">
        <v>555</v>
      </c>
      <c r="B374" s="209" t="s">
        <v>999</v>
      </c>
      <c r="C374" s="209" t="s">
        <v>554</v>
      </c>
      <c r="D374" s="226">
        <v>1499.1000000000001</v>
      </c>
      <c r="E374" s="226">
        <f>'Функциональная 2020'!H541</f>
        <v>0</v>
      </c>
      <c r="F374" s="228">
        <f t="shared" si="8"/>
        <v>-1499.1000000000001</v>
      </c>
    </row>
    <row r="375" spans="1:6" x14ac:dyDescent="0.2">
      <c r="A375" s="202" t="s">
        <v>1347</v>
      </c>
      <c r="B375" s="209" t="s">
        <v>999</v>
      </c>
      <c r="C375" s="209" t="s">
        <v>535</v>
      </c>
      <c r="D375" s="226">
        <v>555.5</v>
      </c>
      <c r="E375" s="226">
        <f>E376</f>
        <v>0</v>
      </c>
      <c r="F375" s="228">
        <f t="shared" si="8"/>
        <v>-555.5</v>
      </c>
    </row>
    <row r="376" spans="1:6" x14ac:dyDescent="0.2">
      <c r="A376" s="202" t="s">
        <v>534</v>
      </c>
      <c r="B376" s="209" t="s">
        <v>999</v>
      </c>
      <c r="C376" s="209" t="s">
        <v>529</v>
      </c>
      <c r="D376" s="226">
        <v>555.5</v>
      </c>
      <c r="E376" s="226">
        <f>'Функциональная 2020'!H543</f>
        <v>0</v>
      </c>
      <c r="F376" s="228">
        <f t="shared" si="8"/>
        <v>-555.5</v>
      </c>
    </row>
    <row r="377" spans="1:6" x14ac:dyDescent="0.2">
      <c r="A377" s="199" t="s">
        <v>1640</v>
      </c>
      <c r="B377" s="212" t="s">
        <v>998</v>
      </c>
      <c r="C377" s="212"/>
      <c r="D377" s="205">
        <v>48161.5</v>
      </c>
      <c r="E377" s="205">
        <f>E378+E383+E386+E393+E398</f>
        <v>55615.1</v>
      </c>
      <c r="F377" s="206">
        <f t="shared" si="8"/>
        <v>7453.5999999999985</v>
      </c>
    </row>
    <row r="378" spans="1:6" x14ac:dyDescent="0.2">
      <c r="A378" s="202" t="s">
        <v>1353</v>
      </c>
      <c r="B378" s="209" t="s">
        <v>997</v>
      </c>
      <c r="C378" s="209"/>
      <c r="D378" s="226">
        <v>16504.900000000001</v>
      </c>
      <c r="E378" s="226">
        <f>E379+E381</f>
        <v>16504.900000000001</v>
      </c>
      <c r="F378" s="228">
        <f t="shared" si="8"/>
        <v>0</v>
      </c>
    </row>
    <row r="379" spans="1:6" ht="22.5" x14ac:dyDescent="0.2">
      <c r="A379" s="202" t="s">
        <v>1348</v>
      </c>
      <c r="B379" s="209" t="s">
        <v>997</v>
      </c>
      <c r="C379" s="209" t="s">
        <v>556</v>
      </c>
      <c r="D379" s="226">
        <v>15908.9</v>
      </c>
      <c r="E379" s="226">
        <f>E380</f>
        <v>15908.9</v>
      </c>
      <c r="F379" s="228">
        <f t="shared" si="8"/>
        <v>0</v>
      </c>
    </row>
    <row r="380" spans="1:6" x14ac:dyDescent="0.2">
      <c r="A380" s="202" t="s">
        <v>555</v>
      </c>
      <c r="B380" s="209" t="s">
        <v>997</v>
      </c>
      <c r="C380" s="209" t="s">
        <v>554</v>
      </c>
      <c r="D380" s="226">
        <v>15908.9</v>
      </c>
      <c r="E380" s="226">
        <f>'Функциональная 2020'!H687</f>
        <v>15908.9</v>
      </c>
      <c r="F380" s="228">
        <f t="shared" si="8"/>
        <v>0</v>
      </c>
    </row>
    <row r="381" spans="1:6" x14ac:dyDescent="0.2">
      <c r="A381" s="202" t="s">
        <v>1347</v>
      </c>
      <c r="B381" s="209" t="s">
        <v>997</v>
      </c>
      <c r="C381" s="209" t="s">
        <v>535</v>
      </c>
      <c r="D381" s="226">
        <v>596</v>
      </c>
      <c r="E381" s="226">
        <f>E382</f>
        <v>596</v>
      </c>
      <c r="F381" s="228">
        <f t="shared" si="8"/>
        <v>0</v>
      </c>
    </row>
    <row r="382" spans="1:6" x14ac:dyDescent="0.2">
      <c r="A382" s="202" t="s">
        <v>534</v>
      </c>
      <c r="B382" s="209" t="s">
        <v>997</v>
      </c>
      <c r="C382" s="209" t="s">
        <v>529</v>
      </c>
      <c r="D382" s="226">
        <v>596</v>
      </c>
      <c r="E382" s="226">
        <f>'Функциональная 2020'!H689</f>
        <v>596</v>
      </c>
      <c r="F382" s="228">
        <f t="shared" si="8"/>
        <v>0</v>
      </c>
    </row>
    <row r="383" spans="1:6" x14ac:dyDescent="0.2">
      <c r="A383" s="202" t="s">
        <v>1354</v>
      </c>
      <c r="B383" s="209" t="s">
        <v>996</v>
      </c>
      <c r="C383" s="209"/>
      <c r="D383" s="226">
        <v>4000</v>
      </c>
      <c r="E383" s="226">
        <f>E384</f>
        <v>7000</v>
      </c>
      <c r="F383" s="228">
        <f t="shared" si="8"/>
        <v>3000</v>
      </c>
    </row>
    <row r="384" spans="1:6" x14ac:dyDescent="0.2">
      <c r="A384" s="202" t="s">
        <v>1347</v>
      </c>
      <c r="B384" s="209" t="s">
        <v>996</v>
      </c>
      <c r="C384" s="209" t="s">
        <v>535</v>
      </c>
      <c r="D384" s="226">
        <v>4000</v>
      </c>
      <c r="E384" s="226">
        <f>E385</f>
        <v>7000</v>
      </c>
      <c r="F384" s="228">
        <f t="shared" si="8"/>
        <v>3000</v>
      </c>
    </row>
    <row r="385" spans="1:6" x14ac:dyDescent="0.2">
      <c r="A385" s="202" t="s">
        <v>534</v>
      </c>
      <c r="B385" s="209" t="s">
        <v>996</v>
      </c>
      <c r="C385" s="209" t="s">
        <v>529</v>
      </c>
      <c r="D385" s="226">
        <v>4000</v>
      </c>
      <c r="E385" s="226">
        <f>'Функциональная 2020'!H692</f>
        <v>7000</v>
      </c>
      <c r="F385" s="228">
        <f t="shared" si="8"/>
        <v>3000</v>
      </c>
    </row>
    <row r="386" spans="1:6" x14ac:dyDescent="0.2">
      <c r="A386" s="202" t="s">
        <v>1354</v>
      </c>
      <c r="B386" s="209" t="s">
        <v>995</v>
      </c>
      <c r="C386" s="209"/>
      <c r="D386" s="226">
        <v>27656.600000000002</v>
      </c>
      <c r="E386" s="226">
        <f>E387+E389+E391</f>
        <v>27656.600000000002</v>
      </c>
      <c r="F386" s="228">
        <f t="shared" si="8"/>
        <v>0</v>
      </c>
    </row>
    <row r="387" spans="1:6" ht="22.5" x14ac:dyDescent="0.2">
      <c r="A387" s="202" t="s">
        <v>1348</v>
      </c>
      <c r="B387" s="209" t="s">
        <v>995</v>
      </c>
      <c r="C387" s="209" t="s">
        <v>556</v>
      </c>
      <c r="D387" s="226">
        <v>22537.7</v>
      </c>
      <c r="E387" s="226">
        <f>E388</f>
        <v>22537.7</v>
      </c>
      <c r="F387" s="228">
        <f t="shared" si="8"/>
        <v>0</v>
      </c>
    </row>
    <row r="388" spans="1:6" x14ac:dyDescent="0.2">
      <c r="A388" s="202" t="s">
        <v>555</v>
      </c>
      <c r="B388" s="209" t="s">
        <v>995</v>
      </c>
      <c r="C388" s="209" t="s">
        <v>554</v>
      </c>
      <c r="D388" s="226">
        <v>22537.7</v>
      </c>
      <c r="E388" s="226">
        <f>'Функциональная 2020'!H695</f>
        <v>22537.7</v>
      </c>
      <c r="F388" s="228">
        <f t="shared" si="8"/>
        <v>0</v>
      </c>
    </row>
    <row r="389" spans="1:6" x14ac:dyDescent="0.2">
      <c r="A389" s="202" t="s">
        <v>1347</v>
      </c>
      <c r="B389" s="209" t="s">
        <v>995</v>
      </c>
      <c r="C389" s="209" t="s">
        <v>535</v>
      </c>
      <c r="D389" s="226">
        <v>5007.7</v>
      </c>
      <c r="E389" s="226">
        <f>E390</f>
        <v>5007.7</v>
      </c>
      <c r="F389" s="228">
        <f t="shared" ref="F389:F461" si="11">E389-D389</f>
        <v>0</v>
      </c>
    </row>
    <row r="390" spans="1:6" x14ac:dyDescent="0.2">
      <c r="A390" s="202" t="s">
        <v>534</v>
      </c>
      <c r="B390" s="209" t="s">
        <v>995</v>
      </c>
      <c r="C390" s="209" t="s">
        <v>529</v>
      </c>
      <c r="D390" s="226">
        <v>5007.7</v>
      </c>
      <c r="E390" s="226">
        <f>'Функциональная 2020'!H697</f>
        <v>5007.7</v>
      </c>
      <c r="F390" s="228">
        <f t="shared" si="11"/>
        <v>0</v>
      </c>
    </row>
    <row r="391" spans="1:6" x14ac:dyDescent="0.2">
      <c r="A391" s="202" t="s">
        <v>615</v>
      </c>
      <c r="B391" s="209" t="s">
        <v>995</v>
      </c>
      <c r="C391" s="209" t="s">
        <v>509</v>
      </c>
      <c r="D391" s="226">
        <v>111.19999999999999</v>
      </c>
      <c r="E391" s="226">
        <f>E392</f>
        <v>111.19999999999999</v>
      </c>
      <c r="F391" s="228">
        <f t="shared" si="11"/>
        <v>0</v>
      </c>
    </row>
    <row r="392" spans="1:6" x14ac:dyDescent="0.2">
      <c r="A392" s="202" t="s">
        <v>614</v>
      </c>
      <c r="B392" s="209" t="s">
        <v>995</v>
      </c>
      <c r="C392" s="209" t="s">
        <v>613</v>
      </c>
      <c r="D392" s="226">
        <v>111.19999999999999</v>
      </c>
      <c r="E392" s="226">
        <f>'Функциональная 2020'!H699</f>
        <v>111.19999999999999</v>
      </c>
      <c r="F392" s="228">
        <f t="shared" si="11"/>
        <v>0</v>
      </c>
    </row>
    <row r="393" spans="1:6" s="442" customFormat="1" ht="33.75" x14ac:dyDescent="0.2">
      <c r="A393" s="202" t="s">
        <v>1064</v>
      </c>
      <c r="B393" s="209" t="s">
        <v>1649</v>
      </c>
      <c r="C393" s="209"/>
      <c r="D393" s="226">
        <f>D394+D396</f>
        <v>0</v>
      </c>
      <c r="E393" s="226">
        <f>E394+E396</f>
        <v>2399</v>
      </c>
      <c r="F393" s="228">
        <f t="shared" si="11"/>
        <v>2399</v>
      </c>
    </row>
    <row r="394" spans="1:6" s="442" customFormat="1" ht="22.5" x14ac:dyDescent="0.2">
      <c r="A394" s="202" t="s">
        <v>1348</v>
      </c>
      <c r="B394" s="209" t="s">
        <v>1649</v>
      </c>
      <c r="C394" s="209" t="s">
        <v>556</v>
      </c>
      <c r="D394" s="226">
        <f>D395</f>
        <v>0</v>
      </c>
      <c r="E394" s="226">
        <f>E395</f>
        <v>1385.1</v>
      </c>
      <c r="F394" s="228">
        <f t="shared" si="11"/>
        <v>1385.1</v>
      </c>
    </row>
    <row r="395" spans="1:6" s="442" customFormat="1" x14ac:dyDescent="0.2">
      <c r="A395" s="202" t="s">
        <v>555</v>
      </c>
      <c r="B395" s="209" t="s">
        <v>1649</v>
      </c>
      <c r="C395" s="209" t="s">
        <v>554</v>
      </c>
      <c r="D395" s="226">
        <v>0</v>
      </c>
      <c r="E395" s="226">
        <f>'Функциональная 2020'!H547</f>
        <v>1385.1</v>
      </c>
      <c r="F395" s="228">
        <f t="shared" si="11"/>
        <v>1385.1</v>
      </c>
    </row>
    <row r="396" spans="1:6" s="442" customFormat="1" x14ac:dyDescent="0.2">
      <c r="A396" s="202" t="s">
        <v>1347</v>
      </c>
      <c r="B396" s="209" t="s">
        <v>1649</v>
      </c>
      <c r="C396" s="209" t="s">
        <v>535</v>
      </c>
      <c r="D396" s="226">
        <f>D397</f>
        <v>0</v>
      </c>
      <c r="E396" s="226">
        <f>E397</f>
        <v>1013.9</v>
      </c>
      <c r="F396" s="228">
        <f t="shared" si="11"/>
        <v>1013.9</v>
      </c>
    </row>
    <row r="397" spans="1:6" s="442" customFormat="1" x14ac:dyDescent="0.2">
      <c r="A397" s="202" t="s">
        <v>534</v>
      </c>
      <c r="B397" s="209" t="s">
        <v>1649</v>
      </c>
      <c r="C397" s="209" t="s">
        <v>529</v>
      </c>
      <c r="D397" s="226">
        <v>0</v>
      </c>
      <c r="E397" s="226">
        <f>'Функциональная 2020'!H549</f>
        <v>1013.9</v>
      </c>
      <c r="F397" s="228">
        <f t="shared" si="11"/>
        <v>1013.9</v>
      </c>
    </row>
    <row r="398" spans="1:6" s="442" customFormat="1" ht="33.75" x14ac:dyDescent="0.2">
      <c r="A398" s="202" t="s">
        <v>1650</v>
      </c>
      <c r="B398" s="209" t="s">
        <v>1651</v>
      </c>
      <c r="C398" s="202"/>
      <c r="D398" s="226">
        <f>D399+D401</f>
        <v>0</v>
      </c>
      <c r="E398" s="226">
        <f>E399+E401</f>
        <v>2054.6000000000004</v>
      </c>
      <c r="F398" s="228">
        <f t="shared" si="11"/>
        <v>2054.6000000000004</v>
      </c>
    </row>
    <row r="399" spans="1:6" s="442" customFormat="1" ht="22.5" x14ac:dyDescent="0.2">
      <c r="A399" s="202" t="s">
        <v>1348</v>
      </c>
      <c r="B399" s="209" t="s">
        <v>1651</v>
      </c>
      <c r="C399" s="209" t="s">
        <v>556</v>
      </c>
      <c r="D399" s="226">
        <f>D400</f>
        <v>0</v>
      </c>
      <c r="E399" s="226">
        <f>E400</f>
        <v>1499.1000000000001</v>
      </c>
      <c r="F399" s="228">
        <f t="shared" si="11"/>
        <v>1499.1000000000001</v>
      </c>
    </row>
    <row r="400" spans="1:6" s="442" customFormat="1" x14ac:dyDescent="0.2">
      <c r="A400" s="202" t="s">
        <v>555</v>
      </c>
      <c r="B400" s="209" t="s">
        <v>1651</v>
      </c>
      <c r="C400" s="209" t="s">
        <v>554</v>
      </c>
      <c r="D400" s="226">
        <v>0</v>
      </c>
      <c r="E400" s="226">
        <f>'Функциональная 2020'!H552</f>
        <v>1499.1000000000001</v>
      </c>
      <c r="F400" s="228">
        <f t="shared" si="11"/>
        <v>1499.1000000000001</v>
      </c>
    </row>
    <row r="401" spans="1:6" s="442" customFormat="1" x14ac:dyDescent="0.2">
      <c r="A401" s="202" t="s">
        <v>1347</v>
      </c>
      <c r="B401" s="209" t="s">
        <v>1651</v>
      </c>
      <c r="C401" s="209" t="s">
        <v>535</v>
      </c>
      <c r="D401" s="226">
        <f>D402</f>
        <v>0</v>
      </c>
      <c r="E401" s="226">
        <f>E402</f>
        <v>555.5</v>
      </c>
      <c r="F401" s="228">
        <f t="shared" si="11"/>
        <v>555.5</v>
      </c>
    </row>
    <row r="402" spans="1:6" s="442" customFormat="1" x14ac:dyDescent="0.2">
      <c r="A402" s="202" t="s">
        <v>534</v>
      </c>
      <c r="B402" s="209" t="s">
        <v>1651</v>
      </c>
      <c r="C402" s="209" t="s">
        <v>529</v>
      </c>
      <c r="D402" s="226">
        <v>0</v>
      </c>
      <c r="E402" s="226">
        <f>'Функциональная 2020'!H554</f>
        <v>555.5</v>
      </c>
      <c r="F402" s="228">
        <f t="shared" si="11"/>
        <v>555.5</v>
      </c>
    </row>
    <row r="403" spans="1:6" ht="22.5" x14ac:dyDescent="0.2">
      <c r="A403" s="199" t="s">
        <v>1204</v>
      </c>
      <c r="B403" s="212" t="s">
        <v>1203</v>
      </c>
      <c r="C403" s="212"/>
      <c r="D403" s="205">
        <v>6400</v>
      </c>
      <c r="E403" s="205">
        <f>E404</f>
        <v>6222.9</v>
      </c>
      <c r="F403" s="206">
        <f t="shared" si="11"/>
        <v>-177.10000000000036</v>
      </c>
    </row>
    <row r="404" spans="1:6" ht="22.5" x14ac:dyDescent="0.2">
      <c r="A404" s="199" t="s">
        <v>1198</v>
      </c>
      <c r="B404" s="212" t="s">
        <v>1197</v>
      </c>
      <c r="C404" s="212"/>
      <c r="D404" s="205">
        <v>6400</v>
      </c>
      <c r="E404" s="205">
        <f>E408+E405</f>
        <v>6222.9</v>
      </c>
      <c r="F404" s="206">
        <f t="shared" si="11"/>
        <v>-177.10000000000036</v>
      </c>
    </row>
    <row r="405" spans="1:6" s="377" customFormat="1" x14ac:dyDescent="0.2">
      <c r="A405" s="202" t="s">
        <v>1506</v>
      </c>
      <c r="B405" s="209" t="s">
        <v>1507</v>
      </c>
      <c r="C405" s="209"/>
      <c r="D405" s="226">
        <v>3700</v>
      </c>
      <c r="E405" s="226">
        <f>E406</f>
        <v>3700</v>
      </c>
      <c r="F405" s="228">
        <f t="shared" si="11"/>
        <v>0</v>
      </c>
    </row>
    <row r="406" spans="1:6" s="377" customFormat="1" x14ac:dyDescent="0.2">
      <c r="A406" s="202" t="s">
        <v>1347</v>
      </c>
      <c r="B406" s="209" t="s">
        <v>1507</v>
      </c>
      <c r="C406" s="209" t="s">
        <v>535</v>
      </c>
      <c r="D406" s="226">
        <v>3700</v>
      </c>
      <c r="E406" s="226">
        <f>E407</f>
        <v>3700</v>
      </c>
      <c r="F406" s="228">
        <f t="shared" si="11"/>
        <v>0</v>
      </c>
    </row>
    <row r="407" spans="1:6" s="377" customFormat="1" x14ac:dyDescent="0.2">
      <c r="A407" s="202" t="s">
        <v>534</v>
      </c>
      <c r="B407" s="209" t="s">
        <v>1507</v>
      </c>
      <c r="C407" s="209" t="s">
        <v>529</v>
      </c>
      <c r="D407" s="226">
        <v>3700</v>
      </c>
      <c r="E407" s="226">
        <f>'Функциональная 2020'!H259</f>
        <v>3700</v>
      </c>
      <c r="F407" s="228">
        <f t="shared" si="11"/>
        <v>0</v>
      </c>
    </row>
    <row r="408" spans="1:6" ht="22.5" x14ac:dyDescent="0.2">
      <c r="A408" s="202" t="s">
        <v>1524</v>
      </c>
      <c r="B408" s="209" t="s">
        <v>1196</v>
      </c>
      <c r="C408" s="209"/>
      <c r="D408" s="226">
        <v>2700</v>
      </c>
      <c r="E408" s="226">
        <f>E409</f>
        <v>2522.9</v>
      </c>
      <c r="F408" s="228">
        <f t="shared" si="11"/>
        <v>-177.09999999999991</v>
      </c>
    </row>
    <row r="409" spans="1:6" s="389" customFormat="1" x14ac:dyDescent="0.2">
      <c r="A409" s="202" t="s">
        <v>547</v>
      </c>
      <c r="B409" s="209" t="s">
        <v>1196</v>
      </c>
      <c r="C409" s="209">
        <v>600</v>
      </c>
      <c r="D409" s="226">
        <v>2700</v>
      </c>
      <c r="E409" s="226">
        <f>E410</f>
        <v>2522.9</v>
      </c>
      <c r="F409" s="228">
        <f t="shared" si="11"/>
        <v>-177.09999999999991</v>
      </c>
    </row>
    <row r="410" spans="1:6" s="389" customFormat="1" x14ac:dyDescent="0.2">
      <c r="A410" s="202" t="s">
        <v>571</v>
      </c>
      <c r="B410" s="209" t="s">
        <v>1196</v>
      </c>
      <c r="C410" s="209">
        <v>610</v>
      </c>
      <c r="D410" s="226">
        <v>2700</v>
      </c>
      <c r="E410" s="226">
        <f>'Функциональная 2020'!H262</f>
        <v>2522.9</v>
      </c>
      <c r="F410" s="228">
        <f t="shared" si="11"/>
        <v>-177.09999999999991</v>
      </c>
    </row>
    <row r="411" spans="1:6" x14ac:dyDescent="0.2">
      <c r="A411" s="199" t="s">
        <v>1195</v>
      </c>
      <c r="B411" s="212" t="s">
        <v>1194</v>
      </c>
      <c r="C411" s="212"/>
      <c r="D411" s="205">
        <v>1076</v>
      </c>
      <c r="E411" s="205">
        <f>E412</f>
        <v>1076</v>
      </c>
      <c r="F411" s="206">
        <f t="shared" si="11"/>
        <v>0</v>
      </c>
    </row>
    <row r="412" spans="1:6" ht="33.75" x14ac:dyDescent="0.2">
      <c r="A412" s="199" t="s">
        <v>1193</v>
      </c>
      <c r="B412" s="212" t="s">
        <v>1192</v>
      </c>
      <c r="C412" s="212"/>
      <c r="D412" s="205">
        <v>1076</v>
      </c>
      <c r="E412" s="205">
        <f>E413</f>
        <v>1076</v>
      </c>
      <c r="F412" s="206">
        <f t="shared" si="11"/>
        <v>0</v>
      </c>
    </row>
    <row r="413" spans="1:6" ht="22.5" x14ac:dyDescent="0.2">
      <c r="A413" s="202" t="s">
        <v>1191</v>
      </c>
      <c r="B413" s="209" t="s">
        <v>1190</v>
      </c>
      <c r="C413" s="209"/>
      <c r="D413" s="226">
        <v>1076</v>
      </c>
      <c r="E413" s="226">
        <f>E414</f>
        <v>1076</v>
      </c>
      <c r="F413" s="228">
        <f t="shared" si="11"/>
        <v>0</v>
      </c>
    </row>
    <row r="414" spans="1:6" x14ac:dyDescent="0.2">
      <c r="A414" s="202" t="s">
        <v>1347</v>
      </c>
      <c r="B414" s="209" t="s">
        <v>1190</v>
      </c>
      <c r="C414" s="209" t="s">
        <v>535</v>
      </c>
      <c r="D414" s="226">
        <v>1076</v>
      </c>
      <c r="E414" s="226">
        <f>E415</f>
        <v>1076</v>
      </c>
      <c r="F414" s="228">
        <f t="shared" si="11"/>
        <v>0</v>
      </c>
    </row>
    <row r="415" spans="1:6" x14ac:dyDescent="0.2">
      <c r="A415" s="202" t="s">
        <v>534</v>
      </c>
      <c r="B415" s="209" t="s">
        <v>1190</v>
      </c>
      <c r="C415" s="209" t="s">
        <v>529</v>
      </c>
      <c r="D415" s="226">
        <v>1076</v>
      </c>
      <c r="E415" s="226">
        <f>'Функциональная 2020'!H267</f>
        <v>1076</v>
      </c>
      <c r="F415" s="228">
        <f t="shared" si="11"/>
        <v>0</v>
      </c>
    </row>
    <row r="416" spans="1:6" x14ac:dyDescent="0.2">
      <c r="A416" s="199" t="s">
        <v>1189</v>
      </c>
      <c r="B416" s="212" t="s">
        <v>1188</v>
      </c>
      <c r="C416" s="212"/>
      <c r="D416" s="205">
        <v>1776.5</v>
      </c>
      <c r="E416" s="205">
        <f>E417</f>
        <v>1862.5</v>
      </c>
      <c r="F416" s="206">
        <f t="shared" si="11"/>
        <v>86</v>
      </c>
    </row>
    <row r="417" spans="1:6" x14ac:dyDescent="0.2">
      <c r="A417" s="199" t="s">
        <v>1187</v>
      </c>
      <c r="B417" s="212" t="s">
        <v>1186</v>
      </c>
      <c r="C417" s="212"/>
      <c r="D417" s="205">
        <v>1776.5</v>
      </c>
      <c r="E417" s="205">
        <f>E418+E426+E429+E423</f>
        <v>1862.5</v>
      </c>
      <c r="F417" s="206">
        <f t="shared" si="11"/>
        <v>86</v>
      </c>
    </row>
    <row r="418" spans="1:6" x14ac:dyDescent="0.2">
      <c r="A418" s="202" t="s">
        <v>1185</v>
      </c>
      <c r="B418" s="209" t="s">
        <v>1184</v>
      </c>
      <c r="C418" s="209"/>
      <c r="D418" s="226">
        <v>879</v>
      </c>
      <c r="E418" s="226">
        <f>E419+E421</f>
        <v>880</v>
      </c>
      <c r="F418" s="228">
        <f t="shared" si="11"/>
        <v>1</v>
      </c>
    </row>
    <row r="419" spans="1:6" x14ac:dyDescent="0.2">
      <c r="A419" s="202" t="s">
        <v>1347</v>
      </c>
      <c r="B419" s="209" t="s">
        <v>1184</v>
      </c>
      <c r="C419" s="209" t="s">
        <v>535</v>
      </c>
      <c r="D419" s="226">
        <v>3</v>
      </c>
      <c r="E419" s="226">
        <f>E420</f>
        <v>3</v>
      </c>
      <c r="F419" s="228">
        <f t="shared" si="11"/>
        <v>0</v>
      </c>
    </row>
    <row r="420" spans="1:6" x14ac:dyDescent="0.2">
      <c r="A420" s="202" t="s">
        <v>534</v>
      </c>
      <c r="B420" s="209" t="s">
        <v>1184</v>
      </c>
      <c r="C420" s="209" t="s">
        <v>529</v>
      </c>
      <c r="D420" s="226">
        <v>3</v>
      </c>
      <c r="E420" s="226">
        <f>'Функциональная 2020'!H272</f>
        <v>3</v>
      </c>
      <c r="F420" s="228">
        <f t="shared" si="11"/>
        <v>0</v>
      </c>
    </row>
    <row r="421" spans="1:6" x14ac:dyDescent="0.2">
      <c r="A421" s="202" t="s">
        <v>553</v>
      </c>
      <c r="B421" s="209" t="s">
        <v>1184</v>
      </c>
      <c r="C421" s="209" t="s">
        <v>552</v>
      </c>
      <c r="D421" s="226">
        <v>876</v>
      </c>
      <c r="E421" s="226">
        <f>E422</f>
        <v>877</v>
      </c>
      <c r="F421" s="228">
        <f t="shared" si="11"/>
        <v>1</v>
      </c>
    </row>
    <row r="422" spans="1:6" x14ac:dyDescent="0.2">
      <c r="A422" s="202" t="s">
        <v>841</v>
      </c>
      <c r="B422" s="209" t="s">
        <v>1184</v>
      </c>
      <c r="C422" s="209" t="s">
        <v>840</v>
      </c>
      <c r="D422" s="226">
        <v>876</v>
      </c>
      <c r="E422" s="226">
        <f>'Функциональная 2020'!H274</f>
        <v>877</v>
      </c>
      <c r="F422" s="228">
        <f t="shared" si="11"/>
        <v>1</v>
      </c>
    </row>
    <row r="423" spans="1:6" s="377" customFormat="1" x14ac:dyDescent="0.2">
      <c r="A423" s="202" t="s">
        <v>1493</v>
      </c>
      <c r="B423" s="209" t="s">
        <v>1492</v>
      </c>
      <c r="C423" s="209"/>
      <c r="D423" s="226">
        <v>60</v>
      </c>
      <c r="E423" s="226">
        <f>E424</f>
        <v>145</v>
      </c>
      <c r="F423" s="228">
        <f t="shared" si="11"/>
        <v>85</v>
      </c>
    </row>
    <row r="424" spans="1:6" s="377" customFormat="1" x14ac:dyDescent="0.2">
      <c r="A424" s="202" t="s">
        <v>1347</v>
      </c>
      <c r="B424" s="209" t="s">
        <v>1492</v>
      </c>
      <c r="C424" s="209" t="s">
        <v>535</v>
      </c>
      <c r="D424" s="226">
        <v>60</v>
      </c>
      <c r="E424" s="226">
        <f>E425</f>
        <v>145</v>
      </c>
      <c r="F424" s="228">
        <f t="shared" si="11"/>
        <v>85</v>
      </c>
    </row>
    <row r="425" spans="1:6" s="377" customFormat="1" x14ac:dyDescent="0.2">
      <c r="A425" s="202" t="s">
        <v>534</v>
      </c>
      <c r="B425" s="209" t="s">
        <v>1492</v>
      </c>
      <c r="C425" s="209" t="s">
        <v>529</v>
      </c>
      <c r="D425" s="226">
        <v>60</v>
      </c>
      <c r="E425" s="226">
        <f>'Функциональная 2020'!H277</f>
        <v>145</v>
      </c>
      <c r="F425" s="228">
        <f t="shared" si="11"/>
        <v>85</v>
      </c>
    </row>
    <row r="426" spans="1:6" x14ac:dyDescent="0.2">
      <c r="A426" s="202" t="s">
        <v>1183</v>
      </c>
      <c r="B426" s="209" t="s">
        <v>1182</v>
      </c>
      <c r="C426" s="209"/>
      <c r="D426" s="226">
        <v>307.5</v>
      </c>
      <c r="E426" s="226">
        <f>E427</f>
        <v>307.5</v>
      </c>
      <c r="F426" s="228">
        <f t="shared" si="11"/>
        <v>0</v>
      </c>
    </row>
    <row r="427" spans="1:6" x14ac:dyDescent="0.2">
      <c r="A427" s="202" t="s">
        <v>547</v>
      </c>
      <c r="B427" s="209" t="s">
        <v>1182</v>
      </c>
      <c r="C427" s="209" t="s">
        <v>519</v>
      </c>
      <c r="D427" s="226">
        <v>307.5</v>
      </c>
      <c r="E427" s="226">
        <f>E428</f>
        <v>307.5</v>
      </c>
      <c r="F427" s="228">
        <f t="shared" si="11"/>
        <v>0</v>
      </c>
    </row>
    <row r="428" spans="1:6" x14ac:dyDescent="0.2">
      <c r="A428" s="202" t="s">
        <v>546</v>
      </c>
      <c r="B428" s="209" t="s">
        <v>1182</v>
      </c>
      <c r="C428" s="209" t="s">
        <v>544</v>
      </c>
      <c r="D428" s="226">
        <v>307.5</v>
      </c>
      <c r="E428" s="226">
        <f>'Функциональная 2020'!H280</f>
        <v>307.5</v>
      </c>
      <c r="F428" s="228">
        <f t="shared" si="11"/>
        <v>0</v>
      </c>
    </row>
    <row r="429" spans="1:6" x14ac:dyDescent="0.2">
      <c r="A429" s="202" t="s">
        <v>1366</v>
      </c>
      <c r="B429" s="209" t="s">
        <v>1181</v>
      </c>
      <c r="C429" s="209"/>
      <c r="D429" s="226">
        <v>530</v>
      </c>
      <c r="E429" s="226">
        <f>E430</f>
        <v>530</v>
      </c>
      <c r="F429" s="228">
        <f t="shared" si="11"/>
        <v>0</v>
      </c>
    </row>
    <row r="430" spans="1:6" ht="22.5" x14ac:dyDescent="0.2">
      <c r="A430" s="202" t="s">
        <v>1348</v>
      </c>
      <c r="B430" s="209" t="s">
        <v>1181</v>
      </c>
      <c r="C430" s="209" t="s">
        <v>556</v>
      </c>
      <c r="D430" s="226">
        <v>530</v>
      </c>
      <c r="E430" s="226">
        <f>E431</f>
        <v>530</v>
      </c>
      <c r="F430" s="228">
        <f t="shared" si="11"/>
        <v>0</v>
      </c>
    </row>
    <row r="431" spans="1:6" x14ac:dyDescent="0.2">
      <c r="A431" s="202" t="s">
        <v>555</v>
      </c>
      <c r="B431" s="209" t="s">
        <v>1181</v>
      </c>
      <c r="C431" s="209" t="s">
        <v>554</v>
      </c>
      <c r="D431" s="226">
        <v>530</v>
      </c>
      <c r="E431" s="226">
        <f>'Функциональная 2020'!H283</f>
        <v>530</v>
      </c>
      <c r="F431" s="228">
        <f t="shared" si="11"/>
        <v>0</v>
      </c>
    </row>
    <row r="432" spans="1:6" x14ac:dyDescent="0.2">
      <c r="A432" s="199" t="s">
        <v>602</v>
      </c>
      <c r="B432" s="212" t="s">
        <v>1174</v>
      </c>
      <c r="C432" s="212"/>
      <c r="D432" s="205">
        <v>37849.19999999999</v>
      </c>
      <c r="E432" s="205">
        <f>E433</f>
        <v>37849.19999999999</v>
      </c>
      <c r="F432" s="206">
        <f t="shared" si="11"/>
        <v>0</v>
      </c>
    </row>
    <row r="433" spans="1:6" x14ac:dyDescent="0.2">
      <c r="A433" s="199" t="s">
        <v>600</v>
      </c>
      <c r="B433" s="212" t="s">
        <v>1173</v>
      </c>
      <c r="C433" s="212"/>
      <c r="D433" s="205">
        <v>37849.19999999999</v>
      </c>
      <c r="E433" s="205">
        <f>E434</f>
        <v>37849.19999999999</v>
      </c>
      <c r="F433" s="206">
        <f t="shared" si="11"/>
        <v>0</v>
      </c>
    </row>
    <row r="434" spans="1:6" x14ac:dyDescent="0.2">
      <c r="A434" s="202" t="s">
        <v>1350</v>
      </c>
      <c r="B434" s="209" t="s">
        <v>1172</v>
      </c>
      <c r="C434" s="209"/>
      <c r="D434" s="226">
        <v>37849.19999999999</v>
      </c>
      <c r="E434" s="226">
        <f>E435+E437+E439</f>
        <v>37849.19999999999</v>
      </c>
      <c r="F434" s="228">
        <f t="shared" si="11"/>
        <v>0</v>
      </c>
    </row>
    <row r="435" spans="1:6" ht="22.5" x14ac:dyDescent="0.2">
      <c r="A435" s="202" t="s">
        <v>1348</v>
      </c>
      <c r="B435" s="209" t="s">
        <v>1172</v>
      </c>
      <c r="C435" s="209" t="s">
        <v>556</v>
      </c>
      <c r="D435" s="226">
        <v>35875.499999999993</v>
      </c>
      <c r="E435" s="226">
        <f>E436</f>
        <v>35875.499999999993</v>
      </c>
      <c r="F435" s="228">
        <f t="shared" si="11"/>
        <v>0</v>
      </c>
    </row>
    <row r="436" spans="1:6" x14ac:dyDescent="0.2">
      <c r="A436" s="202" t="s">
        <v>555</v>
      </c>
      <c r="B436" s="209" t="s">
        <v>1172</v>
      </c>
      <c r="C436" s="209" t="s">
        <v>554</v>
      </c>
      <c r="D436" s="226">
        <v>35875.499999999993</v>
      </c>
      <c r="E436" s="226">
        <f>'Функциональная 2020'!H288</f>
        <v>35875.499999999993</v>
      </c>
      <c r="F436" s="228">
        <f t="shared" si="11"/>
        <v>0</v>
      </c>
    </row>
    <row r="437" spans="1:6" x14ac:dyDescent="0.2">
      <c r="A437" s="202" t="s">
        <v>1347</v>
      </c>
      <c r="B437" s="209" t="s">
        <v>1172</v>
      </c>
      <c r="C437" s="209" t="s">
        <v>535</v>
      </c>
      <c r="D437" s="226">
        <v>1023.7</v>
      </c>
      <c r="E437" s="226">
        <f>E438</f>
        <v>1023.7</v>
      </c>
      <c r="F437" s="228">
        <f t="shared" si="11"/>
        <v>0</v>
      </c>
    </row>
    <row r="438" spans="1:6" x14ac:dyDescent="0.2">
      <c r="A438" s="202" t="s">
        <v>534</v>
      </c>
      <c r="B438" s="209" t="s">
        <v>1172</v>
      </c>
      <c r="C438" s="209" t="s">
        <v>529</v>
      </c>
      <c r="D438" s="226">
        <v>1023.7</v>
      </c>
      <c r="E438" s="226">
        <f>'Функциональная 2020'!H290</f>
        <v>1023.7</v>
      </c>
      <c r="F438" s="228">
        <f t="shared" si="11"/>
        <v>0</v>
      </c>
    </row>
    <row r="439" spans="1:6" s="231" customFormat="1" x14ac:dyDescent="0.2">
      <c r="A439" s="202" t="s">
        <v>553</v>
      </c>
      <c r="B439" s="209" t="s">
        <v>1172</v>
      </c>
      <c r="C439" s="209">
        <v>300</v>
      </c>
      <c r="D439" s="226">
        <v>950</v>
      </c>
      <c r="E439" s="226">
        <f>E440</f>
        <v>950</v>
      </c>
      <c r="F439" s="228">
        <f t="shared" si="11"/>
        <v>0</v>
      </c>
    </row>
    <row r="440" spans="1:6" s="231" customFormat="1" x14ac:dyDescent="0.2">
      <c r="A440" s="202" t="s">
        <v>832</v>
      </c>
      <c r="B440" s="209" t="s">
        <v>1172</v>
      </c>
      <c r="C440" s="209">
        <v>320</v>
      </c>
      <c r="D440" s="226">
        <v>950</v>
      </c>
      <c r="E440" s="226">
        <f>'Функциональная 2020'!H292</f>
        <v>950</v>
      </c>
      <c r="F440" s="228">
        <f t="shared" si="11"/>
        <v>0</v>
      </c>
    </row>
    <row r="441" spans="1:6" x14ac:dyDescent="0.2">
      <c r="A441" s="199" t="s">
        <v>839</v>
      </c>
      <c r="B441" s="212" t="s">
        <v>838</v>
      </c>
      <c r="C441" s="212"/>
      <c r="D441" s="205">
        <v>53486.1</v>
      </c>
      <c r="E441" s="205">
        <f>E442+E449+E454+E459</f>
        <v>40358.5</v>
      </c>
      <c r="F441" s="206">
        <f t="shared" si="11"/>
        <v>-13127.599999999999</v>
      </c>
    </row>
    <row r="442" spans="1:6" ht="22.5" x14ac:dyDescent="0.2">
      <c r="A442" s="199" t="s">
        <v>1251</v>
      </c>
      <c r="B442" s="212" t="s">
        <v>1250</v>
      </c>
      <c r="C442" s="212"/>
      <c r="D442" s="205">
        <v>3793</v>
      </c>
      <c r="E442" s="205">
        <f>E443</f>
        <v>3793</v>
      </c>
      <c r="F442" s="206">
        <f t="shared" si="11"/>
        <v>0</v>
      </c>
    </row>
    <row r="443" spans="1:6" ht="22.5" x14ac:dyDescent="0.2">
      <c r="A443" s="199" t="s">
        <v>1249</v>
      </c>
      <c r="B443" s="212" t="s">
        <v>1248</v>
      </c>
      <c r="C443" s="212"/>
      <c r="D443" s="205">
        <v>3793</v>
      </c>
      <c r="E443" s="205">
        <f>E444</f>
        <v>3793</v>
      </c>
      <c r="F443" s="206">
        <f t="shared" si="11"/>
        <v>0</v>
      </c>
    </row>
    <row r="444" spans="1:6" ht="67.5" x14ac:dyDescent="0.2">
      <c r="A444" s="202" t="s">
        <v>1247</v>
      </c>
      <c r="B444" s="209" t="s">
        <v>1246</v>
      </c>
      <c r="C444" s="209"/>
      <c r="D444" s="226">
        <v>3793</v>
      </c>
      <c r="E444" s="226">
        <f>E445+E447</f>
        <v>3793</v>
      </c>
      <c r="F444" s="228">
        <f t="shared" si="11"/>
        <v>0</v>
      </c>
    </row>
    <row r="445" spans="1:6" ht="22.5" x14ac:dyDescent="0.2">
      <c r="A445" s="202" t="s">
        <v>1348</v>
      </c>
      <c r="B445" s="209" t="s">
        <v>1246</v>
      </c>
      <c r="C445" s="209" t="s">
        <v>556</v>
      </c>
      <c r="D445" s="226">
        <v>2977.8</v>
      </c>
      <c r="E445" s="226">
        <f>E446</f>
        <v>2977.8</v>
      </c>
      <c r="F445" s="228">
        <f t="shared" si="11"/>
        <v>0</v>
      </c>
    </row>
    <row r="446" spans="1:6" x14ac:dyDescent="0.2">
      <c r="A446" s="202" t="s">
        <v>749</v>
      </c>
      <c r="B446" s="209" t="s">
        <v>1246</v>
      </c>
      <c r="C446" s="209" t="s">
        <v>745</v>
      </c>
      <c r="D446" s="226">
        <v>2977.8</v>
      </c>
      <c r="E446" s="226">
        <f>'Функциональная 2020'!H76</f>
        <v>2977.8</v>
      </c>
      <c r="F446" s="228">
        <f t="shared" si="11"/>
        <v>0</v>
      </c>
    </row>
    <row r="447" spans="1:6" x14ac:dyDescent="0.2">
      <c r="A447" s="202" t="s">
        <v>1347</v>
      </c>
      <c r="B447" s="209" t="s">
        <v>1246</v>
      </c>
      <c r="C447" s="209" t="s">
        <v>535</v>
      </c>
      <c r="D447" s="226">
        <v>815.2</v>
      </c>
      <c r="E447" s="226">
        <f>E448</f>
        <v>815.2</v>
      </c>
      <c r="F447" s="228">
        <f t="shared" si="11"/>
        <v>0</v>
      </c>
    </row>
    <row r="448" spans="1:6" x14ac:dyDescent="0.2">
      <c r="A448" s="202" t="s">
        <v>534</v>
      </c>
      <c r="B448" s="209" t="s">
        <v>1246</v>
      </c>
      <c r="C448" s="209" t="s">
        <v>529</v>
      </c>
      <c r="D448" s="226">
        <v>815.2</v>
      </c>
      <c r="E448" s="226">
        <f>'Функциональная 2020'!H78</f>
        <v>815.2</v>
      </c>
      <c r="F448" s="228">
        <f t="shared" si="11"/>
        <v>0</v>
      </c>
    </row>
    <row r="449" spans="1:6" x14ac:dyDescent="0.2">
      <c r="A449" s="199" t="s">
        <v>837</v>
      </c>
      <c r="B449" s="212" t="s">
        <v>836</v>
      </c>
      <c r="C449" s="212"/>
      <c r="D449" s="205">
        <v>9670.0999999999985</v>
      </c>
      <c r="E449" s="205">
        <f>E450</f>
        <v>8461.4999999999982</v>
      </c>
      <c r="F449" s="206">
        <f t="shared" si="11"/>
        <v>-1208.6000000000004</v>
      </c>
    </row>
    <row r="450" spans="1:6" ht="22.5" x14ac:dyDescent="0.2">
      <c r="A450" s="199" t="s">
        <v>835</v>
      </c>
      <c r="B450" s="212" t="s">
        <v>834</v>
      </c>
      <c r="C450" s="212"/>
      <c r="D450" s="205">
        <v>9670.0999999999985</v>
      </c>
      <c r="E450" s="205">
        <f>E451</f>
        <v>8461.4999999999982</v>
      </c>
      <c r="F450" s="206">
        <f t="shared" si="11"/>
        <v>-1208.6000000000004</v>
      </c>
    </row>
    <row r="451" spans="1:6" x14ac:dyDescent="0.2">
      <c r="A451" s="202" t="s">
        <v>833</v>
      </c>
      <c r="B451" s="209" t="s">
        <v>831</v>
      </c>
      <c r="C451" s="209"/>
      <c r="D451" s="226">
        <v>9670.0999999999985</v>
      </c>
      <c r="E451" s="226">
        <f>E452</f>
        <v>8461.4999999999982</v>
      </c>
      <c r="F451" s="228">
        <f t="shared" si="11"/>
        <v>-1208.6000000000004</v>
      </c>
    </row>
    <row r="452" spans="1:6" x14ac:dyDescent="0.2">
      <c r="A452" s="202" t="s">
        <v>553</v>
      </c>
      <c r="B452" s="209" t="s">
        <v>831</v>
      </c>
      <c r="C452" s="209" t="s">
        <v>552</v>
      </c>
      <c r="D452" s="226">
        <v>9670.0999999999985</v>
      </c>
      <c r="E452" s="226">
        <f>E453</f>
        <v>8461.4999999999982</v>
      </c>
      <c r="F452" s="228">
        <f t="shared" si="11"/>
        <v>-1208.6000000000004</v>
      </c>
    </row>
    <row r="453" spans="1:6" x14ac:dyDescent="0.2">
      <c r="A453" s="202" t="s">
        <v>832</v>
      </c>
      <c r="B453" s="209" t="s">
        <v>831</v>
      </c>
      <c r="C453" s="209" t="s">
        <v>830</v>
      </c>
      <c r="D453" s="226">
        <v>9670.0999999999985</v>
      </c>
      <c r="E453" s="226">
        <f>'Функциональная 2020'!H1211</f>
        <v>8461.4999999999982</v>
      </c>
      <c r="F453" s="228">
        <f t="shared" si="11"/>
        <v>-1208.6000000000004</v>
      </c>
    </row>
    <row r="454" spans="1:6" ht="22.5" x14ac:dyDescent="0.2">
      <c r="A454" s="199" t="s">
        <v>829</v>
      </c>
      <c r="B454" s="212" t="s">
        <v>828</v>
      </c>
      <c r="C454" s="212"/>
      <c r="D454" s="205">
        <v>39729</v>
      </c>
      <c r="E454" s="205">
        <f>E455</f>
        <v>27810</v>
      </c>
      <c r="F454" s="206">
        <f t="shared" si="11"/>
        <v>-11919</v>
      </c>
    </row>
    <row r="455" spans="1:6" ht="22.5" x14ac:dyDescent="0.2">
      <c r="A455" s="199" t="s">
        <v>827</v>
      </c>
      <c r="B455" s="212" t="s">
        <v>826</v>
      </c>
      <c r="C455" s="212"/>
      <c r="D455" s="205">
        <v>39729</v>
      </c>
      <c r="E455" s="205">
        <f>E456</f>
        <v>27810</v>
      </c>
      <c r="F455" s="206">
        <f t="shared" si="11"/>
        <v>-11919</v>
      </c>
    </row>
    <row r="456" spans="1:6" ht="22.5" x14ac:dyDescent="0.2">
      <c r="A456" s="202" t="s">
        <v>825</v>
      </c>
      <c r="B456" s="209" t="s">
        <v>822</v>
      </c>
      <c r="C456" s="209"/>
      <c r="D456" s="226">
        <v>39729</v>
      </c>
      <c r="E456" s="226">
        <f>E457</f>
        <v>27810</v>
      </c>
      <c r="F456" s="228">
        <f t="shared" si="11"/>
        <v>-11919</v>
      </c>
    </row>
    <row r="457" spans="1:6" x14ac:dyDescent="0.2">
      <c r="A457" s="202" t="s">
        <v>1355</v>
      </c>
      <c r="B457" s="209" t="s">
        <v>822</v>
      </c>
      <c r="C457" s="209" t="s">
        <v>824</v>
      </c>
      <c r="D457" s="226">
        <v>39729</v>
      </c>
      <c r="E457" s="226">
        <f>E458</f>
        <v>27810</v>
      </c>
      <c r="F457" s="228">
        <f t="shared" si="11"/>
        <v>-11919</v>
      </c>
    </row>
    <row r="458" spans="1:6" x14ac:dyDescent="0.2">
      <c r="A458" s="202" t="s">
        <v>823</v>
      </c>
      <c r="B458" s="209" t="s">
        <v>822</v>
      </c>
      <c r="C458" s="209" t="s">
        <v>821</v>
      </c>
      <c r="D458" s="226">
        <v>39729</v>
      </c>
      <c r="E458" s="226">
        <f>'Функциональная 2020'!H1216</f>
        <v>27810</v>
      </c>
      <c r="F458" s="228">
        <f t="shared" si="11"/>
        <v>-11919</v>
      </c>
    </row>
    <row r="459" spans="1:6" x14ac:dyDescent="0.2">
      <c r="A459" s="199" t="s">
        <v>849</v>
      </c>
      <c r="B459" s="212" t="s">
        <v>848</v>
      </c>
      <c r="C459" s="212"/>
      <c r="D459" s="205">
        <v>294</v>
      </c>
      <c r="E459" s="205">
        <f>E460</f>
        <v>294</v>
      </c>
      <c r="F459" s="206">
        <f t="shared" si="11"/>
        <v>0</v>
      </c>
    </row>
    <row r="460" spans="1:6" ht="22.5" x14ac:dyDescent="0.2">
      <c r="A460" s="199" t="s">
        <v>847</v>
      </c>
      <c r="B460" s="212" t="s">
        <v>846</v>
      </c>
      <c r="C460" s="212"/>
      <c r="D460" s="205">
        <v>294</v>
      </c>
      <c r="E460" s="205">
        <f>E461</f>
        <v>294</v>
      </c>
      <c r="F460" s="206">
        <f t="shared" si="11"/>
        <v>0</v>
      </c>
    </row>
    <row r="461" spans="1:6" x14ac:dyDescent="0.2">
      <c r="A461" s="202" t="s">
        <v>845</v>
      </c>
      <c r="B461" s="209" t="s">
        <v>844</v>
      </c>
      <c r="C461" s="209"/>
      <c r="D461" s="226">
        <v>294</v>
      </c>
      <c r="E461" s="226">
        <f>E462</f>
        <v>294</v>
      </c>
      <c r="F461" s="228">
        <f t="shared" si="11"/>
        <v>0</v>
      </c>
    </row>
    <row r="462" spans="1:6" x14ac:dyDescent="0.2">
      <c r="A462" s="202" t="s">
        <v>553</v>
      </c>
      <c r="B462" s="209" t="s">
        <v>844</v>
      </c>
      <c r="C462" s="209" t="s">
        <v>552</v>
      </c>
      <c r="D462" s="226">
        <v>294</v>
      </c>
      <c r="E462" s="226">
        <f>E463</f>
        <v>294</v>
      </c>
      <c r="F462" s="228">
        <f t="shared" ref="F462:F551" si="12">E462-D462</f>
        <v>0</v>
      </c>
    </row>
    <row r="463" spans="1:6" x14ac:dyDescent="0.2">
      <c r="A463" s="202" t="s">
        <v>832</v>
      </c>
      <c r="B463" s="209" t="s">
        <v>844</v>
      </c>
      <c r="C463" s="209" t="s">
        <v>830</v>
      </c>
      <c r="D463" s="226">
        <v>294</v>
      </c>
      <c r="E463" s="226">
        <f>'Функциональная 2020'!H1189</f>
        <v>294</v>
      </c>
      <c r="F463" s="228">
        <f t="shared" si="12"/>
        <v>0</v>
      </c>
    </row>
    <row r="464" spans="1:6" x14ac:dyDescent="0.2">
      <c r="A464" s="199" t="s">
        <v>943</v>
      </c>
      <c r="B464" s="212" t="s">
        <v>942</v>
      </c>
      <c r="C464" s="212"/>
      <c r="D464" s="205">
        <v>47690.600000000006</v>
      </c>
      <c r="E464" s="205">
        <f>E465+E491+E478+E470+E486</f>
        <v>113148.15</v>
      </c>
      <c r="F464" s="206">
        <f t="shared" si="12"/>
        <v>65457.549999999988</v>
      </c>
    </row>
    <row r="465" spans="1:6" x14ac:dyDescent="0.2">
      <c r="A465" s="199" t="s">
        <v>1027</v>
      </c>
      <c r="B465" s="212" t="s">
        <v>1026</v>
      </c>
      <c r="C465" s="212"/>
      <c r="D465" s="205">
        <v>220</v>
      </c>
      <c r="E465" s="205">
        <f>E466</f>
        <v>220</v>
      </c>
      <c r="F465" s="206">
        <f t="shared" si="12"/>
        <v>0</v>
      </c>
    </row>
    <row r="466" spans="1:6" ht="22.5" x14ac:dyDescent="0.2">
      <c r="A466" s="199" t="s">
        <v>1281</v>
      </c>
      <c r="B466" s="212" t="s">
        <v>1282</v>
      </c>
      <c r="C466" s="212"/>
      <c r="D466" s="205">
        <v>220</v>
      </c>
      <c r="E466" s="205">
        <f>E467</f>
        <v>220</v>
      </c>
      <c r="F466" s="206">
        <f t="shared" si="12"/>
        <v>0</v>
      </c>
    </row>
    <row r="467" spans="1:6" s="302" customFormat="1" x14ac:dyDescent="0.2">
      <c r="A467" s="202" t="s">
        <v>1415</v>
      </c>
      <c r="B467" s="209" t="s">
        <v>1416</v>
      </c>
      <c r="C467" s="209"/>
      <c r="D467" s="226">
        <v>220</v>
      </c>
      <c r="E467" s="226">
        <f>E468</f>
        <v>220</v>
      </c>
      <c r="F467" s="228">
        <f t="shared" si="12"/>
        <v>0</v>
      </c>
    </row>
    <row r="468" spans="1:6" s="302" customFormat="1" x14ac:dyDescent="0.2">
      <c r="A468" s="202" t="s">
        <v>1347</v>
      </c>
      <c r="B468" s="209" t="s">
        <v>1416</v>
      </c>
      <c r="C468" s="209" t="s">
        <v>535</v>
      </c>
      <c r="D468" s="226">
        <v>220</v>
      </c>
      <c r="E468" s="226">
        <f>E469</f>
        <v>220</v>
      </c>
      <c r="F468" s="228">
        <f t="shared" si="12"/>
        <v>0</v>
      </c>
    </row>
    <row r="469" spans="1:6" s="302" customFormat="1" x14ac:dyDescent="0.2">
      <c r="A469" s="202" t="s">
        <v>534</v>
      </c>
      <c r="B469" s="209" t="s">
        <v>1416</v>
      </c>
      <c r="C469" s="209" t="s">
        <v>529</v>
      </c>
      <c r="D469" s="226">
        <v>220</v>
      </c>
      <c r="E469" s="226">
        <f>'Функциональная 2020'!H705</f>
        <v>220</v>
      </c>
      <c r="F469" s="228">
        <f t="shared" si="12"/>
        <v>0</v>
      </c>
    </row>
    <row r="470" spans="1:6" s="406" customFormat="1" x14ac:dyDescent="0.2">
      <c r="A470" s="199" t="s">
        <v>1596</v>
      </c>
      <c r="B470" s="212" t="s">
        <v>1599</v>
      </c>
      <c r="C470" s="209"/>
      <c r="D470" s="226">
        <v>37074.400000000001</v>
      </c>
      <c r="E470" s="226">
        <f t="shared" ref="E470:E476" si="13">E471</f>
        <v>99625.25</v>
      </c>
      <c r="F470" s="228">
        <f t="shared" si="12"/>
        <v>62550.85</v>
      </c>
    </row>
    <row r="471" spans="1:6" s="406" customFormat="1" ht="22.5" x14ac:dyDescent="0.2">
      <c r="A471" s="202" t="s">
        <v>1597</v>
      </c>
      <c r="B471" s="209" t="s">
        <v>1600</v>
      </c>
      <c r="C471" s="209"/>
      <c r="D471" s="226">
        <v>37074.400000000001</v>
      </c>
      <c r="E471" s="226">
        <f>E475+E472</f>
        <v>99625.25</v>
      </c>
      <c r="F471" s="228">
        <f t="shared" si="12"/>
        <v>62550.85</v>
      </c>
    </row>
    <row r="472" spans="1:6" s="438" customFormat="1" ht="22.5" x14ac:dyDescent="0.2">
      <c r="A472" s="202" t="s">
        <v>1643</v>
      </c>
      <c r="B472" s="209" t="s">
        <v>1644</v>
      </c>
      <c r="C472" s="209"/>
      <c r="D472" s="226">
        <f>D473</f>
        <v>0</v>
      </c>
      <c r="E472" s="226">
        <f>E473</f>
        <v>760.1</v>
      </c>
      <c r="F472" s="228">
        <f t="shared" si="12"/>
        <v>760.1</v>
      </c>
    </row>
    <row r="473" spans="1:6" s="438" customFormat="1" x14ac:dyDescent="0.2">
      <c r="A473" s="202" t="s">
        <v>1347</v>
      </c>
      <c r="B473" s="209" t="s">
        <v>1644</v>
      </c>
      <c r="C473" s="209" t="s">
        <v>535</v>
      </c>
      <c r="D473" s="226">
        <f>D474</f>
        <v>0</v>
      </c>
      <c r="E473" s="226">
        <f>E474</f>
        <v>760.1</v>
      </c>
      <c r="F473" s="228">
        <f t="shared" si="12"/>
        <v>760.1</v>
      </c>
    </row>
    <row r="474" spans="1:6" s="438" customFormat="1" x14ac:dyDescent="0.2">
      <c r="A474" s="202" t="s">
        <v>534</v>
      </c>
      <c r="B474" s="209" t="s">
        <v>1644</v>
      </c>
      <c r="C474" s="209" t="s">
        <v>529</v>
      </c>
      <c r="D474" s="226">
        <v>0</v>
      </c>
      <c r="E474" s="226">
        <f>'Функциональная 2020'!H619</f>
        <v>760.1</v>
      </c>
      <c r="F474" s="228">
        <f t="shared" si="12"/>
        <v>760.1</v>
      </c>
    </row>
    <row r="475" spans="1:6" s="406" customFormat="1" x14ac:dyDescent="0.2">
      <c r="A475" s="202" t="s">
        <v>1598</v>
      </c>
      <c r="B475" s="209" t="s">
        <v>1601</v>
      </c>
      <c r="C475" s="209"/>
      <c r="D475" s="226">
        <v>37074.400000000001</v>
      </c>
      <c r="E475" s="226">
        <f t="shared" si="13"/>
        <v>98865.15</v>
      </c>
      <c r="F475" s="228">
        <f t="shared" si="12"/>
        <v>61790.749999999993</v>
      </c>
    </row>
    <row r="476" spans="1:6" s="406" customFormat="1" x14ac:dyDescent="0.2">
      <c r="A476" s="202" t="s">
        <v>1355</v>
      </c>
      <c r="B476" s="209" t="s">
        <v>1601</v>
      </c>
      <c r="C476" s="209" t="s">
        <v>824</v>
      </c>
      <c r="D476" s="226">
        <v>37074.400000000001</v>
      </c>
      <c r="E476" s="226">
        <f t="shared" si="13"/>
        <v>98865.15</v>
      </c>
      <c r="F476" s="228">
        <f t="shared" si="12"/>
        <v>61790.749999999993</v>
      </c>
    </row>
    <row r="477" spans="1:6" s="406" customFormat="1" x14ac:dyDescent="0.2">
      <c r="A477" s="202" t="s">
        <v>823</v>
      </c>
      <c r="B477" s="209" t="s">
        <v>1601</v>
      </c>
      <c r="C477" s="209" t="s">
        <v>821</v>
      </c>
      <c r="D477" s="226">
        <v>37074.400000000001</v>
      </c>
      <c r="E477" s="226">
        <f>'Функциональная 2020'!H859</f>
        <v>98865.15</v>
      </c>
      <c r="F477" s="228">
        <f t="shared" si="12"/>
        <v>61790.749999999993</v>
      </c>
    </row>
    <row r="478" spans="1:6" s="377" customFormat="1" x14ac:dyDescent="0.2">
      <c r="A478" s="199" t="s">
        <v>1494</v>
      </c>
      <c r="B478" s="212" t="s">
        <v>1495</v>
      </c>
      <c r="C478" s="212"/>
      <c r="D478" s="205">
        <v>200</v>
      </c>
      <c r="E478" s="205">
        <f>E479</f>
        <v>200</v>
      </c>
      <c r="F478" s="206">
        <f t="shared" si="12"/>
        <v>0</v>
      </c>
    </row>
    <row r="479" spans="1:6" s="377" customFormat="1" ht="22.5" x14ac:dyDescent="0.2">
      <c r="A479" s="202" t="s">
        <v>1496</v>
      </c>
      <c r="B479" s="209" t="s">
        <v>1497</v>
      </c>
      <c r="C479" s="209"/>
      <c r="D479" s="226">
        <v>200</v>
      </c>
      <c r="E479" s="226">
        <f>E480+E483</f>
        <v>200</v>
      </c>
      <c r="F479" s="228">
        <f t="shared" si="12"/>
        <v>0</v>
      </c>
    </row>
    <row r="480" spans="1:6" s="377" customFormat="1" ht="22.5" x14ac:dyDescent="0.2">
      <c r="A480" s="202" t="s">
        <v>1498</v>
      </c>
      <c r="B480" s="209" t="s">
        <v>1499</v>
      </c>
      <c r="C480" s="209"/>
      <c r="D480" s="226">
        <v>100</v>
      </c>
      <c r="E480" s="226">
        <f>E481</f>
        <v>100</v>
      </c>
      <c r="F480" s="228">
        <f t="shared" si="12"/>
        <v>0</v>
      </c>
    </row>
    <row r="481" spans="1:6" s="377" customFormat="1" x14ac:dyDescent="0.2">
      <c r="A481" s="202" t="s">
        <v>1347</v>
      </c>
      <c r="B481" s="209" t="s">
        <v>1499</v>
      </c>
      <c r="C481" s="209" t="s">
        <v>535</v>
      </c>
      <c r="D481" s="226">
        <v>100</v>
      </c>
      <c r="E481" s="226">
        <f>E482</f>
        <v>100</v>
      </c>
      <c r="F481" s="228">
        <f t="shared" si="12"/>
        <v>0</v>
      </c>
    </row>
    <row r="482" spans="1:6" s="377" customFormat="1" x14ac:dyDescent="0.2">
      <c r="A482" s="202" t="s">
        <v>534</v>
      </c>
      <c r="B482" s="209" t="s">
        <v>1499</v>
      </c>
      <c r="C482" s="209" t="s">
        <v>529</v>
      </c>
      <c r="D482" s="226">
        <v>100</v>
      </c>
      <c r="E482" s="226">
        <f>'Функциональная 2020'!H624</f>
        <v>100</v>
      </c>
      <c r="F482" s="228">
        <f t="shared" si="12"/>
        <v>0</v>
      </c>
    </row>
    <row r="483" spans="1:6" s="377" customFormat="1" ht="22.5" x14ac:dyDescent="0.2">
      <c r="A483" s="202" t="s">
        <v>1500</v>
      </c>
      <c r="B483" s="209" t="s">
        <v>1501</v>
      </c>
      <c r="C483" s="209"/>
      <c r="D483" s="226">
        <v>100</v>
      </c>
      <c r="E483" s="226">
        <f>E484</f>
        <v>100</v>
      </c>
      <c r="F483" s="228">
        <f t="shared" si="12"/>
        <v>0</v>
      </c>
    </row>
    <row r="484" spans="1:6" s="377" customFormat="1" x14ac:dyDescent="0.2">
      <c r="A484" s="202" t="s">
        <v>547</v>
      </c>
      <c r="B484" s="209" t="s">
        <v>1501</v>
      </c>
      <c r="C484" s="209" t="s">
        <v>519</v>
      </c>
      <c r="D484" s="226">
        <v>100</v>
      </c>
      <c r="E484" s="226">
        <f>E485</f>
        <v>100</v>
      </c>
      <c r="F484" s="228">
        <f t="shared" si="12"/>
        <v>0</v>
      </c>
    </row>
    <row r="485" spans="1:6" s="377" customFormat="1" x14ac:dyDescent="0.2">
      <c r="A485" s="202" t="s">
        <v>571</v>
      </c>
      <c r="B485" s="209" t="s">
        <v>1501</v>
      </c>
      <c r="C485" s="209" t="s">
        <v>522</v>
      </c>
      <c r="D485" s="226">
        <v>100</v>
      </c>
      <c r="E485" s="226">
        <f>'Функциональная 2020'!H627</f>
        <v>100</v>
      </c>
      <c r="F485" s="228">
        <f t="shared" si="12"/>
        <v>0</v>
      </c>
    </row>
    <row r="486" spans="1:6" s="447" customFormat="1" x14ac:dyDescent="0.2">
      <c r="A486" s="199" t="s">
        <v>1727</v>
      </c>
      <c r="B486" s="212" t="s">
        <v>1728</v>
      </c>
      <c r="C486" s="209"/>
      <c r="D486" s="205">
        <f t="shared" ref="D486:E489" si="14">D487</f>
        <v>0</v>
      </c>
      <c r="E486" s="205">
        <f t="shared" si="14"/>
        <v>2906.7</v>
      </c>
      <c r="F486" s="206">
        <f t="shared" si="12"/>
        <v>2906.7</v>
      </c>
    </row>
    <row r="487" spans="1:6" s="447" customFormat="1" x14ac:dyDescent="0.2">
      <c r="A487" s="202" t="s">
        <v>1729</v>
      </c>
      <c r="B487" s="209" t="s">
        <v>1730</v>
      </c>
      <c r="C487" s="209"/>
      <c r="D487" s="226">
        <f t="shared" si="14"/>
        <v>0</v>
      </c>
      <c r="E487" s="226">
        <f t="shared" si="14"/>
        <v>2906.7</v>
      </c>
      <c r="F487" s="228">
        <f t="shared" si="12"/>
        <v>2906.7</v>
      </c>
    </row>
    <row r="488" spans="1:6" s="447" customFormat="1" ht="22.5" x14ac:dyDescent="0.2">
      <c r="A488" s="202" t="s">
        <v>1731</v>
      </c>
      <c r="B488" s="209" t="s">
        <v>1732</v>
      </c>
      <c r="C488" s="209"/>
      <c r="D488" s="226">
        <f t="shared" si="14"/>
        <v>0</v>
      </c>
      <c r="E488" s="226">
        <f t="shared" si="14"/>
        <v>2906.7</v>
      </c>
      <c r="F488" s="228">
        <f t="shared" si="12"/>
        <v>2906.7</v>
      </c>
    </row>
    <row r="489" spans="1:6" s="447" customFormat="1" x14ac:dyDescent="0.2">
      <c r="A489" s="202" t="s">
        <v>1355</v>
      </c>
      <c r="B489" s="209" t="s">
        <v>1732</v>
      </c>
      <c r="C489" s="209" t="s">
        <v>824</v>
      </c>
      <c r="D489" s="226">
        <f t="shared" si="14"/>
        <v>0</v>
      </c>
      <c r="E489" s="226">
        <f t="shared" si="14"/>
        <v>2906.7</v>
      </c>
      <c r="F489" s="228">
        <f t="shared" si="12"/>
        <v>2906.7</v>
      </c>
    </row>
    <row r="490" spans="1:6" s="447" customFormat="1" x14ac:dyDescent="0.2">
      <c r="A490" s="202" t="s">
        <v>823</v>
      </c>
      <c r="B490" s="209" t="s">
        <v>1732</v>
      </c>
      <c r="C490" s="209" t="s">
        <v>821</v>
      </c>
      <c r="D490" s="226">
        <v>0</v>
      </c>
      <c r="E490" s="226">
        <f>'Функциональная 2020'!H632</f>
        <v>2906.7</v>
      </c>
      <c r="F490" s="228">
        <f t="shared" si="12"/>
        <v>2906.7</v>
      </c>
    </row>
    <row r="491" spans="1:6" x14ac:dyDescent="0.2">
      <c r="A491" s="199" t="s">
        <v>602</v>
      </c>
      <c r="B491" s="212" t="s">
        <v>941</v>
      </c>
      <c r="C491" s="212"/>
      <c r="D491" s="205">
        <v>10196.200000000001</v>
      </c>
      <c r="E491" s="205">
        <f>E492</f>
        <v>10196.200000000001</v>
      </c>
      <c r="F491" s="206">
        <f t="shared" si="12"/>
        <v>0</v>
      </c>
    </row>
    <row r="492" spans="1:6" x14ac:dyDescent="0.2">
      <c r="A492" s="199" t="s">
        <v>600</v>
      </c>
      <c r="B492" s="212" t="s">
        <v>940</v>
      </c>
      <c r="C492" s="212"/>
      <c r="D492" s="205">
        <v>10196.200000000001</v>
      </c>
      <c r="E492" s="205">
        <f>E505+E508+E493+E496+E499+E502</f>
        <v>10196.200000000001</v>
      </c>
      <c r="F492" s="206">
        <f t="shared" si="12"/>
        <v>0</v>
      </c>
    </row>
    <row r="493" spans="1:6" s="304" customFormat="1" ht="22.5" x14ac:dyDescent="0.2">
      <c r="A493" s="202" t="s">
        <v>1025</v>
      </c>
      <c r="B493" s="209" t="s">
        <v>1425</v>
      </c>
      <c r="C493" s="209"/>
      <c r="D493" s="226">
        <v>594</v>
      </c>
      <c r="E493" s="226">
        <f>E494</f>
        <v>594</v>
      </c>
      <c r="F493" s="228">
        <f t="shared" si="12"/>
        <v>0</v>
      </c>
    </row>
    <row r="494" spans="1:6" s="304" customFormat="1" x14ac:dyDescent="0.2">
      <c r="A494" s="202" t="s">
        <v>1347</v>
      </c>
      <c r="B494" s="209" t="s">
        <v>1425</v>
      </c>
      <c r="C494" s="209" t="s">
        <v>535</v>
      </c>
      <c r="D494" s="226">
        <v>594</v>
      </c>
      <c r="E494" s="226">
        <f>E495</f>
        <v>594</v>
      </c>
      <c r="F494" s="228">
        <f t="shared" si="12"/>
        <v>0</v>
      </c>
    </row>
    <row r="495" spans="1:6" s="304" customFormat="1" x14ac:dyDescent="0.2">
      <c r="A495" s="202" t="s">
        <v>534</v>
      </c>
      <c r="B495" s="209" t="s">
        <v>1425</v>
      </c>
      <c r="C495" s="209" t="s">
        <v>529</v>
      </c>
      <c r="D495" s="226">
        <v>594</v>
      </c>
      <c r="E495" s="226">
        <f>'Функциональная 2020'!H637</f>
        <v>594</v>
      </c>
      <c r="F495" s="228">
        <f t="shared" si="12"/>
        <v>0</v>
      </c>
    </row>
    <row r="496" spans="1:6" s="304" customFormat="1" ht="22.5" x14ac:dyDescent="0.2">
      <c r="A496" s="202" t="s">
        <v>1023</v>
      </c>
      <c r="B496" s="209" t="s">
        <v>1426</v>
      </c>
      <c r="C496" s="209"/>
      <c r="D496" s="226">
        <v>1644</v>
      </c>
      <c r="E496" s="226">
        <f>E497</f>
        <v>1644</v>
      </c>
      <c r="F496" s="228">
        <f t="shared" si="12"/>
        <v>0</v>
      </c>
    </row>
    <row r="497" spans="1:6" s="304" customFormat="1" x14ac:dyDescent="0.2">
      <c r="A497" s="202" t="s">
        <v>1347</v>
      </c>
      <c r="B497" s="209" t="s">
        <v>1426</v>
      </c>
      <c r="C497" s="209" t="s">
        <v>535</v>
      </c>
      <c r="D497" s="226">
        <v>1644</v>
      </c>
      <c r="E497" s="226">
        <f>E498</f>
        <v>1644</v>
      </c>
      <c r="F497" s="228">
        <f t="shared" si="12"/>
        <v>0</v>
      </c>
    </row>
    <row r="498" spans="1:6" s="304" customFormat="1" x14ac:dyDescent="0.2">
      <c r="A498" s="202" t="s">
        <v>534</v>
      </c>
      <c r="B498" s="209" t="s">
        <v>1426</v>
      </c>
      <c r="C498" s="209" t="s">
        <v>529</v>
      </c>
      <c r="D498" s="226">
        <v>1644</v>
      </c>
      <c r="E498" s="226">
        <f>'Функциональная 2020'!H640</f>
        <v>1644</v>
      </c>
      <c r="F498" s="228">
        <f t="shared" si="12"/>
        <v>0</v>
      </c>
    </row>
    <row r="499" spans="1:6" s="304" customFormat="1" ht="22.5" x14ac:dyDescent="0.2">
      <c r="A499" s="202" t="s">
        <v>1024</v>
      </c>
      <c r="B499" s="209" t="s">
        <v>1427</v>
      </c>
      <c r="C499" s="209"/>
      <c r="D499" s="226">
        <v>1214</v>
      </c>
      <c r="E499" s="226">
        <f>E500</f>
        <v>1214</v>
      </c>
      <c r="F499" s="228">
        <f t="shared" si="12"/>
        <v>0</v>
      </c>
    </row>
    <row r="500" spans="1:6" s="304" customFormat="1" x14ac:dyDescent="0.2">
      <c r="A500" s="202" t="s">
        <v>1347</v>
      </c>
      <c r="B500" s="209" t="s">
        <v>1427</v>
      </c>
      <c r="C500" s="209" t="s">
        <v>535</v>
      </c>
      <c r="D500" s="226">
        <v>1214</v>
      </c>
      <c r="E500" s="226">
        <f>E501</f>
        <v>1214</v>
      </c>
      <c r="F500" s="228">
        <f t="shared" si="12"/>
        <v>0</v>
      </c>
    </row>
    <row r="501" spans="1:6" s="304" customFormat="1" x14ac:dyDescent="0.2">
      <c r="A501" s="202" t="s">
        <v>534</v>
      </c>
      <c r="B501" s="209" t="s">
        <v>1427</v>
      </c>
      <c r="C501" s="209" t="s">
        <v>529</v>
      </c>
      <c r="D501" s="226">
        <v>1214</v>
      </c>
      <c r="E501" s="226">
        <f>'Функциональная 2020'!H643</f>
        <v>1214</v>
      </c>
      <c r="F501" s="228">
        <f t="shared" si="12"/>
        <v>0</v>
      </c>
    </row>
    <row r="502" spans="1:6" s="304" customFormat="1" ht="22.5" x14ac:dyDescent="0.2">
      <c r="A502" s="202" t="s">
        <v>1023</v>
      </c>
      <c r="B502" s="209" t="s">
        <v>1428</v>
      </c>
      <c r="C502" s="209"/>
      <c r="D502" s="226">
        <v>1096</v>
      </c>
      <c r="E502" s="226">
        <f>E503</f>
        <v>1096</v>
      </c>
      <c r="F502" s="228">
        <f t="shared" si="12"/>
        <v>0</v>
      </c>
    </row>
    <row r="503" spans="1:6" s="304" customFormat="1" ht="22.5" x14ac:dyDescent="0.2">
      <c r="A503" s="202" t="s">
        <v>1348</v>
      </c>
      <c r="B503" s="209" t="s">
        <v>1428</v>
      </c>
      <c r="C503" s="209" t="s">
        <v>556</v>
      </c>
      <c r="D503" s="226">
        <v>1096</v>
      </c>
      <c r="E503" s="226">
        <f>E504</f>
        <v>1096</v>
      </c>
      <c r="F503" s="228">
        <f t="shared" si="12"/>
        <v>0</v>
      </c>
    </row>
    <row r="504" spans="1:6" s="304" customFormat="1" x14ac:dyDescent="0.2">
      <c r="A504" s="202" t="s">
        <v>555</v>
      </c>
      <c r="B504" s="209" t="s">
        <v>1428</v>
      </c>
      <c r="C504" s="209" t="s">
        <v>554</v>
      </c>
      <c r="D504" s="226">
        <v>1096</v>
      </c>
      <c r="E504" s="226">
        <f>'Функциональная 2020'!H646</f>
        <v>1096</v>
      </c>
      <c r="F504" s="228">
        <f t="shared" si="12"/>
        <v>0</v>
      </c>
    </row>
    <row r="505" spans="1:6" ht="22.5" x14ac:dyDescent="0.2">
      <c r="A505" s="202" t="s">
        <v>1044</v>
      </c>
      <c r="B505" s="209" t="s">
        <v>1043</v>
      </c>
      <c r="C505" s="209"/>
      <c r="D505" s="226">
        <v>5016.2</v>
      </c>
      <c r="E505" s="226">
        <f>E506</f>
        <v>5016.2</v>
      </c>
      <c r="F505" s="228">
        <f t="shared" si="12"/>
        <v>0</v>
      </c>
    </row>
    <row r="506" spans="1:6" x14ac:dyDescent="0.2">
      <c r="A506" s="202" t="s">
        <v>547</v>
      </c>
      <c r="B506" s="209" t="s">
        <v>1043</v>
      </c>
      <c r="C506" s="209" t="s">
        <v>519</v>
      </c>
      <c r="D506" s="226">
        <v>5016.2</v>
      </c>
      <c r="E506" s="226">
        <f>E507</f>
        <v>5016.2</v>
      </c>
      <c r="F506" s="228">
        <f t="shared" si="12"/>
        <v>0</v>
      </c>
    </row>
    <row r="507" spans="1:6" x14ac:dyDescent="0.2">
      <c r="A507" s="202" t="s">
        <v>571</v>
      </c>
      <c r="B507" s="209" t="s">
        <v>1043</v>
      </c>
      <c r="C507" s="209" t="s">
        <v>522</v>
      </c>
      <c r="D507" s="226">
        <v>5016.2</v>
      </c>
      <c r="E507" s="226">
        <f>'Функциональная 2020'!H579</f>
        <v>5016.2</v>
      </c>
      <c r="F507" s="228">
        <f t="shared" si="12"/>
        <v>0</v>
      </c>
    </row>
    <row r="508" spans="1:6" ht="22.5" x14ac:dyDescent="0.2">
      <c r="A508" s="202" t="s">
        <v>939</v>
      </c>
      <c r="B508" s="209" t="s">
        <v>938</v>
      </c>
      <c r="C508" s="209"/>
      <c r="D508" s="226">
        <v>631.99999999999989</v>
      </c>
      <c r="E508" s="226">
        <f>E509+E511</f>
        <v>631.99999999999989</v>
      </c>
      <c r="F508" s="228">
        <f t="shared" si="12"/>
        <v>0</v>
      </c>
    </row>
    <row r="509" spans="1:6" ht="22.5" x14ac:dyDescent="0.2">
      <c r="A509" s="202" t="s">
        <v>1348</v>
      </c>
      <c r="B509" s="209" t="s">
        <v>938</v>
      </c>
      <c r="C509" s="209" t="s">
        <v>556</v>
      </c>
      <c r="D509" s="226">
        <v>569.89999999999986</v>
      </c>
      <c r="E509" s="226">
        <f>E510</f>
        <v>569.89999999999986</v>
      </c>
      <c r="F509" s="228">
        <f t="shared" si="12"/>
        <v>0</v>
      </c>
    </row>
    <row r="510" spans="1:6" x14ac:dyDescent="0.2">
      <c r="A510" s="202" t="s">
        <v>749</v>
      </c>
      <c r="B510" s="209" t="s">
        <v>938</v>
      </c>
      <c r="C510" s="209" t="s">
        <v>745</v>
      </c>
      <c r="D510" s="226">
        <v>569.89999999999986</v>
      </c>
      <c r="E510" s="226">
        <f>'Функциональная 2020'!H84</f>
        <v>569.89999999999986</v>
      </c>
      <c r="F510" s="228">
        <f t="shared" si="12"/>
        <v>0</v>
      </c>
    </row>
    <row r="511" spans="1:6" x14ac:dyDescent="0.2">
      <c r="A511" s="202" t="s">
        <v>1347</v>
      </c>
      <c r="B511" s="209" t="s">
        <v>938</v>
      </c>
      <c r="C511" s="209" t="s">
        <v>535</v>
      </c>
      <c r="D511" s="226">
        <v>62.1</v>
      </c>
      <c r="E511" s="226">
        <f>E512</f>
        <v>62.1</v>
      </c>
      <c r="F511" s="228">
        <f t="shared" si="12"/>
        <v>0</v>
      </c>
    </row>
    <row r="512" spans="1:6" x14ac:dyDescent="0.2">
      <c r="A512" s="202" t="s">
        <v>534</v>
      </c>
      <c r="B512" s="209" t="s">
        <v>938</v>
      </c>
      <c r="C512" s="209" t="s">
        <v>529</v>
      </c>
      <c r="D512" s="226">
        <v>62.1</v>
      </c>
      <c r="E512" s="226">
        <f>'Функциональная 2020'!H86</f>
        <v>62.1</v>
      </c>
      <c r="F512" s="228">
        <f t="shared" si="12"/>
        <v>0</v>
      </c>
    </row>
    <row r="513" spans="1:6" x14ac:dyDescent="0.2">
      <c r="A513" s="199" t="s">
        <v>879</v>
      </c>
      <c r="B513" s="212" t="s">
        <v>878</v>
      </c>
      <c r="C513" s="212"/>
      <c r="D513" s="205">
        <v>10817.5</v>
      </c>
      <c r="E513" s="205">
        <f>E514+E519</f>
        <v>10817.5</v>
      </c>
      <c r="F513" s="206">
        <f t="shared" si="12"/>
        <v>0</v>
      </c>
    </row>
    <row r="514" spans="1:6" x14ac:dyDescent="0.2">
      <c r="A514" s="199" t="s">
        <v>1062</v>
      </c>
      <c r="B514" s="212" t="s">
        <v>1061</v>
      </c>
      <c r="C514" s="212"/>
      <c r="D514" s="205">
        <v>5890</v>
      </c>
      <c r="E514" s="205">
        <f>E515</f>
        <v>5890</v>
      </c>
      <c r="F514" s="206">
        <f t="shared" si="12"/>
        <v>0</v>
      </c>
    </row>
    <row r="515" spans="1:6" ht="22.5" x14ac:dyDescent="0.2">
      <c r="A515" s="199" t="s">
        <v>1060</v>
      </c>
      <c r="B515" s="212" t="s">
        <v>1059</v>
      </c>
      <c r="C515" s="212"/>
      <c r="D515" s="205">
        <v>5890</v>
      </c>
      <c r="E515" s="205">
        <f>E516</f>
        <v>5890</v>
      </c>
      <c r="F515" s="206">
        <f t="shared" si="12"/>
        <v>0</v>
      </c>
    </row>
    <row r="516" spans="1:6" x14ac:dyDescent="0.2">
      <c r="A516" s="202" t="s">
        <v>1058</v>
      </c>
      <c r="B516" s="209" t="s">
        <v>1057</v>
      </c>
      <c r="C516" s="209"/>
      <c r="D516" s="226">
        <v>5890</v>
      </c>
      <c r="E516" s="226">
        <f>E517</f>
        <v>5890</v>
      </c>
      <c r="F516" s="228">
        <f t="shared" si="12"/>
        <v>0</v>
      </c>
    </row>
    <row r="517" spans="1:6" x14ac:dyDescent="0.2">
      <c r="A517" s="202" t="s">
        <v>615</v>
      </c>
      <c r="B517" s="209" t="s">
        <v>1057</v>
      </c>
      <c r="C517" s="209" t="s">
        <v>509</v>
      </c>
      <c r="D517" s="226">
        <v>5890</v>
      </c>
      <c r="E517" s="226">
        <f>E518</f>
        <v>5890</v>
      </c>
      <c r="F517" s="228">
        <f t="shared" si="12"/>
        <v>0</v>
      </c>
    </row>
    <row r="518" spans="1:6" ht="22.5" x14ac:dyDescent="0.2">
      <c r="A518" s="202" t="s">
        <v>1346</v>
      </c>
      <c r="B518" s="209" t="s">
        <v>1057</v>
      </c>
      <c r="C518" s="209" t="s">
        <v>511</v>
      </c>
      <c r="D518" s="226">
        <v>5890</v>
      </c>
      <c r="E518" s="226">
        <f>'Функциональная 2020'!H560</f>
        <v>5890</v>
      </c>
      <c r="F518" s="228">
        <f t="shared" si="12"/>
        <v>0</v>
      </c>
    </row>
    <row r="519" spans="1:6" x14ac:dyDescent="0.2">
      <c r="A519" s="199" t="s">
        <v>877</v>
      </c>
      <c r="B519" s="212" t="s">
        <v>876</v>
      </c>
      <c r="C519" s="212"/>
      <c r="D519" s="205">
        <v>4927.5</v>
      </c>
      <c r="E519" s="205">
        <f>E520</f>
        <v>4927.5</v>
      </c>
      <c r="F519" s="206">
        <f t="shared" si="12"/>
        <v>0</v>
      </c>
    </row>
    <row r="520" spans="1:6" x14ac:dyDescent="0.2">
      <c r="A520" s="199" t="s">
        <v>875</v>
      </c>
      <c r="B520" s="212" t="s">
        <v>874</v>
      </c>
      <c r="C520" s="212"/>
      <c r="D520" s="205">
        <v>4927.5</v>
      </c>
      <c r="E520" s="205">
        <f>E521</f>
        <v>4927.5</v>
      </c>
      <c r="F520" s="206">
        <f t="shared" si="12"/>
        <v>0</v>
      </c>
    </row>
    <row r="521" spans="1:6" ht="22.5" x14ac:dyDescent="0.2">
      <c r="A521" s="202" t="s">
        <v>873</v>
      </c>
      <c r="B521" s="209" t="s">
        <v>872</v>
      </c>
      <c r="C521" s="209"/>
      <c r="D521" s="226">
        <v>4927.5</v>
      </c>
      <c r="E521" s="226">
        <f>E522</f>
        <v>4927.5</v>
      </c>
      <c r="F521" s="228">
        <f t="shared" si="12"/>
        <v>0</v>
      </c>
    </row>
    <row r="522" spans="1:6" x14ac:dyDescent="0.2">
      <c r="A522" s="202" t="s">
        <v>1347</v>
      </c>
      <c r="B522" s="209" t="s">
        <v>872</v>
      </c>
      <c r="C522" s="209" t="s">
        <v>535</v>
      </c>
      <c r="D522" s="226">
        <v>4927.5</v>
      </c>
      <c r="E522" s="226">
        <f>E523</f>
        <v>4927.5</v>
      </c>
      <c r="F522" s="228">
        <f t="shared" si="12"/>
        <v>0</v>
      </c>
    </row>
    <row r="523" spans="1:6" x14ac:dyDescent="0.2">
      <c r="A523" s="202" t="s">
        <v>534</v>
      </c>
      <c r="B523" s="209" t="s">
        <v>872</v>
      </c>
      <c r="C523" s="209" t="s">
        <v>529</v>
      </c>
      <c r="D523" s="226">
        <v>4927.5</v>
      </c>
      <c r="E523" s="226">
        <f>'Функциональная 2020'!H565+'Функциональная 2020'!H1156</f>
        <v>4927.5</v>
      </c>
      <c r="F523" s="228">
        <f t="shared" si="12"/>
        <v>0</v>
      </c>
    </row>
    <row r="524" spans="1:6" x14ac:dyDescent="0.2">
      <c r="A524" s="199" t="s">
        <v>604</v>
      </c>
      <c r="B524" s="212" t="s">
        <v>603</v>
      </c>
      <c r="C524" s="212"/>
      <c r="D524" s="205">
        <v>1274642.3999999999</v>
      </c>
      <c r="E524" s="205">
        <f>E525+E546+E551+E556</f>
        <v>1224393.2000000002</v>
      </c>
      <c r="F524" s="206">
        <f t="shared" si="12"/>
        <v>-50249.199999999721</v>
      </c>
    </row>
    <row r="525" spans="1:6" x14ac:dyDescent="0.2">
      <c r="A525" s="199" t="s">
        <v>1042</v>
      </c>
      <c r="B525" s="212" t="s">
        <v>1041</v>
      </c>
      <c r="C525" s="212"/>
      <c r="D525" s="205">
        <v>211383.90000000002</v>
      </c>
      <c r="E525" s="205">
        <f>E526+E536+E542</f>
        <v>200283.90000000002</v>
      </c>
      <c r="F525" s="206">
        <f t="shared" si="12"/>
        <v>-11100</v>
      </c>
    </row>
    <row r="526" spans="1:6" ht="22.5" x14ac:dyDescent="0.2">
      <c r="A526" s="199" t="s">
        <v>1040</v>
      </c>
      <c r="B526" s="212" t="s">
        <v>1039</v>
      </c>
      <c r="C526" s="212"/>
      <c r="D526" s="205">
        <v>194593.90000000002</v>
      </c>
      <c r="E526" s="205">
        <f>E527+E530+E533</f>
        <v>183493.90000000002</v>
      </c>
      <c r="F526" s="206">
        <f t="shared" si="12"/>
        <v>-11100</v>
      </c>
    </row>
    <row r="527" spans="1:6" ht="22.5" x14ac:dyDescent="0.2">
      <c r="A527" s="202" t="s">
        <v>1038</v>
      </c>
      <c r="B527" s="209" t="s">
        <v>1037</v>
      </c>
      <c r="C527" s="209"/>
      <c r="D527" s="226">
        <v>788.4</v>
      </c>
      <c r="E527" s="226">
        <f>E528</f>
        <v>788.4</v>
      </c>
      <c r="F527" s="228">
        <f t="shared" si="12"/>
        <v>0</v>
      </c>
    </row>
    <row r="528" spans="1:6" x14ac:dyDescent="0.2">
      <c r="A528" s="202" t="s">
        <v>547</v>
      </c>
      <c r="B528" s="209" t="s">
        <v>1037</v>
      </c>
      <c r="C528" s="209" t="s">
        <v>519</v>
      </c>
      <c r="D528" s="226">
        <v>788.4</v>
      </c>
      <c r="E528" s="226">
        <f>E529</f>
        <v>788.4</v>
      </c>
      <c r="F528" s="228">
        <f t="shared" si="12"/>
        <v>0</v>
      </c>
    </row>
    <row r="529" spans="1:6" x14ac:dyDescent="0.2">
      <c r="A529" s="202" t="s">
        <v>571</v>
      </c>
      <c r="B529" s="209" t="s">
        <v>1037</v>
      </c>
      <c r="C529" s="209" t="s">
        <v>522</v>
      </c>
      <c r="D529" s="226">
        <v>788.4</v>
      </c>
      <c r="E529" s="226">
        <f>'Функциональная 2020'!H585</f>
        <v>788.4</v>
      </c>
      <c r="F529" s="228">
        <f t="shared" si="12"/>
        <v>0</v>
      </c>
    </row>
    <row r="530" spans="1:6" ht="22.5" x14ac:dyDescent="0.2">
      <c r="A530" s="202" t="s">
        <v>1234</v>
      </c>
      <c r="B530" s="209" t="s">
        <v>1233</v>
      </c>
      <c r="C530" s="209"/>
      <c r="D530" s="226">
        <v>147805.50000000003</v>
      </c>
      <c r="E530" s="226">
        <f>E531</f>
        <v>147805.50000000003</v>
      </c>
      <c r="F530" s="228">
        <f t="shared" si="12"/>
        <v>0</v>
      </c>
    </row>
    <row r="531" spans="1:6" x14ac:dyDescent="0.2">
      <c r="A531" s="202" t="s">
        <v>547</v>
      </c>
      <c r="B531" s="209" t="s">
        <v>1233</v>
      </c>
      <c r="C531" s="209" t="s">
        <v>519</v>
      </c>
      <c r="D531" s="226">
        <v>147805.50000000003</v>
      </c>
      <c r="E531" s="226">
        <f>E532</f>
        <v>147805.50000000003</v>
      </c>
      <c r="F531" s="228">
        <f t="shared" si="12"/>
        <v>0</v>
      </c>
    </row>
    <row r="532" spans="1:6" x14ac:dyDescent="0.2">
      <c r="A532" s="202" t="s">
        <v>571</v>
      </c>
      <c r="B532" s="209" t="s">
        <v>1233</v>
      </c>
      <c r="C532" s="209" t="s">
        <v>522</v>
      </c>
      <c r="D532" s="226">
        <v>147805.50000000003</v>
      </c>
      <c r="E532" s="226">
        <f>'Функциональная 2020'!H159</f>
        <v>147805.50000000003</v>
      </c>
      <c r="F532" s="228">
        <f t="shared" si="12"/>
        <v>0</v>
      </c>
    </row>
    <row r="533" spans="1:6" x14ac:dyDescent="0.2">
      <c r="A533" s="202" t="s">
        <v>1036</v>
      </c>
      <c r="B533" s="209" t="s">
        <v>1035</v>
      </c>
      <c r="C533" s="209"/>
      <c r="D533" s="226">
        <v>46000</v>
      </c>
      <c r="E533" s="226">
        <f>E534</f>
        <v>34900</v>
      </c>
      <c r="F533" s="228">
        <f t="shared" si="12"/>
        <v>-11100</v>
      </c>
    </row>
    <row r="534" spans="1:6" x14ac:dyDescent="0.2">
      <c r="A534" s="202" t="s">
        <v>1347</v>
      </c>
      <c r="B534" s="209" t="s">
        <v>1035</v>
      </c>
      <c r="C534" s="209" t="s">
        <v>535</v>
      </c>
      <c r="D534" s="226">
        <v>46000</v>
      </c>
      <c r="E534" s="226">
        <f>E535</f>
        <v>34900</v>
      </c>
      <c r="F534" s="228">
        <f t="shared" si="12"/>
        <v>-11100</v>
      </c>
    </row>
    <row r="535" spans="1:6" x14ac:dyDescent="0.2">
      <c r="A535" s="202" t="s">
        <v>534</v>
      </c>
      <c r="B535" s="209" t="s">
        <v>1035</v>
      </c>
      <c r="C535" s="209" t="s">
        <v>529</v>
      </c>
      <c r="D535" s="226">
        <v>46000</v>
      </c>
      <c r="E535" s="226">
        <f>'Функциональная 2020'!H588</f>
        <v>34900</v>
      </c>
      <c r="F535" s="228">
        <f t="shared" si="12"/>
        <v>-11100</v>
      </c>
    </row>
    <row r="536" spans="1:6" ht="22.5" x14ac:dyDescent="0.2">
      <c r="A536" s="199" t="s">
        <v>1245</v>
      </c>
      <c r="B536" s="212" t="s">
        <v>1244</v>
      </c>
      <c r="C536" s="212"/>
      <c r="D536" s="205">
        <v>15290</v>
      </c>
      <c r="E536" s="205">
        <f>E537</f>
        <v>15290</v>
      </c>
      <c r="F536" s="206">
        <f t="shared" si="12"/>
        <v>0</v>
      </c>
    </row>
    <row r="537" spans="1:6" x14ac:dyDescent="0.2">
      <c r="A537" s="202" t="s">
        <v>1243</v>
      </c>
      <c r="B537" s="209" t="s">
        <v>1242</v>
      </c>
      <c r="C537" s="209"/>
      <c r="D537" s="226">
        <v>15290</v>
      </c>
      <c r="E537" s="226">
        <f>E538+E540</f>
        <v>15290</v>
      </c>
      <c r="F537" s="228">
        <f t="shared" si="12"/>
        <v>0</v>
      </c>
    </row>
    <row r="538" spans="1:6" ht="22.5" x14ac:dyDescent="0.2">
      <c r="A538" s="202" t="s">
        <v>1348</v>
      </c>
      <c r="B538" s="209" t="s">
        <v>1242</v>
      </c>
      <c r="C538" s="209" t="s">
        <v>556</v>
      </c>
      <c r="D538" s="226">
        <v>13080.5</v>
      </c>
      <c r="E538" s="226">
        <f>E539</f>
        <v>13080.5</v>
      </c>
      <c r="F538" s="228">
        <f t="shared" si="12"/>
        <v>0</v>
      </c>
    </row>
    <row r="539" spans="1:6" x14ac:dyDescent="0.2">
      <c r="A539" s="202" t="s">
        <v>749</v>
      </c>
      <c r="B539" s="209" t="s">
        <v>1242</v>
      </c>
      <c r="C539" s="209" t="s">
        <v>745</v>
      </c>
      <c r="D539" s="226">
        <v>13080.5</v>
      </c>
      <c r="E539" s="226">
        <f>'Функциональная 2020'!H92</f>
        <v>13080.5</v>
      </c>
      <c r="F539" s="228">
        <f t="shared" si="12"/>
        <v>0</v>
      </c>
    </row>
    <row r="540" spans="1:6" s="302" customFormat="1" x14ac:dyDescent="0.2">
      <c r="A540" s="202" t="s">
        <v>1347</v>
      </c>
      <c r="B540" s="209" t="s">
        <v>1242</v>
      </c>
      <c r="C540" s="209" t="s">
        <v>535</v>
      </c>
      <c r="D540" s="226">
        <v>2209.5</v>
      </c>
      <c r="E540" s="226">
        <f>E541</f>
        <v>2209.5</v>
      </c>
      <c r="F540" s="228">
        <f t="shared" si="12"/>
        <v>0</v>
      </c>
    </row>
    <row r="541" spans="1:6" s="302" customFormat="1" x14ac:dyDescent="0.2">
      <c r="A541" s="202" t="s">
        <v>534</v>
      </c>
      <c r="B541" s="209" t="s">
        <v>1242</v>
      </c>
      <c r="C541" s="209" t="s">
        <v>529</v>
      </c>
      <c r="D541" s="226">
        <v>2209.5</v>
      </c>
      <c r="E541" s="226">
        <f>'Функциональная 2020'!H94</f>
        <v>2209.5</v>
      </c>
      <c r="F541" s="228">
        <f t="shared" si="12"/>
        <v>0</v>
      </c>
    </row>
    <row r="542" spans="1:6" x14ac:dyDescent="0.2">
      <c r="A542" s="199" t="s">
        <v>600</v>
      </c>
      <c r="B542" s="212" t="s">
        <v>1232</v>
      </c>
      <c r="C542" s="212"/>
      <c r="D542" s="205">
        <v>1500</v>
      </c>
      <c r="E542" s="205">
        <f>E543</f>
        <v>1500</v>
      </c>
      <c r="F542" s="206">
        <f t="shared" si="12"/>
        <v>0</v>
      </c>
    </row>
    <row r="543" spans="1:6" x14ac:dyDescent="0.2">
      <c r="A543" s="202" t="s">
        <v>1231</v>
      </c>
      <c r="B543" s="209" t="s">
        <v>1230</v>
      </c>
      <c r="C543" s="209"/>
      <c r="D543" s="226">
        <v>1500</v>
      </c>
      <c r="E543" s="226">
        <f>E544</f>
        <v>1500</v>
      </c>
      <c r="F543" s="228">
        <f t="shared" si="12"/>
        <v>0</v>
      </c>
    </row>
    <row r="544" spans="1:6" x14ac:dyDescent="0.2">
      <c r="A544" s="202" t="s">
        <v>1347</v>
      </c>
      <c r="B544" s="209" t="s">
        <v>1230</v>
      </c>
      <c r="C544" s="209" t="s">
        <v>535</v>
      </c>
      <c r="D544" s="226">
        <v>1500</v>
      </c>
      <c r="E544" s="226">
        <f>E545</f>
        <v>1500</v>
      </c>
      <c r="F544" s="228">
        <f t="shared" si="12"/>
        <v>0</v>
      </c>
    </row>
    <row r="545" spans="1:6" x14ac:dyDescent="0.2">
      <c r="A545" s="202" t="s">
        <v>534</v>
      </c>
      <c r="B545" s="209" t="s">
        <v>1230</v>
      </c>
      <c r="C545" s="209" t="s">
        <v>529</v>
      </c>
      <c r="D545" s="226">
        <v>1500</v>
      </c>
      <c r="E545" s="226">
        <f>'Функциональная 2020'!H163</f>
        <v>1500</v>
      </c>
      <c r="F545" s="228">
        <f t="shared" si="12"/>
        <v>0</v>
      </c>
    </row>
    <row r="546" spans="1:6" x14ac:dyDescent="0.2">
      <c r="A546" s="199" t="s">
        <v>893</v>
      </c>
      <c r="B546" s="212" t="s">
        <v>892</v>
      </c>
      <c r="C546" s="212"/>
      <c r="D546" s="205">
        <v>250</v>
      </c>
      <c r="E546" s="205">
        <f>E547</f>
        <v>250</v>
      </c>
      <c r="F546" s="206">
        <f t="shared" si="12"/>
        <v>0</v>
      </c>
    </row>
    <row r="547" spans="1:6" x14ac:dyDescent="0.2">
      <c r="A547" s="199" t="s">
        <v>891</v>
      </c>
      <c r="B547" s="212" t="s">
        <v>890</v>
      </c>
      <c r="C547" s="212"/>
      <c r="D547" s="205">
        <v>250</v>
      </c>
      <c r="E547" s="205">
        <f>E548</f>
        <v>250</v>
      </c>
      <c r="F547" s="206">
        <f t="shared" si="12"/>
        <v>0</v>
      </c>
    </row>
    <row r="548" spans="1:6" ht="45" x14ac:dyDescent="0.2">
      <c r="A548" s="202" t="s">
        <v>889</v>
      </c>
      <c r="B548" s="209" t="s">
        <v>888</v>
      </c>
      <c r="C548" s="209"/>
      <c r="D548" s="226">
        <v>250</v>
      </c>
      <c r="E548" s="226">
        <f>E549</f>
        <v>250</v>
      </c>
      <c r="F548" s="228">
        <f t="shared" si="12"/>
        <v>0</v>
      </c>
    </row>
    <row r="549" spans="1:6" x14ac:dyDescent="0.2">
      <c r="A549" s="202" t="s">
        <v>1347</v>
      </c>
      <c r="B549" s="209" t="s">
        <v>888</v>
      </c>
      <c r="C549" s="209" t="s">
        <v>535</v>
      </c>
      <c r="D549" s="226">
        <v>250</v>
      </c>
      <c r="E549" s="226">
        <f>E550</f>
        <v>250</v>
      </c>
      <c r="F549" s="228">
        <f t="shared" si="12"/>
        <v>0</v>
      </c>
    </row>
    <row r="550" spans="1:6" x14ac:dyDescent="0.2">
      <c r="A550" s="202" t="s">
        <v>534</v>
      </c>
      <c r="B550" s="209" t="s">
        <v>888</v>
      </c>
      <c r="C550" s="209" t="s">
        <v>529</v>
      </c>
      <c r="D550" s="226">
        <v>250</v>
      </c>
      <c r="E550" s="226">
        <f>'Функциональная 2020'!H1027</f>
        <v>250</v>
      </c>
      <c r="F550" s="228">
        <f t="shared" si="12"/>
        <v>0</v>
      </c>
    </row>
    <row r="551" spans="1:6" x14ac:dyDescent="0.2">
      <c r="A551" s="199" t="s">
        <v>779</v>
      </c>
      <c r="B551" s="212" t="s">
        <v>778</v>
      </c>
      <c r="C551" s="212"/>
      <c r="D551" s="205">
        <v>104568.8</v>
      </c>
      <c r="E551" s="205">
        <f>E552</f>
        <v>56879</v>
      </c>
      <c r="F551" s="206">
        <f t="shared" si="12"/>
        <v>-47689.8</v>
      </c>
    </row>
    <row r="552" spans="1:6" x14ac:dyDescent="0.2">
      <c r="A552" s="199" t="s">
        <v>777</v>
      </c>
      <c r="B552" s="212" t="s">
        <v>776</v>
      </c>
      <c r="C552" s="212"/>
      <c r="D552" s="205">
        <v>104568.8</v>
      </c>
      <c r="E552" s="205">
        <f>E553</f>
        <v>56879</v>
      </c>
      <c r="F552" s="206">
        <f t="shared" ref="F552:F617" si="15">E552-D552</f>
        <v>-47689.8</v>
      </c>
    </row>
    <row r="553" spans="1:6" x14ac:dyDescent="0.2">
      <c r="A553" s="202" t="s">
        <v>774</v>
      </c>
      <c r="B553" s="209" t="s">
        <v>773</v>
      </c>
      <c r="C553" s="209"/>
      <c r="D553" s="226">
        <v>104568.8</v>
      </c>
      <c r="E553" s="226">
        <f>E554</f>
        <v>56879</v>
      </c>
      <c r="F553" s="228">
        <f t="shared" si="15"/>
        <v>-47689.8</v>
      </c>
    </row>
    <row r="554" spans="1:6" x14ac:dyDescent="0.2">
      <c r="A554" s="202" t="s">
        <v>775</v>
      </c>
      <c r="B554" s="209" t="s">
        <v>773</v>
      </c>
      <c r="C554" s="209" t="s">
        <v>504</v>
      </c>
      <c r="D554" s="226">
        <v>104568.8</v>
      </c>
      <c r="E554" s="226">
        <f>E555</f>
        <v>56879</v>
      </c>
      <c r="F554" s="228">
        <f t="shared" si="15"/>
        <v>-47689.8</v>
      </c>
    </row>
    <row r="555" spans="1:6" x14ac:dyDescent="0.2">
      <c r="A555" s="202" t="s">
        <v>774</v>
      </c>
      <c r="B555" s="209" t="s">
        <v>773</v>
      </c>
      <c r="C555" s="209" t="s">
        <v>772</v>
      </c>
      <c r="D555" s="226">
        <v>104568.8</v>
      </c>
      <c r="E555" s="226">
        <f>'Функциональная 2020'!H1358</f>
        <v>56879</v>
      </c>
      <c r="F555" s="228">
        <f t="shared" si="15"/>
        <v>-47689.8</v>
      </c>
    </row>
    <row r="556" spans="1:6" x14ac:dyDescent="0.2">
      <c r="A556" s="199" t="s">
        <v>602</v>
      </c>
      <c r="B556" s="212" t="s">
        <v>601</v>
      </c>
      <c r="C556" s="212"/>
      <c r="D556" s="205">
        <v>958439.7</v>
      </c>
      <c r="E556" s="205">
        <f>E557</f>
        <v>966980.3</v>
      </c>
      <c r="F556" s="206">
        <f t="shared" si="15"/>
        <v>8540.6000000000931</v>
      </c>
    </row>
    <row r="557" spans="1:6" x14ac:dyDescent="0.2">
      <c r="A557" s="199" t="s">
        <v>600</v>
      </c>
      <c r="B557" s="212" t="s">
        <v>599</v>
      </c>
      <c r="C557" s="212"/>
      <c r="D557" s="205">
        <v>958439.7</v>
      </c>
      <c r="E557" s="205">
        <f>E558+E561+E568+E575+E578+E581+E588+E597+E600+E607+E614+E619+E629+E632+E626</f>
        <v>966980.3</v>
      </c>
      <c r="F557" s="206">
        <f t="shared" si="15"/>
        <v>8540.6000000000931</v>
      </c>
    </row>
    <row r="558" spans="1:6" x14ac:dyDescent="0.2">
      <c r="A558" s="202" t="s">
        <v>1269</v>
      </c>
      <c r="B558" s="209" t="s">
        <v>1268</v>
      </c>
      <c r="C558" s="209"/>
      <c r="D558" s="226">
        <v>3220.9</v>
      </c>
      <c r="E558" s="226">
        <f>E559</f>
        <v>3220.9</v>
      </c>
      <c r="F558" s="228">
        <f t="shared" si="15"/>
        <v>0</v>
      </c>
    </row>
    <row r="559" spans="1:6" ht="22.5" x14ac:dyDescent="0.2">
      <c r="A559" s="202" t="s">
        <v>1348</v>
      </c>
      <c r="B559" s="209" t="s">
        <v>1268</v>
      </c>
      <c r="C559" s="209" t="s">
        <v>556</v>
      </c>
      <c r="D559" s="226">
        <v>3220.9</v>
      </c>
      <c r="E559" s="226">
        <f>E560</f>
        <v>3220.9</v>
      </c>
      <c r="F559" s="228">
        <f t="shared" si="15"/>
        <v>0</v>
      </c>
    </row>
    <row r="560" spans="1:6" x14ac:dyDescent="0.2">
      <c r="A560" s="202" t="s">
        <v>749</v>
      </c>
      <c r="B560" s="209" t="s">
        <v>1268</v>
      </c>
      <c r="C560" s="209" t="s">
        <v>745</v>
      </c>
      <c r="D560" s="226">
        <v>3220.9</v>
      </c>
      <c r="E560" s="226">
        <f>'Функциональная 2020'!H18</f>
        <v>3220.9</v>
      </c>
      <c r="F560" s="228">
        <f t="shared" si="15"/>
        <v>0</v>
      </c>
    </row>
    <row r="561" spans="1:6" x14ac:dyDescent="0.2">
      <c r="A561" s="202" t="s">
        <v>598</v>
      </c>
      <c r="B561" s="209" t="s">
        <v>597</v>
      </c>
      <c r="C561" s="209"/>
      <c r="D561" s="226">
        <v>401204.00000000006</v>
      </c>
      <c r="E561" s="226">
        <f>E562+E564+E566</f>
        <v>401156.00000000006</v>
      </c>
      <c r="F561" s="228">
        <f t="shared" si="15"/>
        <v>-48</v>
      </c>
    </row>
    <row r="562" spans="1:6" ht="22.5" x14ac:dyDescent="0.2">
      <c r="A562" s="202" t="s">
        <v>1348</v>
      </c>
      <c r="B562" s="209" t="s">
        <v>597</v>
      </c>
      <c r="C562" s="209" t="s">
        <v>556</v>
      </c>
      <c r="D562" s="226">
        <v>307785.40000000002</v>
      </c>
      <c r="E562" s="226">
        <f>E563</f>
        <v>307785.40000000002</v>
      </c>
      <c r="F562" s="228">
        <f t="shared" si="15"/>
        <v>0</v>
      </c>
    </row>
    <row r="563" spans="1:6" x14ac:dyDescent="0.2">
      <c r="A563" s="202" t="s">
        <v>749</v>
      </c>
      <c r="B563" s="209" t="s">
        <v>597</v>
      </c>
      <c r="C563" s="209" t="s">
        <v>745</v>
      </c>
      <c r="D563" s="226">
        <v>307785.40000000002</v>
      </c>
      <c r="E563" s="226">
        <f>'Функциональная 2020'!H99</f>
        <v>307785.40000000002</v>
      </c>
      <c r="F563" s="228">
        <f t="shared" si="15"/>
        <v>0</v>
      </c>
    </row>
    <row r="564" spans="1:6" x14ac:dyDescent="0.2">
      <c r="A564" s="202" t="s">
        <v>1347</v>
      </c>
      <c r="B564" s="209" t="s">
        <v>597</v>
      </c>
      <c r="C564" s="209" t="s">
        <v>535</v>
      </c>
      <c r="D564" s="226">
        <v>91535.2</v>
      </c>
      <c r="E564" s="226">
        <f>E565</f>
        <v>91487.2</v>
      </c>
      <c r="F564" s="228">
        <f t="shared" si="15"/>
        <v>-48</v>
      </c>
    </row>
    <row r="565" spans="1:6" x14ac:dyDescent="0.2">
      <c r="A565" s="202" t="s">
        <v>534</v>
      </c>
      <c r="B565" s="209" t="s">
        <v>597</v>
      </c>
      <c r="C565" s="209" t="s">
        <v>529</v>
      </c>
      <c r="D565" s="226">
        <v>91535.2</v>
      </c>
      <c r="E565" s="226">
        <f>'Функциональная 2020'!H101+'Функциональная 2020'!H168+'Функциональная 2020'!H342</f>
        <v>91487.2</v>
      </c>
      <c r="F565" s="228">
        <f t="shared" si="15"/>
        <v>-48</v>
      </c>
    </row>
    <row r="566" spans="1:6" x14ac:dyDescent="0.2">
      <c r="A566" s="202" t="s">
        <v>615</v>
      </c>
      <c r="B566" s="209" t="s">
        <v>597</v>
      </c>
      <c r="C566" s="209" t="s">
        <v>509</v>
      </c>
      <c r="D566" s="226">
        <v>1883.4</v>
      </c>
      <c r="E566" s="226">
        <f>E567</f>
        <v>1883.4</v>
      </c>
      <c r="F566" s="228">
        <f t="shared" si="15"/>
        <v>0</v>
      </c>
    </row>
    <row r="567" spans="1:6" x14ac:dyDescent="0.2">
      <c r="A567" s="202" t="s">
        <v>614</v>
      </c>
      <c r="B567" s="209" t="s">
        <v>597</v>
      </c>
      <c r="C567" s="209" t="s">
        <v>613</v>
      </c>
      <c r="D567" s="226">
        <v>1883.4</v>
      </c>
      <c r="E567" s="226">
        <f>'Функциональная 2020'!H109</f>
        <v>1883.4</v>
      </c>
      <c r="F567" s="228">
        <f t="shared" si="15"/>
        <v>0</v>
      </c>
    </row>
    <row r="568" spans="1:6" x14ac:dyDescent="0.2">
      <c r="A568" s="202" t="s">
        <v>763</v>
      </c>
      <c r="B568" s="209" t="s">
        <v>762</v>
      </c>
      <c r="C568" s="209"/>
      <c r="D568" s="226">
        <v>35005.899999999994</v>
      </c>
      <c r="E568" s="226">
        <f>E569+E571+E573</f>
        <v>35005.899999999994</v>
      </c>
      <c r="F568" s="228">
        <f t="shared" si="15"/>
        <v>0</v>
      </c>
    </row>
    <row r="569" spans="1:6" ht="22.5" x14ac:dyDescent="0.2">
      <c r="A569" s="202" t="s">
        <v>1348</v>
      </c>
      <c r="B569" s="209" t="s">
        <v>762</v>
      </c>
      <c r="C569" s="209" t="s">
        <v>556</v>
      </c>
      <c r="D569" s="226">
        <v>28605.499999999996</v>
      </c>
      <c r="E569" s="226">
        <f>E570</f>
        <v>28605.499999999996</v>
      </c>
      <c r="F569" s="228">
        <f t="shared" si="15"/>
        <v>0</v>
      </c>
    </row>
    <row r="570" spans="1:6" x14ac:dyDescent="0.2">
      <c r="A570" s="202" t="s">
        <v>749</v>
      </c>
      <c r="B570" s="209" t="s">
        <v>762</v>
      </c>
      <c r="C570" s="209" t="s">
        <v>745</v>
      </c>
      <c r="D570" s="226">
        <v>28605.499999999996</v>
      </c>
      <c r="E570" s="226">
        <f>'Функциональная 2020'!H120</f>
        <v>28605.499999999996</v>
      </c>
      <c r="F570" s="228">
        <f t="shared" si="15"/>
        <v>0</v>
      </c>
    </row>
    <row r="571" spans="1:6" x14ac:dyDescent="0.2">
      <c r="A571" s="202" t="s">
        <v>1347</v>
      </c>
      <c r="B571" s="209" t="s">
        <v>762</v>
      </c>
      <c r="C571" s="209" t="s">
        <v>535</v>
      </c>
      <c r="D571" s="226">
        <v>6370.4</v>
      </c>
      <c r="E571" s="226">
        <f>E572</f>
        <v>6370.4</v>
      </c>
      <c r="F571" s="228">
        <f t="shared" si="15"/>
        <v>0</v>
      </c>
    </row>
    <row r="572" spans="1:6" x14ac:dyDescent="0.2">
      <c r="A572" s="202" t="s">
        <v>534</v>
      </c>
      <c r="B572" s="209" t="s">
        <v>762</v>
      </c>
      <c r="C572" s="209" t="s">
        <v>529</v>
      </c>
      <c r="D572" s="226">
        <v>6370.4</v>
      </c>
      <c r="E572" s="226">
        <f>'Функциональная 2020'!H122</f>
        <v>6370.4</v>
      </c>
      <c r="F572" s="228">
        <f t="shared" si="15"/>
        <v>0</v>
      </c>
    </row>
    <row r="573" spans="1:6" x14ac:dyDescent="0.2">
      <c r="A573" s="202" t="s">
        <v>615</v>
      </c>
      <c r="B573" s="209" t="s">
        <v>762</v>
      </c>
      <c r="C573" s="209" t="s">
        <v>509</v>
      </c>
      <c r="D573" s="226">
        <v>30</v>
      </c>
      <c r="E573" s="226">
        <f>E574</f>
        <v>30</v>
      </c>
      <c r="F573" s="228">
        <f t="shared" si="15"/>
        <v>0</v>
      </c>
    </row>
    <row r="574" spans="1:6" x14ac:dyDescent="0.2">
      <c r="A574" s="202" t="s">
        <v>614</v>
      </c>
      <c r="B574" s="209" t="s">
        <v>762</v>
      </c>
      <c r="C574" s="209" t="s">
        <v>613</v>
      </c>
      <c r="D574" s="226">
        <v>30</v>
      </c>
      <c r="E574" s="226">
        <f>'Функциональная 2020'!H124</f>
        <v>30</v>
      </c>
      <c r="F574" s="228">
        <f t="shared" si="15"/>
        <v>0</v>
      </c>
    </row>
    <row r="575" spans="1:6" x14ac:dyDescent="0.2">
      <c r="A575" s="202" t="s">
        <v>1229</v>
      </c>
      <c r="B575" s="209" t="s">
        <v>1228</v>
      </c>
      <c r="C575" s="209"/>
      <c r="D575" s="226">
        <v>954.8</v>
      </c>
      <c r="E575" s="226">
        <f>E576</f>
        <v>954.8</v>
      </c>
      <c r="F575" s="228">
        <f t="shared" si="15"/>
        <v>0</v>
      </c>
    </row>
    <row r="576" spans="1:6" x14ac:dyDescent="0.2">
      <c r="A576" s="202" t="s">
        <v>615</v>
      </c>
      <c r="B576" s="209" t="s">
        <v>1228</v>
      </c>
      <c r="C576" s="209" t="s">
        <v>509</v>
      </c>
      <c r="D576" s="226">
        <v>954.8</v>
      </c>
      <c r="E576" s="226">
        <f>E577</f>
        <v>954.8</v>
      </c>
      <c r="F576" s="228">
        <f t="shared" si="15"/>
        <v>0</v>
      </c>
    </row>
    <row r="577" spans="1:6" x14ac:dyDescent="0.2">
      <c r="A577" s="202" t="s">
        <v>752</v>
      </c>
      <c r="B577" s="209" t="s">
        <v>1228</v>
      </c>
      <c r="C577" s="209" t="s">
        <v>750</v>
      </c>
      <c r="D577" s="226">
        <v>954.8</v>
      </c>
      <c r="E577" s="226">
        <f>'Функциональная 2020'!H171</f>
        <v>954.8</v>
      </c>
      <c r="F577" s="228">
        <f t="shared" si="15"/>
        <v>0</v>
      </c>
    </row>
    <row r="578" spans="1:6" x14ac:dyDescent="0.2">
      <c r="A578" s="202" t="s">
        <v>937</v>
      </c>
      <c r="B578" s="209" t="s">
        <v>935</v>
      </c>
      <c r="C578" s="209"/>
      <c r="D578" s="226">
        <v>4785.2</v>
      </c>
      <c r="E578" s="226">
        <f>E579</f>
        <v>4785.2</v>
      </c>
      <c r="F578" s="228">
        <f t="shared" si="15"/>
        <v>0</v>
      </c>
    </row>
    <row r="579" spans="1:6" x14ac:dyDescent="0.2">
      <c r="A579" s="202" t="s">
        <v>553</v>
      </c>
      <c r="B579" s="209" t="s">
        <v>935</v>
      </c>
      <c r="C579" s="209" t="s">
        <v>552</v>
      </c>
      <c r="D579" s="226">
        <v>4785.2</v>
      </c>
      <c r="E579" s="226">
        <f>E580</f>
        <v>4785.2</v>
      </c>
      <c r="F579" s="228">
        <f t="shared" si="15"/>
        <v>0</v>
      </c>
    </row>
    <row r="580" spans="1:6" x14ac:dyDescent="0.2">
      <c r="A580" s="202" t="s">
        <v>936</v>
      </c>
      <c r="B580" s="209" t="s">
        <v>935</v>
      </c>
      <c r="C580" s="209" t="s">
        <v>934</v>
      </c>
      <c r="D580" s="226">
        <v>4785.2</v>
      </c>
      <c r="E580" s="226">
        <f>'Функциональная 2020'!H823</f>
        <v>4785.2</v>
      </c>
      <c r="F580" s="228">
        <f t="shared" si="15"/>
        <v>0</v>
      </c>
    </row>
    <row r="581" spans="1:6" ht="22.5" x14ac:dyDescent="0.2">
      <c r="A581" s="202" t="s">
        <v>761</v>
      </c>
      <c r="B581" s="209" t="s">
        <v>759</v>
      </c>
      <c r="C581" s="209"/>
      <c r="D581" s="226">
        <v>128099.90000000001</v>
      </c>
      <c r="E581" s="226">
        <f>E582+E584+E586</f>
        <v>128099.90000000001</v>
      </c>
      <c r="F581" s="228">
        <f t="shared" si="15"/>
        <v>0</v>
      </c>
    </row>
    <row r="582" spans="1:6" ht="22.5" x14ac:dyDescent="0.2">
      <c r="A582" s="202" t="s">
        <v>1348</v>
      </c>
      <c r="B582" s="209" t="s">
        <v>759</v>
      </c>
      <c r="C582" s="209" t="s">
        <v>556</v>
      </c>
      <c r="D582" s="226">
        <v>121404.6</v>
      </c>
      <c r="E582" s="226">
        <f>E583</f>
        <v>121404.6</v>
      </c>
      <c r="F582" s="228">
        <f t="shared" si="15"/>
        <v>0</v>
      </c>
    </row>
    <row r="583" spans="1:6" x14ac:dyDescent="0.2">
      <c r="A583" s="202" t="s">
        <v>555</v>
      </c>
      <c r="B583" s="209" t="s">
        <v>759</v>
      </c>
      <c r="C583" s="209" t="s">
        <v>554</v>
      </c>
      <c r="D583" s="226">
        <v>121404.6</v>
      </c>
      <c r="E583" s="226">
        <f>'Функциональная 2020'!H174</f>
        <v>121404.6</v>
      </c>
      <c r="F583" s="228">
        <f t="shared" si="15"/>
        <v>0</v>
      </c>
    </row>
    <row r="584" spans="1:6" x14ac:dyDescent="0.2">
      <c r="A584" s="202" t="s">
        <v>1347</v>
      </c>
      <c r="B584" s="209" t="s">
        <v>759</v>
      </c>
      <c r="C584" s="209" t="s">
        <v>535</v>
      </c>
      <c r="D584" s="226">
        <v>6658.3</v>
      </c>
      <c r="E584" s="226">
        <f>E585</f>
        <v>6658.3</v>
      </c>
      <c r="F584" s="228">
        <f t="shared" si="15"/>
        <v>0</v>
      </c>
    </row>
    <row r="585" spans="1:6" x14ac:dyDescent="0.2">
      <c r="A585" s="202" t="s">
        <v>534</v>
      </c>
      <c r="B585" s="209" t="s">
        <v>759</v>
      </c>
      <c r="C585" s="209" t="s">
        <v>529</v>
      </c>
      <c r="D585" s="226">
        <v>6658.3</v>
      </c>
      <c r="E585" s="226">
        <f>'Функциональная 2020'!H176</f>
        <v>6658.3</v>
      </c>
      <c r="F585" s="228">
        <f t="shared" si="15"/>
        <v>0</v>
      </c>
    </row>
    <row r="586" spans="1:6" x14ac:dyDescent="0.2">
      <c r="A586" s="202" t="s">
        <v>615</v>
      </c>
      <c r="B586" s="209" t="s">
        <v>759</v>
      </c>
      <c r="C586" s="209" t="s">
        <v>509</v>
      </c>
      <c r="D586" s="226">
        <v>37</v>
      </c>
      <c r="E586" s="226">
        <f>E587</f>
        <v>37</v>
      </c>
      <c r="F586" s="228">
        <f t="shared" si="15"/>
        <v>0</v>
      </c>
    </row>
    <row r="587" spans="1:6" x14ac:dyDescent="0.2">
      <c r="A587" s="202" t="s">
        <v>614</v>
      </c>
      <c r="B587" s="209" t="s">
        <v>759</v>
      </c>
      <c r="C587" s="209" t="s">
        <v>613</v>
      </c>
      <c r="D587" s="226">
        <v>37</v>
      </c>
      <c r="E587" s="226">
        <f>'Функциональная 2020'!H178</f>
        <v>37</v>
      </c>
      <c r="F587" s="228">
        <f t="shared" si="15"/>
        <v>0</v>
      </c>
    </row>
    <row r="588" spans="1:6" ht="22.5" x14ac:dyDescent="0.2">
      <c r="A588" s="202" t="s">
        <v>1227</v>
      </c>
      <c r="B588" s="209" t="s">
        <v>1226</v>
      </c>
      <c r="C588" s="209"/>
      <c r="D588" s="226">
        <v>176890.59999999998</v>
      </c>
      <c r="E588" s="226">
        <f>E589+E591+E595+E593</f>
        <v>176890.59999999998</v>
      </c>
      <c r="F588" s="228">
        <f t="shared" si="15"/>
        <v>0</v>
      </c>
    </row>
    <row r="589" spans="1:6" ht="22.5" x14ac:dyDescent="0.2">
      <c r="A589" s="202" t="s">
        <v>1348</v>
      </c>
      <c r="B589" s="209" t="s">
        <v>1226</v>
      </c>
      <c r="C589" s="209" t="s">
        <v>556</v>
      </c>
      <c r="D589" s="226">
        <v>155558</v>
      </c>
      <c r="E589" s="226">
        <f>E590</f>
        <v>155558</v>
      </c>
      <c r="F589" s="228">
        <f t="shared" si="15"/>
        <v>0</v>
      </c>
    </row>
    <row r="590" spans="1:6" x14ac:dyDescent="0.2">
      <c r="A590" s="202" t="s">
        <v>555</v>
      </c>
      <c r="B590" s="209" t="s">
        <v>1226</v>
      </c>
      <c r="C590" s="209" t="s">
        <v>554</v>
      </c>
      <c r="D590" s="226">
        <v>155558</v>
      </c>
      <c r="E590" s="226">
        <f>'Функциональная 2020'!H181</f>
        <v>155558</v>
      </c>
      <c r="F590" s="228">
        <f t="shared" si="15"/>
        <v>0</v>
      </c>
    </row>
    <row r="591" spans="1:6" x14ac:dyDescent="0.2">
      <c r="A591" s="202" t="s">
        <v>1347</v>
      </c>
      <c r="B591" s="209" t="s">
        <v>1226</v>
      </c>
      <c r="C591" s="209" t="s">
        <v>535</v>
      </c>
      <c r="D591" s="226">
        <v>19859.3</v>
      </c>
      <c r="E591" s="226">
        <f>E592</f>
        <v>19859.3</v>
      </c>
      <c r="F591" s="228">
        <f t="shared" si="15"/>
        <v>0</v>
      </c>
    </row>
    <row r="592" spans="1:6" x14ac:dyDescent="0.2">
      <c r="A592" s="202" t="s">
        <v>534</v>
      </c>
      <c r="B592" s="209" t="s">
        <v>1226</v>
      </c>
      <c r="C592" s="209" t="s">
        <v>529</v>
      </c>
      <c r="D592" s="226">
        <v>19859.3</v>
      </c>
      <c r="E592" s="226">
        <f>'Функциональная 2020'!H183</f>
        <v>19859.3</v>
      </c>
      <c r="F592" s="228">
        <f t="shared" si="15"/>
        <v>0</v>
      </c>
    </row>
    <row r="593" spans="1:6" s="231" customFormat="1" x14ac:dyDescent="0.2">
      <c r="A593" s="202" t="s">
        <v>553</v>
      </c>
      <c r="B593" s="209" t="s">
        <v>1226</v>
      </c>
      <c r="C593" s="209">
        <v>300</v>
      </c>
      <c r="D593" s="226">
        <v>970</v>
      </c>
      <c r="E593" s="226">
        <f>E594</f>
        <v>970</v>
      </c>
      <c r="F593" s="228">
        <f t="shared" si="15"/>
        <v>0</v>
      </c>
    </row>
    <row r="594" spans="1:6" s="231" customFormat="1" x14ac:dyDescent="0.2">
      <c r="A594" s="202" t="s">
        <v>832</v>
      </c>
      <c r="B594" s="209" t="s">
        <v>1226</v>
      </c>
      <c r="C594" s="209">
        <v>320</v>
      </c>
      <c r="D594" s="226">
        <v>970</v>
      </c>
      <c r="E594" s="226">
        <f>'Функциональная 2020'!H185</f>
        <v>970</v>
      </c>
      <c r="F594" s="228">
        <f t="shared" si="15"/>
        <v>0</v>
      </c>
    </row>
    <row r="595" spans="1:6" x14ac:dyDescent="0.2">
      <c r="A595" s="202" t="s">
        <v>615</v>
      </c>
      <c r="B595" s="209" t="s">
        <v>1226</v>
      </c>
      <c r="C595" s="209" t="s">
        <v>509</v>
      </c>
      <c r="D595" s="226">
        <v>503.3</v>
      </c>
      <c r="E595" s="226">
        <f>E596</f>
        <v>503.3</v>
      </c>
      <c r="F595" s="228">
        <f t="shared" si="15"/>
        <v>0</v>
      </c>
    </row>
    <row r="596" spans="1:6" x14ac:dyDescent="0.2">
      <c r="A596" s="202" t="s">
        <v>614</v>
      </c>
      <c r="B596" s="209" t="s">
        <v>1226</v>
      </c>
      <c r="C596" s="209" t="s">
        <v>613</v>
      </c>
      <c r="D596" s="226">
        <v>503.3</v>
      </c>
      <c r="E596" s="226">
        <f>'Функциональная 2020'!H187</f>
        <v>503.3</v>
      </c>
      <c r="F596" s="228">
        <f t="shared" si="15"/>
        <v>0</v>
      </c>
    </row>
    <row r="597" spans="1:6" ht="22.5" x14ac:dyDescent="0.2">
      <c r="A597" s="202" t="s">
        <v>885</v>
      </c>
      <c r="B597" s="209" t="s">
        <v>884</v>
      </c>
      <c r="C597" s="209"/>
      <c r="D597" s="226">
        <v>14448.599999999999</v>
      </c>
      <c r="E597" s="226">
        <f>E598</f>
        <v>14448.599999999999</v>
      </c>
      <c r="F597" s="228">
        <f t="shared" si="15"/>
        <v>0</v>
      </c>
    </row>
    <row r="598" spans="1:6" x14ac:dyDescent="0.2">
      <c r="A598" s="202" t="s">
        <v>547</v>
      </c>
      <c r="B598" s="209" t="s">
        <v>884</v>
      </c>
      <c r="C598" s="209" t="s">
        <v>519</v>
      </c>
      <c r="D598" s="226">
        <v>14448.599999999999</v>
      </c>
      <c r="E598" s="226">
        <f>E599</f>
        <v>14448.599999999999</v>
      </c>
      <c r="F598" s="228">
        <f t="shared" si="15"/>
        <v>0</v>
      </c>
    </row>
    <row r="599" spans="1:6" x14ac:dyDescent="0.2">
      <c r="A599" s="202" t="s">
        <v>571</v>
      </c>
      <c r="B599" s="209" t="s">
        <v>884</v>
      </c>
      <c r="C599" s="209" t="s">
        <v>522</v>
      </c>
      <c r="D599" s="226">
        <v>14448.599999999999</v>
      </c>
      <c r="E599" s="226">
        <f>'Функциональная 2020'!H1081</f>
        <v>14448.599999999999</v>
      </c>
      <c r="F599" s="228">
        <f t="shared" si="15"/>
        <v>0</v>
      </c>
    </row>
    <row r="600" spans="1:6" ht="22.5" x14ac:dyDescent="0.2">
      <c r="A600" s="202" t="s">
        <v>933</v>
      </c>
      <c r="B600" s="209" t="s">
        <v>932</v>
      </c>
      <c r="C600" s="209"/>
      <c r="D600" s="226">
        <v>50930.200000000004</v>
      </c>
      <c r="E600" s="226">
        <f>E601+E603+E605</f>
        <v>59730.200000000004</v>
      </c>
      <c r="F600" s="228">
        <f t="shared" si="15"/>
        <v>8800</v>
      </c>
    </row>
    <row r="601" spans="1:6" ht="22.5" x14ac:dyDescent="0.2">
      <c r="A601" s="202" t="s">
        <v>1348</v>
      </c>
      <c r="B601" s="209" t="s">
        <v>932</v>
      </c>
      <c r="C601" s="209" t="s">
        <v>556</v>
      </c>
      <c r="D601" s="226">
        <v>47892.800000000003</v>
      </c>
      <c r="E601" s="226">
        <f>E602</f>
        <v>55892.800000000003</v>
      </c>
      <c r="F601" s="228">
        <f t="shared" si="15"/>
        <v>8000</v>
      </c>
    </row>
    <row r="602" spans="1:6" x14ac:dyDescent="0.2">
      <c r="A602" s="202" t="s">
        <v>555</v>
      </c>
      <c r="B602" s="209" t="s">
        <v>932</v>
      </c>
      <c r="C602" s="209" t="s">
        <v>554</v>
      </c>
      <c r="D602" s="226">
        <v>47892.800000000003</v>
      </c>
      <c r="E602" s="226">
        <f>'Функциональная 2020'!H826</f>
        <v>55892.800000000003</v>
      </c>
      <c r="F602" s="228">
        <f t="shared" si="15"/>
        <v>8000</v>
      </c>
    </row>
    <row r="603" spans="1:6" x14ac:dyDescent="0.2">
      <c r="A603" s="202" t="s">
        <v>1347</v>
      </c>
      <c r="B603" s="209" t="s">
        <v>932</v>
      </c>
      <c r="C603" s="209" t="s">
        <v>535</v>
      </c>
      <c r="D603" s="226">
        <v>2937.4</v>
      </c>
      <c r="E603" s="226">
        <f>E604</f>
        <v>3737.4</v>
      </c>
      <c r="F603" s="228">
        <f t="shared" si="15"/>
        <v>800</v>
      </c>
    </row>
    <row r="604" spans="1:6" x14ac:dyDescent="0.2">
      <c r="A604" s="202" t="s">
        <v>534</v>
      </c>
      <c r="B604" s="209" t="s">
        <v>932</v>
      </c>
      <c r="C604" s="209" t="s">
        <v>529</v>
      </c>
      <c r="D604" s="226">
        <v>2937.4</v>
      </c>
      <c r="E604" s="226">
        <f>'Функциональная 2020'!H828</f>
        <v>3737.4</v>
      </c>
      <c r="F604" s="228">
        <f t="shared" si="15"/>
        <v>800</v>
      </c>
    </row>
    <row r="605" spans="1:6" x14ac:dyDescent="0.2">
      <c r="A605" s="202" t="s">
        <v>615</v>
      </c>
      <c r="B605" s="209" t="s">
        <v>932</v>
      </c>
      <c r="C605" s="209" t="s">
        <v>509</v>
      </c>
      <c r="D605" s="226">
        <v>100</v>
      </c>
      <c r="E605" s="226">
        <f>E606</f>
        <v>100</v>
      </c>
      <c r="F605" s="228">
        <f t="shared" si="15"/>
        <v>0</v>
      </c>
    </row>
    <row r="606" spans="1:6" x14ac:dyDescent="0.2">
      <c r="A606" s="202" t="s">
        <v>614</v>
      </c>
      <c r="B606" s="209" t="s">
        <v>932</v>
      </c>
      <c r="C606" s="209" t="s">
        <v>613</v>
      </c>
      <c r="D606" s="226">
        <v>100</v>
      </c>
      <c r="E606" s="226">
        <f>'Функциональная 2020'!H830</f>
        <v>100</v>
      </c>
      <c r="F606" s="228">
        <f t="shared" si="15"/>
        <v>0</v>
      </c>
    </row>
    <row r="607" spans="1:6" ht="22.5" x14ac:dyDescent="0.2">
      <c r="A607" s="202" t="s">
        <v>931</v>
      </c>
      <c r="B607" s="209" t="s">
        <v>930</v>
      </c>
      <c r="C607" s="209"/>
      <c r="D607" s="226">
        <v>35524.299999999996</v>
      </c>
      <c r="E607" s="226">
        <f>E608+E610+E612</f>
        <v>35524.299999999996</v>
      </c>
      <c r="F607" s="228">
        <f t="shared" si="15"/>
        <v>0</v>
      </c>
    </row>
    <row r="608" spans="1:6" ht="22.5" x14ac:dyDescent="0.2">
      <c r="A608" s="202" t="s">
        <v>1348</v>
      </c>
      <c r="B608" s="209" t="s">
        <v>930</v>
      </c>
      <c r="C608" s="209" t="s">
        <v>556</v>
      </c>
      <c r="D608" s="226">
        <v>29613.200000000001</v>
      </c>
      <c r="E608" s="226">
        <f>E609</f>
        <v>29933.200000000001</v>
      </c>
      <c r="F608" s="228">
        <f t="shared" si="15"/>
        <v>320</v>
      </c>
    </row>
    <row r="609" spans="1:6" x14ac:dyDescent="0.2">
      <c r="A609" s="202" t="s">
        <v>555</v>
      </c>
      <c r="B609" s="209" t="s">
        <v>930</v>
      </c>
      <c r="C609" s="209" t="s">
        <v>554</v>
      </c>
      <c r="D609" s="226">
        <v>29613.200000000001</v>
      </c>
      <c r="E609" s="226">
        <f>'Функциональная 2020'!H833</f>
        <v>29933.200000000001</v>
      </c>
      <c r="F609" s="228">
        <f t="shared" si="15"/>
        <v>320</v>
      </c>
    </row>
    <row r="610" spans="1:6" x14ac:dyDescent="0.2">
      <c r="A610" s="202" t="s">
        <v>1347</v>
      </c>
      <c r="B610" s="209" t="s">
        <v>930</v>
      </c>
      <c r="C610" s="209" t="s">
        <v>535</v>
      </c>
      <c r="D610" s="226">
        <v>5893</v>
      </c>
      <c r="E610" s="226">
        <f>E611</f>
        <v>5573</v>
      </c>
      <c r="F610" s="228">
        <f t="shared" si="15"/>
        <v>-320</v>
      </c>
    </row>
    <row r="611" spans="1:6" x14ac:dyDescent="0.2">
      <c r="A611" s="202" t="s">
        <v>534</v>
      </c>
      <c r="B611" s="209" t="s">
        <v>930</v>
      </c>
      <c r="C611" s="209" t="s">
        <v>529</v>
      </c>
      <c r="D611" s="226">
        <v>5893</v>
      </c>
      <c r="E611" s="226">
        <f>'Функциональная 2020'!H835</f>
        <v>5573</v>
      </c>
      <c r="F611" s="228">
        <f t="shared" si="15"/>
        <v>-320</v>
      </c>
    </row>
    <row r="612" spans="1:6" x14ac:dyDescent="0.2">
      <c r="A612" s="202" t="s">
        <v>615</v>
      </c>
      <c r="B612" s="209" t="s">
        <v>930</v>
      </c>
      <c r="C612" s="209" t="s">
        <v>509</v>
      </c>
      <c r="D612" s="226">
        <v>18.100000000000001</v>
      </c>
      <c r="E612" s="226">
        <f>E613</f>
        <v>18.100000000000001</v>
      </c>
      <c r="F612" s="228">
        <f t="shared" si="15"/>
        <v>0</v>
      </c>
    </row>
    <row r="613" spans="1:6" x14ac:dyDescent="0.2">
      <c r="A613" s="202" t="s">
        <v>614</v>
      </c>
      <c r="B613" s="209" t="s">
        <v>930</v>
      </c>
      <c r="C613" s="209" t="s">
        <v>613</v>
      </c>
      <c r="D613" s="226">
        <v>18.100000000000001</v>
      </c>
      <c r="E613" s="226">
        <f>'Функциональная 2020'!H837</f>
        <v>18.100000000000001</v>
      </c>
      <c r="F613" s="228">
        <f t="shared" si="15"/>
        <v>0</v>
      </c>
    </row>
    <row r="614" spans="1:6" ht="22.5" x14ac:dyDescent="0.2">
      <c r="A614" s="202" t="s">
        <v>1225</v>
      </c>
      <c r="B614" s="209" t="s">
        <v>1224</v>
      </c>
      <c r="C614" s="209"/>
      <c r="D614" s="226">
        <v>22700.300000000003</v>
      </c>
      <c r="E614" s="226">
        <f>E615+E617</f>
        <v>22700.300000000003</v>
      </c>
      <c r="F614" s="228">
        <f t="shared" si="15"/>
        <v>0</v>
      </c>
    </row>
    <row r="615" spans="1:6" ht="22.5" x14ac:dyDescent="0.2">
      <c r="A615" s="202" t="s">
        <v>1348</v>
      </c>
      <c r="B615" s="209" t="s">
        <v>1224</v>
      </c>
      <c r="C615" s="209" t="s">
        <v>556</v>
      </c>
      <c r="D615" s="226">
        <v>20981.100000000002</v>
      </c>
      <c r="E615" s="226">
        <f>E616</f>
        <v>20981.100000000002</v>
      </c>
      <c r="F615" s="228">
        <f t="shared" si="15"/>
        <v>0</v>
      </c>
    </row>
    <row r="616" spans="1:6" x14ac:dyDescent="0.2">
      <c r="A616" s="202" t="s">
        <v>555</v>
      </c>
      <c r="B616" s="209" t="s">
        <v>1224</v>
      </c>
      <c r="C616" s="209" t="s">
        <v>554</v>
      </c>
      <c r="D616" s="226">
        <v>20981.100000000002</v>
      </c>
      <c r="E616" s="226">
        <f>'Функциональная 2020'!H190</f>
        <v>20981.100000000002</v>
      </c>
      <c r="F616" s="228">
        <f t="shared" si="15"/>
        <v>0</v>
      </c>
    </row>
    <row r="617" spans="1:6" x14ac:dyDescent="0.2">
      <c r="A617" s="202" t="s">
        <v>1347</v>
      </c>
      <c r="B617" s="209" t="s">
        <v>1224</v>
      </c>
      <c r="C617" s="209" t="s">
        <v>535</v>
      </c>
      <c r="D617" s="226">
        <v>1719.2</v>
      </c>
      <c r="E617" s="226">
        <f>E618</f>
        <v>1719.2</v>
      </c>
      <c r="F617" s="228">
        <f t="shared" si="15"/>
        <v>0</v>
      </c>
    </row>
    <row r="618" spans="1:6" x14ac:dyDescent="0.2">
      <c r="A618" s="202" t="s">
        <v>534</v>
      </c>
      <c r="B618" s="209" t="s">
        <v>1224</v>
      </c>
      <c r="C618" s="209" t="s">
        <v>529</v>
      </c>
      <c r="D618" s="226">
        <v>1719.2</v>
      </c>
      <c r="E618" s="226">
        <f>'Функциональная 2020'!H192</f>
        <v>1719.2</v>
      </c>
      <c r="F618" s="228">
        <f t="shared" ref="F618:F710" si="16">E618-D618</f>
        <v>0</v>
      </c>
    </row>
    <row r="619" spans="1:6" ht="22.5" x14ac:dyDescent="0.2">
      <c r="A619" s="202" t="s">
        <v>929</v>
      </c>
      <c r="B619" s="209" t="s">
        <v>928</v>
      </c>
      <c r="C619" s="209"/>
      <c r="D619" s="226">
        <v>36901.200000000004</v>
      </c>
      <c r="E619" s="226">
        <f>E620+E622+E624</f>
        <v>36901.200000000004</v>
      </c>
      <c r="F619" s="228">
        <f t="shared" si="16"/>
        <v>0</v>
      </c>
    </row>
    <row r="620" spans="1:6" ht="22.5" x14ac:dyDescent="0.2">
      <c r="A620" s="202" t="s">
        <v>1348</v>
      </c>
      <c r="B620" s="209" t="s">
        <v>928</v>
      </c>
      <c r="C620" s="209" t="s">
        <v>556</v>
      </c>
      <c r="D620" s="226">
        <v>30171.200000000004</v>
      </c>
      <c r="E620" s="226">
        <f>E621</f>
        <v>30171.200000000004</v>
      </c>
      <c r="F620" s="228">
        <f t="shared" si="16"/>
        <v>0</v>
      </c>
    </row>
    <row r="621" spans="1:6" x14ac:dyDescent="0.2">
      <c r="A621" s="202" t="s">
        <v>555</v>
      </c>
      <c r="B621" s="209" t="s">
        <v>928</v>
      </c>
      <c r="C621" s="209" t="s">
        <v>554</v>
      </c>
      <c r="D621" s="226">
        <v>30171.200000000004</v>
      </c>
      <c r="E621" s="226">
        <f>'Функциональная 2020'!H840</f>
        <v>30171.200000000004</v>
      </c>
      <c r="F621" s="228">
        <f t="shared" si="16"/>
        <v>0</v>
      </c>
    </row>
    <row r="622" spans="1:6" x14ac:dyDescent="0.2">
      <c r="A622" s="202" t="s">
        <v>1347</v>
      </c>
      <c r="B622" s="209" t="s">
        <v>928</v>
      </c>
      <c r="C622" s="209" t="s">
        <v>535</v>
      </c>
      <c r="D622" s="226">
        <v>6178</v>
      </c>
      <c r="E622" s="226">
        <f>E623</f>
        <v>6178</v>
      </c>
      <c r="F622" s="228">
        <f t="shared" si="16"/>
        <v>0</v>
      </c>
    </row>
    <row r="623" spans="1:6" x14ac:dyDescent="0.2">
      <c r="A623" s="202" t="s">
        <v>534</v>
      </c>
      <c r="B623" s="209" t="s">
        <v>928</v>
      </c>
      <c r="C623" s="209" t="s">
        <v>529</v>
      </c>
      <c r="D623" s="226">
        <v>6178</v>
      </c>
      <c r="E623" s="226">
        <f>'Функциональная 2020'!H842</f>
        <v>6178</v>
      </c>
      <c r="F623" s="228">
        <f t="shared" si="16"/>
        <v>0</v>
      </c>
    </row>
    <row r="624" spans="1:6" x14ac:dyDescent="0.2">
      <c r="A624" s="202" t="s">
        <v>615</v>
      </c>
      <c r="B624" s="209" t="s">
        <v>928</v>
      </c>
      <c r="C624" s="209" t="s">
        <v>509</v>
      </c>
      <c r="D624" s="226">
        <v>552</v>
      </c>
      <c r="E624" s="226">
        <f>E625</f>
        <v>552</v>
      </c>
      <c r="F624" s="228">
        <f t="shared" si="16"/>
        <v>0</v>
      </c>
    </row>
    <row r="625" spans="1:6" x14ac:dyDescent="0.2">
      <c r="A625" s="202" t="s">
        <v>614</v>
      </c>
      <c r="B625" s="209" t="s">
        <v>928</v>
      </c>
      <c r="C625" s="209" t="s">
        <v>613</v>
      </c>
      <c r="D625" s="226">
        <v>552</v>
      </c>
      <c r="E625" s="226">
        <f>'Функциональная 2020'!H844</f>
        <v>552</v>
      </c>
      <c r="F625" s="228">
        <f t="shared" si="16"/>
        <v>0</v>
      </c>
    </row>
    <row r="626" spans="1:6" s="285" customFormat="1" ht="22.5" x14ac:dyDescent="0.2">
      <c r="A626" s="202" t="s">
        <v>1391</v>
      </c>
      <c r="B626" s="209" t="s">
        <v>1392</v>
      </c>
      <c r="C626" s="209"/>
      <c r="D626" s="226">
        <v>2300</v>
      </c>
      <c r="E626" s="226">
        <f>E627</f>
        <v>2300</v>
      </c>
      <c r="F626" s="228">
        <f t="shared" si="16"/>
        <v>0</v>
      </c>
    </row>
    <row r="627" spans="1:6" s="285" customFormat="1" x14ac:dyDescent="0.2">
      <c r="A627" s="202" t="s">
        <v>547</v>
      </c>
      <c r="B627" s="209" t="s">
        <v>1392</v>
      </c>
      <c r="C627" s="209" t="s">
        <v>519</v>
      </c>
      <c r="D627" s="226">
        <v>2300</v>
      </c>
      <c r="E627" s="226">
        <f>E628</f>
        <v>2300</v>
      </c>
      <c r="F627" s="228">
        <f t="shared" si="16"/>
        <v>0</v>
      </c>
    </row>
    <row r="628" spans="1:6" s="285" customFormat="1" x14ac:dyDescent="0.2">
      <c r="A628" s="202" t="s">
        <v>546</v>
      </c>
      <c r="B628" s="209" t="s">
        <v>1392</v>
      </c>
      <c r="C628" s="209" t="s">
        <v>544</v>
      </c>
      <c r="D628" s="226">
        <v>2300</v>
      </c>
      <c r="E628" s="226">
        <f>'Функциональная 2020'!H1304</f>
        <v>2300</v>
      </c>
      <c r="F628" s="228">
        <f t="shared" si="16"/>
        <v>0</v>
      </c>
    </row>
    <row r="629" spans="1:6" ht="22.5" x14ac:dyDescent="0.2">
      <c r="A629" s="202" t="s">
        <v>883</v>
      </c>
      <c r="B629" s="209" t="s">
        <v>882</v>
      </c>
      <c r="C629" s="209"/>
      <c r="D629" s="226">
        <v>11079.1</v>
      </c>
      <c r="E629" s="226">
        <f>E630</f>
        <v>11079.1</v>
      </c>
      <c r="F629" s="228">
        <f t="shared" si="16"/>
        <v>0</v>
      </c>
    </row>
    <row r="630" spans="1:6" x14ac:dyDescent="0.2">
      <c r="A630" s="202" t="s">
        <v>547</v>
      </c>
      <c r="B630" s="209" t="s">
        <v>882</v>
      </c>
      <c r="C630" s="209" t="s">
        <v>519</v>
      </c>
      <c r="D630" s="226">
        <v>11079.1</v>
      </c>
      <c r="E630" s="226">
        <f>E631</f>
        <v>11079.1</v>
      </c>
      <c r="F630" s="228">
        <f t="shared" si="16"/>
        <v>0</v>
      </c>
    </row>
    <row r="631" spans="1:6" x14ac:dyDescent="0.2">
      <c r="A631" s="202" t="s">
        <v>571</v>
      </c>
      <c r="B631" s="209" t="s">
        <v>882</v>
      </c>
      <c r="C631" s="209" t="s">
        <v>522</v>
      </c>
      <c r="D631" s="226">
        <v>11079.1</v>
      </c>
      <c r="E631" s="226">
        <f>'Функциональная 2020'!H1084</f>
        <v>11079.1</v>
      </c>
      <c r="F631" s="228">
        <f t="shared" si="16"/>
        <v>0</v>
      </c>
    </row>
    <row r="632" spans="1:6" ht="22.5" x14ac:dyDescent="0.2">
      <c r="A632" s="202" t="s">
        <v>927</v>
      </c>
      <c r="B632" s="209" t="s">
        <v>926</v>
      </c>
      <c r="C632" s="209"/>
      <c r="D632" s="226">
        <v>34394.700000000004</v>
      </c>
      <c r="E632" s="226">
        <f>E633+E635+E637</f>
        <v>34183.300000000003</v>
      </c>
      <c r="F632" s="228">
        <f t="shared" si="16"/>
        <v>-211.40000000000146</v>
      </c>
    </row>
    <row r="633" spans="1:6" ht="22.5" x14ac:dyDescent="0.2">
      <c r="A633" s="202" t="s">
        <v>1348</v>
      </c>
      <c r="B633" s="209" t="s">
        <v>926</v>
      </c>
      <c r="C633" s="209" t="s">
        <v>556</v>
      </c>
      <c r="D633" s="226">
        <v>29100.400000000001</v>
      </c>
      <c r="E633" s="226">
        <f>E634</f>
        <v>29100.400000000001</v>
      </c>
      <c r="F633" s="228">
        <f t="shared" si="16"/>
        <v>0</v>
      </c>
    </row>
    <row r="634" spans="1:6" x14ac:dyDescent="0.2">
      <c r="A634" s="202" t="s">
        <v>555</v>
      </c>
      <c r="B634" s="209" t="s">
        <v>926</v>
      </c>
      <c r="C634" s="209" t="s">
        <v>554</v>
      </c>
      <c r="D634" s="226">
        <v>29100.400000000001</v>
      </c>
      <c r="E634" s="226">
        <f>'Функциональная 2020'!H847</f>
        <v>29100.400000000001</v>
      </c>
      <c r="F634" s="228">
        <f t="shared" si="16"/>
        <v>0</v>
      </c>
    </row>
    <row r="635" spans="1:6" x14ac:dyDescent="0.2">
      <c r="A635" s="202" t="s">
        <v>1347</v>
      </c>
      <c r="B635" s="209" t="s">
        <v>926</v>
      </c>
      <c r="C635" s="209" t="s">
        <v>535</v>
      </c>
      <c r="D635" s="226">
        <v>5211.3999999999996</v>
      </c>
      <c r="E635" s="226">
        <f>E636</f>
        <v>5000</v>
      </c>
      <c r="F635" s="228">
        <f t="shared" si="16"/>
        <v>-211.39999999999964</v>
      </c>
    </row>
    <row r="636" spans="1:6" x14ac:dyDescent="0.2">
      <c r="A636" s="202" t="s">
        <v>534</v>
      </c>
      <c r="B636" s="209" t="s">
        <v>926</v>
      </c>
      <c r="C636" s="209" t="s">
        <v>529</v>
      </c>
      <c r="D636" s="226">
        <v>5211.3999999999996</v>
      </c>
      <c r="E636" s="226">
        <f>'Функциональная 2020'!H849</f>
        <v>5000</v>
      </c>
      <c r="F636" s="228">
        <f t="shared" si="16"/>
        <v>-211.39999999999964</v>
      </c>
    </row>
    <row r="637" spans="1:6" x14ac:dyDescent="0.2">
      <c r="A637" s="202" t="s">
        <v>615</v>
      </c>
      <c r="B637" s="209" t="s">
        <v>926</v>
      </c>
      <c r="C637" s="209" t="s">
        <v>509</v>
      </c>
      <c r="D637" s="226">
        <v>82.9</v>
      </c>
      <c r="E637" s="226">
        <f>E638</f>
        <v>82.9</v>
      </c>
      <c r="F637" s="228">
        <f t="shared" si="16"/>
        <v>0</v>
      </c>
    </row>
    <row r="638" spans="1:6" x14ac:dyDescent="0.2">
      <c r="A638" s="202" t="s">
        <v>614</v>
      </c>
      <c r="B638" s="209" t="s">
        <v>926</v>
      </c>
      <c r="C638" s="209" t="s">
        <v>613</v>
      </c>
      <c r="D638" s="226">
        <v>82.9</v>
      </c>
      <c r="E638" s="226">
        <f>'Функциональная 2020'!H851</f>
        <v>82.9</v>
      </c>
      <c r="F638" s="228">
        <f t="shared" si="16"/>
        <v>0</v>
      </c>
    </row>
    <row r="639" spans="1:6" ht="22.5" x14ac:dyDescent="0.2">
      <c r="A639" s="199" t="s">
        <v>588</v>
      </c>
      <c r="B639" s="212" t="s">
        <v>587</v>
      </c>
      <c r="C639" s="212"/>
      <c r="D639" s="205">
        <v>156011.50000000003</v>
      </c>
      <c r="E639" s="205">
        <f>E640+E678+E717+E726+E667</f>
        <v>175689.4</v>
      </c>
      <c r="F639" s="206">
        <f t="shared" si="16"/>
        <v>19677.899999999965</v>
      </c>
    </row>
    <row r="640" spans="1:6" ht="22.5" x14ac:dyDescent="0.2">
      <c r="A640" s="199" t="s">
        <v>807</v>
      </c>
      <c r="B640" s="212" t="s">
        <v>806</v>
      </c>
      <c r="C640" s="212"/>
      <c r="D640" s="205">
        <v>76412.900000000009</v>
      </c>
      <c r="E640" s="205">
        <f>E641+E651</f>
        <v>91628.3</v>
      </c>
      <c r="F640" s="206">
        <f t="shared" si="16"/>
        <v>15215.399999999994</v>
      </c>
    </row>
    <row r="641" spans="1:6" ht="22.5" x14ac:dyDescent="0.2">
      <c r="A641" s="199" t="s">
        <v>805</v>
      </c>
      <c r="B641" s="212" t="s">
        <v>804</v>
      </c>
      <c r="C641" s="212"/>
      <c r="D641" s="205">
        <v>69164.200000000012</v>
      </c>
      <c r="E641" s="205">
        <f>E642+E645+E648+0.1</f>
        <v>84379.6</v>
      </c>
      <c r="F641" s="206">
        <f t="shared" si="16"/>
        <v>15215.399999999994</v>
      </c>
    </row>
    <row r="642" spans="1:6" ht="45" x14ac:dyDescent="0.2">
      <c r="A642" s="202" t="s">
        <v>803</v>
      </c>
      <c r="B642" s="209" t="s">
        <v>802</v>
      </c>
      <c r="C642" s="209"/>
      <c r="D642" s="226">
        <v>11247.1</v>
      </c>
      <c r="E642" s="226">
        <f>E643</f>
        <v>17926.700000000004</v>
      </c>
      <c r="F642" s="228">
        <f t="shared" si="16"/>
        <v>6679.600000000004</v>
      </c>
    </row>
    <row r="643" spans="1:6" x14ac:dyDescent="0.2">
      <c r="A643" s="202" t="s">
        <v>1347</v>
      </c>
      <c r="B643" s="209" t="s">
        <v>802</v>
      </c>
      <c r="C643" s="209" t="s">
        <v>535</v>
      </c>
      <c r="D643" s="226">
        <v>11247.1</v>
      </c>
      <c r="E643" s="226">
        <f>E644</f>
        <v>17926.700000000004</v>
      </c>
      <c r="F643" s="228">
        <f t="shared" si="16"/>
        <v>6679.600000000004</v>
      </c>
    </row>
    <row r="644" spans="1:6" x14ac:dyDescent="0.2">
      <c r="A644" s="202" t="s">
        <v>534</v>
      </c>
      <c r="B644" s="209" t="s">
        <v>802</v>
      </c>
      <c r="C644" s="209" t="s">
        <v>529</v>
      </c>
      <c r="D644" s="226">
        <v>11247.1</v>
      </c>
      <c r="E644" s="226">
        <f>'Функциональная 2020'!H1294+'Функциональная 2020'!H1310+'Функциональная 2020'!H1320-0.1</f>
        <v>17926.700000000004</v>
      </c>
      <c r="F644" s="228">
        <f t="shared" si="16"/>
        <v>6679.600000000004</v>
      </c>
    </row>
    <row r="645" spans="1:6" ht="56.25" x14ac:dyDescent="0.2">
      <c r="A645" s="202" t="s">
        <v>801</v>
      </c>
      <c r="B645" s="209" t="s">
        <v>800</v>
      </c>
      <c r="C645" s="209"/>
      <c r="D645" s="226">
        <v>36121.000000000007</v>
      </c>
      <c r="E645" s="226">
        <f>E646</f>
        <v>39223.800000000003</v>
      </c>
      <c r="F645" s="228">
        <f t="shared" si="16"/>
        <v>3102.7999999999956</v>
      </c>
    </row>
    <row r="646" spans="1:6" x14ac:dyDescent="0.2">
      <c r="A646" s="202" t="s">
        <v>547</v>
      </c>
      <c r="B646" s="209" t="s">
        <v>800</v>
      </c>
      <c r="C646" s="209" t="s">
        <v>519</v>
      </c>
      <c r="D646" s="226">
        <v>36121.000000000007</v>
      </c>
      <c r="E646" s="226">
        <f>E647</f>
        <v>39223.800000000003</v>
      </c>
      <c r="F646" s="228">
        <f t="shared" si="16"/>
        <v>3102.7999999999956</v>
      </c>
    </row>
    <row r="647" spans="1:6" x14ac:dyDescent="0.2">
      <c r="A647" s="202" t="s">
        <v>546</v>
      </c>
      <c r="B647" s="209" t="s">
        <v>800</v>
      </c>
      <c r="C647" s="209" t="s">
        <v>544</v>
      </c>
      <c r="D647" s="226">
        <v>36121.000000000007</v>
      </c>
      <c r="E647" s="226">
        <f>'Функциональная 2020'!H1297+'Функциональная 2020'!H1323</f>
        <v>39223.800000000003</v>
      </c>
      <c r="F647" s="228">
        <f t="shared" si="16"/>
        <v>3102.7999999999956</v>
      </c>
    </row>
    <row r="648" spans="1:6" ht="56.25" x14ac:dyDescent="0.2">
      <c r="A648" s="202" t="s">
        <v>810</v>
      </c>
      <c r="B648" s="209" t="s">
        <v>809</v>
      </c>
      <c r="C648" s="209"/>
      <c r="D648" s="226">
        <v>21796</v>
      </c>
      <c r="E648" s="226">
        <f>E649</f>
        <v>27229</v>
      </c>
      <c r="F648" s="228">
        <f t="shared" si="16"/>
        <v>5433</v>
      </c>
    </row>
    <row r="649" spans="1:6" x14ac:dyDescent="0.2">
      <c r="A649" s="202" t="s">
        <v>547</v>
      </c>
      <c r="B649" s="209" t="s">
        <v>809</v>
      </c>
      <c r="C649" s="209" t="s">
        <v>519</v>
      </c>
      <c r="D649" s="226">
        <v>21796</v>
      </c>
      <c r="E649" s="226">
        <f>E650</f>
        <v>27229</v>
      </c>
      <c r="F649" s="228">
        <f t="shared" si="16"/>
        <v>5433</v>
      </c>
    </row>
    <row r="650" spans="1:6" x14ac:dyDescent="0.2">
      <c r="A650" s="202" t="s">
        <v>546</v>
      </c>
      <c r="B650" s="209" t="s">
        <v>809</v>
      </c>
      <c r="C650" s="209" t="s">
        <v>544</v>
      </c>
      <c r="D650" s="226">
        <v>21796</v>
      </c>
      <c r="E650" s="226">
        <f>'Функциональная 2020'!H1313</f>
        <v>27229</v>
      </c>
      <c r="F650" s="228">
        <f t="shared" si="16"/>
        <v>5433</v>
      </c>
    </row>
    <row r="651" spans="1:6" x14ac:dyDescent="0.2">
      <c r="A651" s="199" t="s">
        <v>799</v>
      </c>
      <c r="B651" s="212" t="s">
        <v>798</v>
      </c>
      <c r="C651" s="212"/>
      <c r="D651" s="205">
        <v>7248.7000000000007</v>
      </c>
      <c r="E651" s="205">
        <f>E652+E655+E658+E661+E664</f>
        <v>7248.7000000000007</v>
      </c>
      <c r="F651" s="206">
        <f t="shared" si="16"/>
        <v>0</v>
      </c>
    </row>
    <row r="652" spans="1:6" ht="22.5" x14ac:dyDescent="0.2">
      <c r="A652" s="202" t="s">
        <v>797</v>
      </c>
      <c r="B652" s="209" t="s">
        <v>796</v>
      </c>
      <c r="C652" s="209"/>
      <c r="D652" s="226">
        <v>819.6</v>
      </c>
      <c r="E652" s="226">
        <f>E653</f>
        <v>819.6</v>
      </c>
      <c r="F652" s="228">
        <f t="shared" si="16"/>
        <v>0</v>
      </c>
    </row>
    <row r="653" spans="1:6" x14ac:dyDescent="0.2">
      <c r="A653" s="202" t="s">
        <v>1347</v>
      </c>
      <c r="B653" s="209" t="s">
        <v>796</v>
      </c>
      <c r="C653" s="209" t="s">
        <v>535</v>
      </c>
      <c r="D653" s="226">
        <v>819.6</v>
      </c>
      <c r="E653" s="226">
        <f>E654</f>
        <v>819.6</v>
      </c>
      <c r="F653" s="228">
        <f t="shared" si="16"/>
        <v>0</v>
      </c>
    </row>
    <row r="654" spans="1:6" x14ac:dyDescent="0.2">
      <c r="A654" s="202" t="s">
        <v>534</v>
      </c>
      <c r="B654" s="209" t="s">
        <v>796</v>
      </c>
      <c r="C654" s="209" t="s">
        <v>529</v>
      </c>
      <c r="D654" s="226">
        <v>819.6</v>
      </c>
      <c r="E654" s="226">
        <f>'Функциональная 2020'!H1327+'Функциональная 2020'!H198</f>
        <v>819.6</v>
      </c>
      <c r="F654" s="228">
        <f t="shared" si="16"/>
        <v>0</v>
      </c>
    </row>
    <row r="655" spans="1:6" ht="22.5" x14ac:dyDescent="0.2">
      <c r="A655" s="202" t="s">
        <v>1533</v>
      </c>
      <c r="B655" s="209" t="s">
        <v>795</v>
      </c>
      <c r="C655" s="209"/>
      <c r="D655" s="226">
        <v>4750</v>
      </c>
      <c r="E655" s="226">
        <f>E656</f>
        <v>4750</v>
      </c>
      <c r="F655" s="228">
        <f t="shared" si="16"/>
        <v>0</v>
      </c>
    </row>
    <row r="656" spans="1:6" s="389" customFormat="1" x14ac:dyDescent="0.2">
      <c r="A656" s="202" t="s">
        <v>547</v>
      </c>
      <c r="B656" s="209" t="s">
        <v>795</v>
      </c>
      <c r="C656" s="209">
        <v>600</v>
      </c>
      <c r="D656" s="226">
        <v>4750</v>
      </c>
      <c r="E656" s="226">
        <f>E657</f>
        <v>4750</v>
      </c>
      <c r="F656" s="228">
        <f t="shared" si="16"/>
        <v>0</v>
      </c>
    </row>
    <row r="657" spans="1:6" s="389" customFormat="1" x14ac:dyDescent="0.2">
      <c r="A657" s="202" t="s">
        <v>571</v>
      </c>
      <c r="B657" s="209" t="s">
        <v>795</v>
      </c>
      <c r="C657" s="209">
        <v>610</v>
      </c>
      <c r="D657" s="226">
        <v>4750</v>
      </c>
      <c r="E657" s="226">
        <f>'Функциональная 2020'!H1330</f>
        <v>4750</v>
      </c>
      <c r="F657" s="228">
        <f t="shared" si="16"/>
        <v>0</v>
      </c>
    </row>
    <row r="658" spans="1:6" ht="33.75" x14ac:dyDescent="0.2">
      <c r="A658" s="202" t="s">
        <v>794</v>
      </c>
      <c r="B658" s="209" t="s">
        <v>793</v>
      </c>
      <c r="C658" s="209"/>
      <c r="D658" s="226">
        <v>500</v>
      </c>
      <c r="E658" s="226">
        <f>E659</f>
        <v>500</v>
      </c>
      <c r="F658" s="228">
        <f t="shared" si="16"/>
        <v>0</v>
      </c>
    </row>
    <row r="659" spans="1:6" x14ac:dyDescent="0.2">
      <c r="A659" s="202" t="s">
        <v>1347</v>
      </c>
      <c r="B659" s="209" t="s">
        <v>793</v>
      </c>
      <c r="C659" s="209" t="s">
        <v>535</v>
      </c>
      <c r="D659" s="226">
        <v>500</v>
      </c>
      <c r="E659" s="226">
        <f>E660</f>
        <v>500</v>
      </c>
      <c r="F659" s="228">
        <f t="shared" si="16"/>
        <v>0</v>
      </c>
    </row>
    <row r="660" spans="1:6" x14ac:dyDescent="0.2">
      <c r="A660" s="202" t="s">
        <v>534</v>
      </c>
      <c r="B660" s="209" t="s">
        <v>793</v>
      </c>
      <c r="C660" s="209" t="s">
        <v>529</v>
      </c>
      <c r="D660" s="226">
        <v>500</v>
      </c>
      <c r="E660" s="226">
        <f>'Функциональная 2020'!H1333</f>
        <v>500</v>
      </c>
      <c r="F660" s="228">
        <f t="shared" si="16"/>
        <v>0</v>
      </c>
    </row>
    <row r="661" spans="1:6" ht="22.5" x14ac:dyDescent="0.2">
      <c r="A661" s="202" t="s">
        <v>790</v>
      </c>
      <c r="B661" s="209" t="s">
        <v>789</v>
      </c>
      <c r="C661" s="209"/>
      <c r="D661" s="226">
        <v>929.1</v>
      </c>
      <c r="E661" s="226">
        <f>E662</f>
        <v>929.1</v>
      </c>
      <c r="F661" s="228">
        <f t="shared" si="16"/>
        <v>0</v>
      </c>
    </row>
    <row r="662" spans="1:6" x14ac:dyDescent="0.2">
      <c r="A662" s="202" t="s">
        <v>547</v>
      </c>
      <c r="B662" s="209" t="s">
        <v>789</v>
      </c>
      <c r="C662" s="209" t="s">
        <v>519</v>
      </c>
      <c r="D662" s="226">
        <v>929.1</v>
      </c>
      <c r="E662" s="226">
        <f>E663</f>
        <v>929.1</v>
      </c>
      <c r="F662" s="228">
        <f t="shared" si="16"/>
        <v>0</v>
      </c>
    </row>
    <row r="663" spans="1:6" x14ac:dyDescent="0.2">
      <c r="A663" s="202" t="s">
        <v>546</v>
      </c>
      <c r="B663" s="209" t="s">
        <v>789</v>
      </c>
      <c r="C663" s="209" t="s">
        <v>544</v>
      </c>
      <c r="D663" s="226">
        <v>929.1</v>
      </c>
      <c r="E663" s="226">
        <f>'Функциональная 2020'!H1336</f>
        <v>929.1</v>
      </c>
      <c r="F663" s="228">
        <f t="shared" si="16"/>
        <v>0</v>
      </c>
    </row>
    <row r="664" spans="1:6" ht="33.75" x14ac:dyDescent="0.2">
      <c r="A664" s="202" t="s">
        <v>788</v>
      </c>
      <c r="B664" s="209" t="s">
        <v>787</v>
      </c>
      <c r="C664" s="209"/>
      <c r="D664" s="226">
        <v>250</v>
      </c>
      <c r="E664" s="226">
        <f>E665</f>
        <v>250</v>
      </c>
      <c r="F664" s="228">
        <f t="shared" si="16"/>
        <v>0</v>
      </c>
    </row>
    <row r="665" spans="1:6" x14ac:dyDescent="0.2">
      <c r="A665" s="202" t="s">
        <v>1347</v>
      </c>
      <c r="B665" s="209" t="s">
        <v>787</v>
      </c>
      <c r="C665" s="209" t="s">
        <v>535</v>
      </c>
      <c r="D665" s="226">
        <v>250</v>
      </c>
      <c r="E665" s="226">
        <f>E666</f>
        <v>250</v>
      </c>
      <c r="F665" s="228">
        <f t="shared" si="16"/>
        <v>0</v>
      </c>
    </row>
    <row r="666" spans="1:6" x14ac:dyDescent="0.2">
      <c r="A666" s="202" t="s">
        <v>534</v>
      </c>
      <c r="B666" s="209" t="s">
        <v>787</v>
      </c>
      <c r="C666" s="209" t="s">
        <v>529</v>
      </c>
      <c r="D666" s="226">
        <v>250</v>
      </c>
      <c r="E666" s="226">
        <f>'Функциональная 2020'!H1339</f>
        <v>250</v>
      </c>
      <c r="F666" s="228">
        <f t="shared" si="16"/>
        <v>0</v>
      </c>
    </row>
    <row r="667" spans="1:6" s="434" customFormat="1" x14ac:dyDescent="0.2">
      <c r="A667" s="199" t="s">
        <v>1630</v>
      </c>
      <c r="B667" s="212" t="s">
        <v>1631</v>
      </c>
      <c r="C667" s="212"/>
      <c r="D667" s="205">
        <f>D668</f>
        <v>0</v>
      </c>
      <c r="E667" s="205">
        <f>E668</f>
        <v>4462.5</v>
      </c>
      <c r="F667" s="206">
        <f t="shared" si="16"/>
        <v>4462.5</v>
      </c>
    </row>
    <row r="668" spans="1:6" s="434" customFormat="1" ht="24" customHeight="1" x14ac:dyDescent="0.2">
      <c r="A668" s="199" t="s">
        <v>1632</v>
      </c>
      <c r="B668" s="212" t="s">
        <v>1633</v>
      </c>
      <c r="C668" s="212"/>
      <c r="D668" s="205">
        <f>D669+D672+D675</f>
        <v>0</v>
      </c>
      <c r="E668" s="205">
        <f>E669+E672+E675</f>
        <v>4462.5</v>
      </c>
      <c r="F668" s="206">
        <f t="shared" si="16"/>
        <v>4462.5</v>
      </c>
    </row>
    <row r="669" spans="1:6" s="434" customFormat="1" x14ac:dyDescent="0.2">
      <c r="A669" s="202" t="s">
        <v>1638</v>
      </c>
      <c r="B669" s="209" t="s">
        <v>1639</v>
      </c>
      <c r="C669" s="209"/>
      <c r="D669" s="226">
        <f>D670</f>
        <v>0</v>
      </c>
      <c r="E669" s="226">
        <f>E670</f>
        <v>487.5</v>
      </c>
      <c r="F669" s="228">
        <f t="shared" si="16"/>
        <v>487.5</v>
      </c>
    </row>
    <row r="670" spans="1:6" s="434" customFormat="1" x14ac:dyDescent="0.2">
      <c r="A670" s="202" t="s">
        <v>1347</v>
      </c>
      <c r="B670" s="209" t="s">
        <v>1639</v>
      </c>
      <c r="C670" s="209" t="s">
        <v>535</v>
      </c>
      <c r="D670" s="226">
        <f>D671</f>
        <v>0</v>
      </c>
      <c r="E670" s="226">
        <f>E671</f>
        <v>487.5</v>
      </c>
      <c r="F670" s="228">
        <f t="shared" si="16"/>
        <v>487.5</v>
      </c>
    </row>
    <row r="671" spans="1:6" s="434" customFormat="1" x14ac:dyDescent="0.2">
      <c r="A671" s="202" t="s">
        <v>534</v>
      </c>
      <c r="B671" s="209" t="s">
        <v>1639</v>
      </c>
      <c r="C671" s="209" t="s">
        <v>529</v>
      </c>
      <c r="D671" s="226">
        <v>0</v>
      </c>
      <c r="E671" s="226">
        <f>'Функциональная 2020'!H1344</f>
        <v>487.5</v>
      </c>
      <c r="F671" s="228">
        <f t="shared" si="16"/>
        <v>487.5</v>
      </c>
    </row>
    <row r="672" spans="1:6" s="434" customFormat="1" x14ac:dyDescent="0.2">
      <c r="A672" s="202" t="s">
        <v>1634</v>
      </c>
      <c r="B672" s="209" t="s">
        <v>1635</v>
      </c>
      <c r="C672" s="209"/>
      <c r="D672" s="226">
        <f>D673</f>
        <v>0</v>
      </c>
      <c r="E672" s="226">
        <f>E673</f>
        <v>2475</v>
      </c>
      <c r="F672" s="228">
        <f t="shared" si="16"/>
        <v>2475</v>
      </c>
    </row>
    <row r="673" spans="1:6" s="434" customFormat="1" x14ac:dyDescent="0.2">
      <c r="A673" s="202" t="s">
        <v>1347</v>
      </c>
      <c r="B673" s="209" t="s">
        <v>1635</v>
      </c>
      <c r="C673" s="209" t="s">
        <v>535</v>
      </c>
      <c r="D673" s="226">
        <f>D674</f>
        <v>0</v>
      </c>
      <c r="E673" s="226">
        <f>E674</f>
        <v>2475</v>
      </c>
      <c r="F673" s="228">
        <f t="shared" si="16"/>
        <v>2475</v>
      </c>
    </row>
    <row r="674" spans="1:6" s="434" customFormat="1" x14ac:dyDescent="0.2">
      <c r="A674" s="202" t="s">
        <v>534</v>
      </c>
      <c r="B674" s="209" t="s">
        <v>1635</v>
      </c>
      <c r="C674" s="209" t="s">
        <v>529</v>
      </c>
      <c r="D674" s="226">
        <v>0</v>
      </c>
      <c r="E674" s="226">
        <f>'Функциональная 2020'!H711</f>
        <v>2475</v>
      </c>
      <c r="F674" s="228">
        <f t="shared" si="16"/>
        <v>2475</v>
      </c>
    </row>
    <row r="675" spans="1:6" s="434" customFormat="1" ht="11.25" customHeight="1" x14ac:dyDescent="0.2">
      <c r="A675" s="202" t="s">
        <v>1636</v>
      </c>
      <c r="B675" s="209" t="s">
        <v>1637</v>
      </c>
      <c r="C675" s="209"/>
      <c r="D675" s="226">
        <f>D676</f>
        <v>0</v>
      </c>
      <c r="E675" s="226">
        <f>E676</f>
        <v>1500</v>
      </c>
      <c r="F675" s="228">
        <f t="shared" si="16"/>
        <v>1500</v>
      </c>
    </row>
    <row r="676" spans="1:6" s="434" customFormat="1" x14ac:dyDescent="0.2">
      <c r="A676" s="202" t="s">
        <v>1347</v>
      </c>
      <c r="B676" s="209" t="s">
        <v>1637</v>
      </c>
      <c r="C676" s="209" t="s">
        <v>535</v>
      </c>
      <c r="D676" s="226">
        <f>D677</f>
        <v>0</v>
      </c>
      <c r="E676" s="226">
        <f>E677</f>
        <v>1500</v>
      </c>
      <c r="F676" s="228">
        <f t="shared" si="16"/>
        <v>1500</v>
      </c>
    </row>
    <row r="677" spans="1:6" s="434" customFormat="1" x14ac:dyDescent="0.2">
      <c r="A677" s="202" t="s">
        <v>534</v>
      </c>
      <c r="B677" s="209" t="s">
        <v>1637</v>
      </c>
      <c r="C677" s="209" t="s">
        <v>529</v>
      </c>
      <c r="D677" s="226">
        <v>0</v>
      </c>
      <c r="E677" s="226">
        <f>'Функциональная 2020'!H714</f>
        <v>1500</v>
      </c>
      <c r="F677" s="228">
        <f t="shared" si="16"/>
        <v>1500</v>
      </c>
    </row>
    <row r="678" spans="1:6" x14ac:dyDescent="0.2">
      <c r="A678" s="199" t="s">
        <v>586</v>
      </c>
      <c r="B678" s="212" t="s">
        <v>585</v>
      </c>
      <c r="C678" s="212"/>
      <c r="D678" s="205">
        <v>77433.700000000012</v>
      </c>
      <c r="E678" s="205">
        <f>E679</f>
        <v>77433.700000000012</v>
      </c>
      <c r="F678" s="206">
        <f t="shared" si="16"/>
        <v>0</v>
      </c>
    </row>
    <row r="679" spans="1:6" ht="33.75" x14ac:dyDescent="0.2">
      <c r="A679" s="199" t="s">
        <v>584</v>
      </c>
      <c r="B679" s="212" t="s">
        <v>583</v>
      </c>
      <c r="C679" s="212"/>
      <c r="D679" s="205">
        <v>77433.700000000012</v>
      </c>
      <c r="E679" s="205">
        <f>E680+E686+E707+E710+E713+E689+E692+E695+E698+E701+E704</f>
        <v>77433.700000000012</v>
      </c>
      <c r="F679" s="206">
        <f t="shared" si="16"/>
        <v>0</v>
      </c>
    </row>
    <row r="680" spans="1:6" x14ac:dyDescent="0.2">
      <c r="A680" s="202" t="s">
        <v>582</v>
      </c>
      <c r="B680" s="209" t="s">
        <v>581</v>
      </c>
      <c r="C680" s="209"/>
      <c r="D680" s="226">
        <v>6081.7999999999993</v>
      </c>
      <c r="E680" s="226">
        <f>E681+E683</f>
        <v>6081.7999999999993</v>
      </c>
      <c r="F680" s="228">
        <f t="shared" si="16"/>
        <v>0</v>
      </c>
    </row>
    <row r="681" spans="1:6" x14ac:dyDescent="0.2">
      <c r="A681" s="202" t="s">
        <v>1347</v>
      </c>
      <c r="B681" s="209" t="s">
        <v>581</v>
      </c>
      <c r="C681" s="209" t="s">
        <v>535</v>
      </c>
      <c r="D681" s="226">
        <v>1392.9</v>
      </c>
      <c r="E681" s="226">
        <f>E682</f>
        <v>1392.9</v>
      </c>
      <c r="F681" s="228">
        <f t="shared" si="16"/>
        <v>0</v>
      </c>
    </row>
    <row r="682" spans="1:6" x14ac:dyDescent="0.2">
      <c r="A682" s="202" t="s">
        <v>534</v>
      </c>
      <c r="B682" s="209" t="s">
        <v>581</v>
      </c>
      <c r="C682" s="209" t="s">
        <v>529</v>
      </c>
      <c r="D682" s="226">
        <v>1392.9</v>
      </c>
      <c r="E682" s="226">
        <f>'Функциональная 2020'!H1040</f>
        <v>1392.9</v>
      </c>
      <c r="F682" s="228">
        <f t="shared" si="16"/>
        <v>0</v>
      </c>
    </row>
    <row r="683" spans="1:6" x14ac:dyDescent="0.2">
      <c r="A683" s="202" t="s">
        <v>547</v>
      </c>
      <c r="B683" s="209" t="s">
        <v>581</v>
      </c>
      <c r="C683" s="209" t="s">
        <v>519</v>
      </c>
      <c r="D683" s="226">
        <v>4688.8999999999996</v>
      </c>
      <c r="E683" s="226">
        <f>E684+E685</f>
        <v>4688.8999999999996</v>
      </c>
      <c r="F683" s="228">
        <f t="shared" si="16"/>
        <v>0</v>
      </c>
    </row>
    <row r="684" spans="1:6" x14ac:dyDescent="0.2">
      <c r="A684" s="202" t="s">
        <v>571</v>
      </c>
      <c r="B684" s="209" t="s">
        <v>581</v>
      </c>
      <c r="C684" s="209" t="s">
        <v>522</v>
      </c>
      <c r="D684" s="226">
        <v>3859</v>
      </c>
      <c r="E684" s="226">
        <f>'Функциональная 2020'!H1042+'Функциональная 2020'!H348</f>
        <v>3956.7</v>
      </c>
      <c r="F684" s="228">
        <f t="shared" si="16"/>
        <v>97.699999999999818</v>
      </c>
    </row>
    <row r="685" spans="1:6" x14ac:dyDescent="0.2">
      <c r="A685" s="202" t="s">
        <v>546</v>
      </c>
      <c r="B685" s="209" t="s">
        <v>581</v>
      </c>
      <c r="C685" s="209" t="s">
        <v>544</v>
      </c>
      <c r="D685" s="226">
        <v>829.9</v>
      </c>
      <c r="E685" s="226">
        <f>'Функциональная 2020'!H349</f>
        <v>732.2</v>
      </c>
      <c r="F685" s="228">
        <f t="shared" si="16"/>
        <v>-97.699999999999932</v>
      </c>
    </row>
    <row r="686" spans="1:6" x14ac:dyDescent="0.2">
      <c r="A686" s="202" t="s">
        <v>1526</v>
      </c>
      <c r="B686" s="209" t="s">
        <v>1149</v>
      </c>
      <c r="C686" s="209"/>
      <c r="D686" s="226">
        <v>600.29999999999995</v>
      </c>
      <c r="E686" s="226">
        <f>E687</f>
        <v>600.29999999999995</v>
      </c>
      <c r="F686" s="228">
        <f t="shared" si="16"/>
        <v>0</v>
      </c>
    </row>
    <row r="687" spans="1:6" s="389" customFormat="1" x14ac:dyDescent="0.2">
      <c r="A687" s="202" t="s">
        <v>547</v>
      </c>
      <c r="B687" s="209" t="s">
        <v>1149</v>
      </c>
      <c r="C687" s="209">
        <v>600</v>
      </c>
      <c r="D687" s="226">
        <v>600.29999999999995</v>
      </c>
      <c r="E687" s="226">
        <f>E688</f>
        <v>600.29999999999995</v>
      </c>
      <c r="F687" s="228">
        <f t="shared" si="16"/>
        <v>0</v>
      </c>
    </row>
    <row r="688" spans="1:6" s="389" customFormat="1" x14ac:dyDescent="0.2">
      <c r="A688" s="202" t="s">
        <v>571</v>
      </c>
      <c r="B688" s="209" t="s">
        <v>1149</v>
      </c>
      <c r="C688" s="209">
        <v>610</v>
      </c>
      <c r="D688" s="226">
        <v>600.29999999999995</v>
      </c>
      <c r="E688" s="226">
        <f>'Функциональная 2020'!H352</f>
        <v>600.29999999999995</v>
      </c>
      <c r="F688" s="228">
        <f t="shared" si="16"/>
        <v>0</v>
      </c>
    </row>
    <row r="689" spans="1:6" s="384" customFormat="1" ht="22.5" x14ac:dyDescent="0.2">
      <c r="A689" s="202" t="s">
        <v>1508</v>
      </c>
      <c r="B689" s="209" t="s">
        <v>1509</v>
      </c>
      <c r="C689" s="209"/>
      <c r="D689" s="226">
        <v>137</v>
      </c>
      <c r="E689" s="226">
        <f>E690</f>
        <v>137</v>
      </c>
      <c r="F689" s="228">
        <f t="shared" si="16"/>
        <v>0</v>
      </c>
    </row>
    <row r="690" spans="1:6" s="384" customFormat="1" ht="22.5" x14ac:dyDescent="0.2">
      <c r="A690" s="202" t="s">
        <v>1348</v>
      </c>
      <c r="B690" s="209" t="s">
        <v>1509</v>
      </c>
      <c r="C690" s="209" t="s">
        <v>556</v>
      </c>
      <c r="D690" s="226">
        <v>137</v>
      </c>
      <c r="E690" s="226">
        <f>E691</f>
        <v>137</v>
      </c>
      <c r="F690" s="228">
        <f t="shared" si="16"/>
        <v>0</v>
      </c>
    </row>
    <row r="691" spans="1:6" s="384" customFormat="1" x14ac:dyDescent="0.2">
      <c r="A691" s="202" t="s">
        <v>555</v>
      </c>
      <c r="B691" s="209" t="s">
        <v>1509</v>
      </c>
      <c r="C691" s="209" t="s">
        <v>554</v>
      </c>
      <c r="D691" s="226">
        <v>137</v>
      </c>
      <c r="E691" s="226">
        <f>'Функциональная 2020'!H355</f>
        <v>137</v>
      </c>
      <c r="F691" s="228">
        <f t="shared" si="16"/>
        <v>0</v>
      </c>
    </row>
    <row r="692" spans="1:6" s="384" customFormat="1" x14ac:dyDescent="0.2">
      <c r="A692" s="202" t="s">
        <v>1510</v>
      </c>
      <c r="B692" s="209" t="s">
        <v>1511</v>
      </c>
      <c r="C692" s="209"/>
      <c r="D692" s="226">
        <v>49.2</v>
      </c>
      <c r="E692" s="226">
        <f>E693</f>
        <v>49.2</v>
      </c>
      <c r="F692" s="228">
        <f t="shared" si="16"/>
        <v>0</v>
      </c>
    </row>
    <row r="693" spans="1:6" s="384" customFormat="1" ht="22.5" x14ac:dyDescent="0.2">
      <c r="A693" s="202" t="s">
        <v>1348</v>
      </c>
      <c r="B693" s="209" t="s">
        <v>1511</v>
      </c>
      <c r="C693" s="209" t="s">
        <v>556</v>
      </c>
      <c r="D693" s="226">
        <v>49.2</v>
      </c>
      <c r="E693" s="226">
        <f>E694</f>
        <v>49.2</v>
      </c>
      <c r="F693" s="228">
        <f t="shared" si="16"/>
        <v>0</v>
      </c>
    </row>
    <row r="694" spans="1:6" s="384" customFormat="1" x14ac:dyDescent="0.2">
      <c r="A694" s="202" t="s">
        <v>555</v>
      </c>
      <c r="B694" s="209" t="s">
        <v>1511</v>
      </c>
      <c r="C694" s="209" t="s">
        <v>554</v>
      </c>
      <c r="D694" s="226">
        <v>49.2</v>
      </c>
      <c r="E694" s="226">
        <f>'Функциональная 2020'!H358</f>
        <v>49.2</v>
      </c>
      <c r="F694" s="228">
        <f t="shared" si="16"/>
        <v>0</v>
      </c>
    </row>
    <row r="695" spans="1:6" s="384" customFormat="1" x14ac:dyDescent="0.2">
      <c r="A695" s="202" t="s">
        <v>1512</v>
      </c>
      <c r="B695" s="209" t="s">
        <v>1513</v>
      </c>
      <c r="C695" s="209"/>
      <c r="D695" s="226">
        <v>176</v>
      </c>
      <c r="E695" s="226">
        <f>E696</f>
        <v>176</v>
      </c>
      <c r="F695" s="228">
        <f t="shared" si="16"/>
        <v>0</v>
      </c>
    </row>
    <row r="696" spans="1:6" s="384" customFormat="1" ht="22.5" x14ac:dyDescent="0.2">
      <c r="A696" s="202" t="s">
        <v>1348</v>
      </c>
      <c r="B696" s="209" t="s">
        <v>1513</v>
      </c>
      <c r="C696" s="209" t="s">
        <v>556</v>
      </c>
      <c r="D696" s="226">
        <v>176</v>
      </c>
      <c r="E696" s="226">
        <f>E697</f>
        <v>176</v>
      </c>
      <c r="F696" s="228">
        <f t="shared" si="16"/>
        <v>0</v>
      </c>
    </row>
    <row r="697" spans="1:6" s="384" customFormat="1" x14ac:dyDescent="0.2">
      <c r="A697" s="202" t="s">
        <v>555</v>
      </c>
      <c r="B697" s="209" t="s">
        <v>1513</v>
      </c>
      <c r="C697" s="209" t="s">
        <v>554</v>
      </c>
      <c r="D697" s="226">
        <v>176</v>
      </c>
      <c r="E697" s="226">
        <f>'Функциональная 2020'!H361</f>
        <v>176</v>
      </c>
      <c r="F697" s="228">
        <f t="shared" si="16"/>
        <v>0</v>
      </c>
    </row>
    <row r="698" spans="1:6" s="384" customFormat="1" ht="22.5" x14ac:dyDescent="0.2">
      <c r="A698" s="202" t="s">
        <v>1514</v>
      </c>
      <c r="B698" s="209" t="s">
        <v>1515</v>
      </c>
      <c r="C698" s="209"/>
      <c r="D698" s="226">
        <v>39.299999999999997</v>
      </c>
      <c r="E698" s="226">
        <f>E699</f>
        <v>39.299999999999997</v>
      </c>
      <c r="F698" s="228">
        <f t="shared" si="16"/>
        <v>0</v>
      </c>
    </row>
    <row r="699" spans="1:6" s="384" customFormat="1" ht="22.5" x14ac:dyDescent="0.2">
      <c r="A699" s="202" t="s">
        <v>1348</v>
      </c>
      <c r="B699" s="209" t="s">
        <v>1515</v>
      </c>
      <c r="C699" s="209" t="s">
        <v>556</v>
      </c>
      <c r="D699" s="226">
        <v>39.299999999999997</v>
      </c>
      <c r="E699" s="226">
        <f>E700</f>
        <v>39.299999999999997</v>
      </c>
      <c r="F699" s="228">
        <f t="shared" si="16"/>
        <v>0</v>
      </c>
    </row>
    <row r="700" spans="1:6" s="384" customFormat="1" x14ac:dyDescent="0.2">
      <c r="A700" s="202" t="s">
        <v>555</v>
      </c>
      <c r="B700" s="209" t="s">
        <v>1515</v>
      </c>
      <c r="C700" s="209" t="s">
        <v>554</v>
      </c>
      <c r="D700" s="226">
        <v>39.299999999999997</v>
      </c>
      <c r="E700" s="226">
        <f>'Функциональная 2020'!H364</f>
        <v>39.299999999999997</v>
      </c>
      <c r="F700" s="228">
        <f t="shared" si="16"/>
        <v>0</v>
      </c>
    </row>
    <row r="701" spans="1:6" s="384" customFormat="1" ht="22.5" x14ac:dyDescent="0.2">
      <c r="A701" s="202" t="s">
        <v>1516</v>
      </c>
      <c r="B701" s="209" t="s">
        <v>1517</v>
      </c>
      <c r="C701" s="209"/>
      <c r="D701" s="226">
        <v>29.3</v>
      </c>
      <c r="E701" s="226">
        <f>E702</f>
        <v>29.3</v>
      </c>
      <c r="F701" s="228">
        <f t="shared" si="16"/>
        <v>0</v>
      </c>
    </row>
    <row r="702" spans="1:6" s="384" customFormat="1" ht="22.5" x14ac:dyDescent="0.2">
      <c r="A702" s="202" t="s">
        <v>1348</v>
      </c>
      <c r="B702" s="209" t="s">
        <v>1517</v>
      </c>
      <c r="C702" s="209" t="s">
        <v>556</v>
      </c>
      <c r="D702" s="226">
        <v>29.3</v>
      </c>
      <c r="E702" s="226">
        <f>E703</f>
        <v>29.3</v>
      </c>
      <c r="F702" s="228">
        <f t="shared" si="16"/>
        <v>0</v>
      </c>
    </row>
    <row r="703" spans="1:6" s="384" customFormat="1" x14ac:dyDescent="0.2">
      <c r="A703" s="202" t="s">
        <v>555</v>
      </c>
      <c r="B703" s="209" t="s">
        <v>1517</v>
      </c>
      <c r="C703" s="209" t="s">
        <v>554</v>
      </c>
      <c r="D703" s="226">
        <v>29.3</v>
      </c>
      <c r="E703" s="226">
        <f>'Функциональная 2020'!H367</f>
        <v>29.3</v>
      </c>
      <c r="F703" s="228">
        <f t="shared" si="16"/>
        <v>0</v>
      </c>
    </row>
    <row r="704" spans="1:6" s="384" customFormat="1" x14ac:dyDescent="0.2">
      <c r="A704" s="202" t="s">
        <v>1518</v>
      </c>
      <c r="B704" s="209" t="s">
        <v>1519</v>
      </c>
      <c r="C704" s="209"/>
      <c r="D704" s="226">
        <v>19.5</v>
      </c>
      <c r="E704" s="226">
        <f>E705</f>
        <v>19.5</v>
      </c>
      <c r="F704" s="228">
        <f t="shared" si="16"/>
        <v>0</v>
      </c>
    </row>
    <row r="705" spans="1:6" s="384" customFormat="1" x14ac:dyDescent="0.2">
      <c r="A705" s="202" t="s">
        <v>547</v>
      </c>
      <c r="B705" s="209" t="s">
        <v>1519</v>
      </c>
      <c r="C705" s="209" t="s">
        <v>519</v>
      </c>
      <c r="D705" s="226">
        <v>19.5</v>
      </c>
      <c r="E705" s="226">
        <f>E706</f>
        <v>19.5</v>
      </c>
      <c r="F705" s="228">
        <f t="shared" si="16"/>
        <v>0</v>
      </c>
    </row>
    <row r="706" spans="1:6" s="384" customFormat="1" x14ac:dyDescent="0.2">
      <c r="A706" s="202" t="s">
        <v>571</v>
      </c>
      <c r="B706" s="209" t="s">
        <v>1519</v>
      </c>
      <c r="C706" s="209" t="s">
        <v>522</v>
      </c>
      <c r="D706" s="226">
        <v>19.5</v>
      </c>
      <c r="E706" s="226">
        <f>'Функциональная 2020'!H370</f>
        <v>19.5</v>
      </c>
      <c r="F706" s="228">
        <f t="shared" si="16"/>
        <v>0</v>
      </c>
    </row>
    <row r="707" spans="1:6" x14ac:dyDescent="0.2">
      <c r="A707" s="202" t="s">
        <v>1148</v>
      </c>
      <c r="B707" s="209" t="s">
        <v>1147</v>
      </c>
      <c r="C707" s="209"/>
      <c r="D707" s="226">
        <v>146.5</v>
      </c>
      <c r="E707" s="226">
        <f>E708</f>
        <v>146.5</v>
      </c>
      <c r="F707" s="228">
        <f t="shared" si="16"/>
        <v>0</v>
      </c>
    </row>
    <row r="708" spans="1:6" x14ac:dyDescent="0.2">
      <c r="A708" s="202" t="s">
        <v>547</v>
      </c>
      <c r="B708" s="209" t="s">
        <v>1147</v>
      </c>
      <c r="C708" s="209" t="s">
        <v>519</v>
      </c>
      <c r="D708" s="226">
        <v>146.5</v>
      </c>
      <c r="E708" s="226">
        <f>E709</f>
        <v>146.5</v>
      </c>
      <c r="F708" s="228">
        <f t="shared" si="16"/>
        <v>0</v>
      </c>
    </row>
    <row r="709" spans="1:6" x14ac:dyDescent="0.2">
      <c r="A709" s="202" t="s">
        <v>571</v>
      </c>
      <c r="B709" s="209" t="s">
        <v>1147</v>
      </c>
      <c r="C709" s="209" t="s">
        <v>522</v>
      </c>
      <c r="D709" s="226">
        <v>146.5</v>
      </c>
      <c r="E709" s="226">
        <f>'Функциональная 2020'!H373</f>
        <v>146.5</v>
      </c>
      <c r="F709" s="228">
        <f t="shared" si="16"/>
        <v>0</v>
      </c>
    </row>
    <row r="710" spans="1:6" ht="22.5" x14ac:dyDescent="0.2">
      <c r="A710" s="202" t="s">
        <v>887</v>
      </c>
      <c r="B710" s="209" t="s">
        <v>886</v>
      </c>
      <c r="C710" s="209"/>
      <c r="D710" s="226">
        <v>950</v>
      </c>
      <c r="E710" s="226">
        <f>E711</f>
        <v>950</v>
      </c>
      <c r="F710" s="228">
        <f t="shared" si="16"/>
        <v>0</v>
      </c>
    </row>
    <row r="711" spans="1:6" x14ac:dyDescent="0.2">
      <c r="A711" s="202" t="s">
        <v>1347</v>
      </c>
      <c r="B711" s="209" t="s">
        <v>886</v>
      </c>
      <c r="C711" s="209" t="s">
        <v>535</v>
      </c>
      <c r="D711" s="226">
        <v>950</v>
      </c>
      <c r="E711" s="226">
        <f>E712</f>
        <v>950</v>
      </c>
      <c r="F711" s="228">
        <f t="shared" ref="F711:F776" si="17">E711-D711</f>
        <v>0</v>
      </c>
    </row>
    <row r="712" spans="1:6" x14ac:dyDescent="0.2">
      <c r="A712" s="202" t="s">
        <v>534</v>
      </c>
      <c r="B712" s="209" t="s">
        <v>886</v>
      </c>
      <c r="C712" s="209" t="s">
        <v>529</v>
      </c>
      <c r="D712" s="226">
        <v>950</v>
      </c>
      <c r="E712" s="226">
        <f>'Функциональная 2020'!H1045</f>
        <v>950</v>
      </c>
      <c r="F712" s="228">
        <f t="shared" si="17"/>
        <v>0</v>
      </c>
    </row>
    <row r="713" spans="1:6" x14ac:dyDescent="0.2">
      <c r="A713" s="202" t="s">
        <v>611</v>
      </c>
      <c r="B713" s="209" t="s">
        <v>608</v>
      </c>
      <c r="C713" s="209"/>
      <c r="D713" s="226">
        <v>69204.800000000003</v>
      </c>
      <c r="E713" s="226">
        <f>E714</f>
        <v>69204.800000000003</v>
      </c>
      <c r="F713" s="228">
        <f t="shared" si="17"/>
        <v>0</v>
      </c>
    </row>
    <row r="714" spans="1:6" x14ac:dyDescent="0.2">
      <c r="A714" s="202" t="s">
        <v>547</v>
      </c>
      <c r="B714" s="209" t="s">
        <v>608</v>
      </c>
      <c r="C714" s="209" t="s">
        <v>519</v>
      </c>
      <c r="D714" s="226">
        <v>69204.800000000003</v>
      </c>
      <c r="E714" s="226">
        <f>E715+E716</f>
        <v>69204.800000000003</v>
      </c>
      <c r="F714" s="228">
        <f t="shared" si="17"/>
        <v>0</v>
      </c>
    </row>
    <row r="715" spans="1:6" x14ac:dyDescent="0.2">
      <c r="A715" s="202" t="s">
        <v>571</v>
      </c>
      <c r="B715" s="209" t="s">
        <v>608</v>
      </c>
      <c r="C715" s="209" t="s">
        <v>522</v>
      </c>
      <c r="D715" s="226">
        <v>63085.600000000006</v>
      </c>
      <c r="E715" s="226">
        <f>'Функциональная 2020'!H1048</f>
        <v>63085.600000000006</v>
      </c>
      <c r="F715" s="228">
        <f t="shared" si="17"/>
        <v>0</v>
      </c>
    </row>
    <row r="716" spans="1:6" x14ac:dyDescent="0.2">
      <c r="A716" s="202" t="s">
        <v>546</v>
      </c>
      <c r="B716" s="209" t="s">
        <v>608</v>
      </c>
      <c r="C716" s="209" t="s">
        <v>544</v>
      </c>
      <c r="D716" s="226">
        <v>6119.2000000000007</v>
      </c>
      <c r="E716" s="226">
        <f>'Функциональная 2020'!H1049</f>
        <v>6119.2000000000007</v>
      </c>
      <c r="F716" s="228">
        <f t="shared" si="17"/>
        <v>0</v>
      </c>
    </row>
    <row r="717" spans="1:6" x14ac:dyDescent="0.2">
      <c r="A717" s="199" t="s">
        <v>602</v>
      </c>
      <c r="B717" s="212" t="s">
        <v>1211</v>
      </c>
      <c r="C717" s="212"/>
      <c r="D717" s="205">
        <v>1726</v>
      </c>
      <c r="E717" s="205">
        <f>E718+E722</f>
        <v>1726</v>
      </c>
      <c r="F717" s="206">
        <f t="shared" si="17"/>
        <v>0</v>
      </c>
    </row>
    <row r="718" spans="1:6" ht="22.5" x14ac:dyDescent="0.2">
      <c r="A718" s="199" t="s">
        <v>1210</v>
      </c>
      <c r="B718" s="212" t="s">
        <v>1209</v>
      </c>
      <c r="C718" s="212"/>
      <c r="D718" s="205">
        <v>6</v>
      </c>
      <c r="E718" s="205">
        <f>E719</f>
        <v>6</v>
      </c>
      <c r="F718" s="206">
        <f t="shared" si="17"/>
        <v>0</v>
      </c>
    </row>
    <row r="719" spans="1:6" ht="22.5" x14ac:dyDescent="0.2">
      <c r="A719" s="202" t="s">
        <v>1208</v>
      </c>
      <c r="B719" s="209" t="s">
        <v>1207</v>
      </c>
      <c r="C719" s="209"/>
      <c r="D719" s="226">
        <v>6</v>
      </c>
      <c r="E719" s="226">
        <f>E720</f>
        <v>6</v>
      </c>
      <c r="F719" s="228">
        <f t="shared" si="17"/>
        <v>0</v>
      </c>
    </row>
    <row r="720" spans="1:6" x14ac:dyDescent="0.2">
      <c r="A720" s="202" t="s">
        <v>1347</v>
      </c>
      <c r="B720" s="209" t="s">
        <v>1207</v>
      </c>
      <c r="C720" s="209" t="s">
        <v>535</v>
      </c>
      <c r="D720" s="226">
        <v>6</v>
      </c>
      <c r="E720" s="226">
        <f>E721</f>
        <v>6</v>
      </c>
      <c r="F720" s="228">
        <f t="shared" si="17"/>
        <v>0</v>
      </c>
    </row>
    <row r="721" spans="1:6" x14ac:dyDescent="0.2">
      <c r="A721" s="202" t="s">
        <v>534</v>
      </c>
      <c r="B721" s="209" t="s">
        <v>1207</v>
      </c>
      <c r="C721" s="209" t="s">
        <v>529</v>
      </c>
      <c r="D721" s="226">
        <v>6</v>
      </c>
      <c r="E721" s="226">
        <f>'Функциональная 2020'!H203</f>
        <v>6</v>
      </c>
      <c r="F721" s="228">
        <f t="shared" si="17"/>
        <v>0</v>
      </c>
    </row>
    <row r="722" spans="1:6" x14ac:dyDescent="0.2">
      <c r="A722" s="199" t="s">
        <v>1223</v>
      </c>
      <c r="B722" s="212" t="s">
        <v>1222</v>
      </c>
      <c r="C722" s="212"/>
      <c r="D722" s="205">
        <v>1720</v>
      </c>
      <c r="E722" s="205">
        <f>E723</f>
        <v>1720</v>
      </c>
      <c r="F722" s="206">
        <f t="shared" si="17"/>
        <v>0</v>
      </c>
    </row>
    <row r="723" spans="1:6" x14ac:dyDescent="0.2">
      <c r="A723" s="202" t="s">
        <v>1221</v>
      </c>
      <c r="B723" s="209" t="s">
        <v>1220</v>
      </c>
      <c r="C723" s="209"/>
      <c r="D723" s="226">
        <v>1720</v>
      </c>
      <c r="E723" s="226">
        <f>E724</f>
        <v>1720</v>
      </c>
      <c r="F723" s="228">
        <f t="shared" si="17"/>
        <v>0</v>
      </c>
    </row>
    <row r="724" spans="1:6" x14ac:dyDescent="0.2">
      <c r="A724" s="202" t="s">
        <v>1347</v>
      </c>
      <c r="B724" s="209" t="s">
        <v>1220</v>
      </c>
      <c r="C724" s="209" t="s">
        <v>535</v>
      </c>
      <c r="D724" s="226">
        <v>1720</v>
      </c>
      <c r="E724" s="226">
        <f>E725</f>
        <v>1720</v>
      </c>
      <c r="F724" s="228">
        <f t="shared" si="17"/>
        <v>0</v>
      </c>
    </row>
    <row r="725" spans="1:6" x14ac:dyDescent="0.2">
      <c r="A725" s="202" t="s">
        <v>534</v>
      </c>
      <c r="B725" s="209" t="s">
        <v>1220</v>
      </c>
      <c r="C725" s="209" t="s">
        <v>529</v>
      </c>
      <c r="D725" s="226">
        <v>1720</v>
      </c>
      <c r="E725" s="226">
        <f>'Функциональная 2020'!H207</f>
        <v>1720</v>
      </c>
      <c r="F725" s="228">
        <f t="shared" si="17"/>
        <v>0</v>
      </c>
    </row>
    <row r="726" spans="1:6" x14ac:dyDescent="0.2">
      <c r="A726" s="199" t="s">
        <v>1056</v>
      </c>
      <c r="B726" s="212" t="s">
        <v>1055</v>
      </c>
      <c r="C726" s="212"/>
      <c r="D726" s="205">
        <v>438.9</v>
      </c>
      <c r="E726" s="205">
        <f>E727</f>
        <v>438.9</v>
      </c>
      <c r="F726" s="206">
        <f t="shared" si="17"/>
        <v>0</v>
      </c>
    </row>
    <row r="727" spans="1:6" x14ac:dyDescent="0.2">
      <c r="A727" s="199" t="s">
        <v>1054</v>
      </c>
      <c r="B727" s="212" t="s">
        <v>1053</v>
      </c>
      <c r="C727" s="212"/>
      <c r="D727" s="205">
        <v>438.9</v>
      </c>
      <c r="E727" s="205">
        <f>E728</f>
        <v>438.9</v>
      </c>
      <c r="F727" s="206">
        <f t="shared" si="17"/>
        <v>0</v>
      </c>
    </row>
    <row r="728" spans="1:6" x14ac:dyDescent="0.2">
      <c r="A728" s="202" t="s">
        <v>1052</v>
      </c>
      <c r="B728" s="209" t="s">
        <v>1051</v>
      </c>
      <c r="C728" s="209"/>
      <c r="D728" s="226">
        <v>438.9</v>
      </c>
      <c r="E728" s="226">
        <f>E729</f>
        <v>438.9</v>
      </c>
      <c r="F728" s="228">
        <f t="shared" si="17"/>
        <v>0</v>
      </c>
    </row>
    <row r="729" spans="1:6" x14ac:dyDescent="0.2">
      <c r="A729" s="202" t="s">
        <v>1347</v>
      </c>
      <c r="B729" s="209" t="s">
        <v>1051</v>
      </c>
      <c r="C729" s="209" t="s">
        <v>535</v>
      </c>
      <c r="D729" s="226">
        <v>438.9</v>
      </c>
      <c r="E729" s="226">
        <f>E730</f>
        <v>438.9</v>
      </c>
      <c r="F729" s="228">
        <f t="shared" si="17"/>
        <v>0</v>
      </c>
    </row>
    <row r="730" spans="1:6" x14ac:dyDescent="0.2">
      <c r="A730" s="202" t="s">
        <v>534</v>
      </c>
      <c r="B730" s="209" t="s">
        <v>1051</v>
      </c>
      <c r="C730" s="209" t="s">
        <v>529</v>
      </c>
      <c r="D730" s="226">
        <v>438.9</v>
      </c>
      <c r="E730" s="226">
        <f>'Функциональная 2020'!H571</f>
        <v>438.9</v>
      </c>
      <c r="F730" s="228">
        <f t="shared" si="17"/>
        <v>0</v>
      </c>
    </row>
    <row r="731" spans="1:6" x14ac:dyDescent="0.2">
      <c r="A731" s="199" t="s">
        <v>1117</v>
      </c>
      <c r="B731" s="212" t="s">
        <v>1116</v>
      </c>
      <c r="C731" s="212"/>
      <c r="D731" s="205">
        <v>671129.89999999991</v>
      </c>
      <c r="E731" s="205">
        <f>E732+E743</f>
        <v>666500.80000000005</v>
      </c>
      <c r="F731" s="206">
        <f t="shared" si="17"/>
        <v>-4629.0999999998603</v>
      </c>
    </row>
    <row r="732" spans="1:6" x14ac:dyDescent="0.2">
      <c r="A732" s="199" t="s">
        <v>1130</v>
      </c>
      <c r="B732" s="212" t="s">
        <v>1129</v>
      </c>
      <c r="C732" s="212"/>
      <c r="D732" s="205">
        <v>48620</v>
      </c>
      <c r="E732" s="205">
        <f>E733</f>
        <v>44856.3</v>
      </c>
      <c r="F732" s="206">
        <f t="shared" si="17"/>
        <v>-3763.6999999999971</v>
      </c>
    </row>
    <row r="733" spans="1:6" ht="33.75" x14ac:dyDescent="0.2">
      <c r="A733" s="199" t="s">
        <v>1128</v>
      </c>
      <c r="B733" s="212" t="s">
        <v>1127</v>
      </c>
      <c r="C733" s="212"/>
      <c r="D733" s="205">
        <v>48620</v>
      </c>
      <c r="E733" s="205">
        <f>E734+E737+E740</f>
        <v>44856.3</v>
      </c>
      <c r="F733" s="206">
        <f t="shared" si="17"/>
        <v>-3763.6999999999971</v>
      </c>
    </row>
    <row r="734" spans="1:6" ht="22.5" x14ac:dyDescent="0.2">
      <c r="A734" s="202" t="s">
        <v>1126</v>
      </c>
      <c r="B734" s="209" t="s">
        <v>1125</v>
      </c>
      <c r="C734" s="209"/>
      <c r="D734" s="226">
        <v>6000</v>
      </c>
      <c r="E734" s="226">
        <f>E735</f>
        <v>5653.4</v>
      </c>
      <c r="F734" s="228">
        <f t="shared" si="17"/>
        <v>-346.60000000000036</v>
      </c>
    </row>
    <row r="735" spans="1:6" x14ac:dyDescent="0.2">
      <c r="A735" s="202" t="s">
        <v>1347</v>
      </c>
      <c r="B735" s="209" t="s">
        <v>1125</v>
      </c>
      <c r="C735" s="209" t="s">
        <v>535</v>
      </c>
      <c r="D735" s="226">
        <v>6000</v>
      </c>
      <c r="E735" s="226">
        <f>E736</f>
        <v>5653.4</v>
      </c>
      <c r="F735" s="228">
        <f t="shared" si="17"/>
        <v>-346.60000000000036</v>
      </c>
    </row>
    <row r="736" spans="1:6" x14ac:dyDescent="0.2">
      <c r="A736" s="202" t="s">
        <v>534</v>
      </c>
      <c r="B736" s="209" t="s">
        <v>1125</v>
      </c>
      <c r="C736" s="209" t="s">
        <v>529</v>
      </c>
      <c r="D736" s="226">
        <v>6000</v>
      </c>
      <c r="E736" s="226">
        <f>'Функциональная 2020'!H395</f>
        <v>5653.4</v>
      </c>
      <c r="F736" s="228">
        <f t="shared" si="17"/>
        <v>-346.60000000000036</v>
      </c>
    </row>
    <row r="737" spans="1:6" ht="22.5" x14ac:dyDescent="0.2">
      <c r="A737" s="202" t="s">
        <v>1124</v>
      </c>
      <c r="B737" s="209" t="s">
        <v>1123</v>
      </c>
      <c r="C737" s="209"/>
      <c r="D737" s="226">
        <v>3600</v>
      </c>
      <c r="E737" s="226">
        <f>E738</f>
        <v>182.90000000000009</v>
      </c>
      <c r="F737" s="228">
        <f t="shared" si="17"/>
        <v>-3417.1</v>
      </c>
    </row>
    <row r="738" spans="1:6" x14ac:dyDescent="0.2">
      <c r="A738" s="202" t="s">
        <v>1347</v>
      </c>
      <c r="B738" s="209" t="s">
        <v>1123</v>
      </c>
      <c r="C738" s="209" t="s">
        <v>535</v>
      </c>
      <c r="D738" s="226">
        <v>3600</v>
      </c>
      <c r="E738" s="226">
        <f>E739</f>
        <v>182.90000000000009</v>
      </c>
      <c r="F738" s="228">
        <f t="shared" si="17"/>
        <v>-3417.1</v>
      </c>
    </row>
    <row r="739" spans="1:6" x14ac:dyDescent="0.2">
      <c r="A739" s="202" t="s">
        <v>534</v>
      </c>
      <c r="B739" s="209" t="s">
        <v>1123</v>
      </c>
      <c r="C739" s="209" t="s">
        <v>529</v>
      </c>
      <c r="D739" s="226">
        <v>3600</v>
      </c>
      <c r="E739" s="226">
        <f>'Функциональная 2020'!H398</f>
        <v>182.90000000000009</v>
      </c>
      <c r="F739" s="228">
        <f t="shared" si="17"/>
        <v>-3417.1</v>
      </c>
    </row>
    <row r="740" spans="1:6" ht="22.5" x14ac:dyDescent="0.2">
      <c r="A740" s="202" t="s">
        <v>1122</v>
      </c>
      <c r="B740" s="209" t="s">
        <v>1121</v>
      </c>
      <c r="C740" s="209"/>
      <c r="D740" s="226">
        <v>39020</v>
      </c>
      <c r="E740" s="226">
        <f>E741</f>
        <v>39020</v>
      </c>
      <c r="F740" s="228">
        <f t="shared" si="17"/>
        <v>0</v>
      </c>
    </row>
    <row r="741" spans="1:6" x14ac:dyDescent="0.2">
      <c r="A741" s="202" t="s">
        <v>1347</v>
      </c>
      <c r="B741" s="209" t="s">
        <v>1121</v>
      </c>
      <c r="C741" s="209" t="s">
        <v>535</v>
      </c>
      <c r="D741" s="226">
        <v>39020</v>
      </c>
      <c r="E741" s="226">
        <f>E742</f>
        <v>39020</v>
      </c>
      <c r="F741" s="228">
        <f t="shared" si="17"/>
        <v>0</v>
      </c>
    </row>
    <row r="742" spans="1:6" x14ac:dyDescent="0.2">
      <c r="A742" s="202" t="s">
        <v>534</v>
      </c>
      <c r="B742" s="209" t="s">
        <v>1121</v>
      </c>
      <c r="C742" s="209" t="s">
        <v>529</v>
      </c>
      <c r="D742" s="226">
        <v>39020</v>
      </c>
      <c r="E742" s="226">
        <f>'Функциональная 2020'!H401</f>
        <v>39020</v>
      </c>
      <c r="F742" s="228">
        <f t="shared" si="17"/>
        <v>0</v>
      </c>
    </row>
    <row r="743" spans="1:6" x14ac:dyDescent="0.2">
      <c r="A743" s="199" t="s">
        <v>1115</v>
      </c>
      <c r="B743" s="212" t="s">
        <v>1114</v>
      </c>
      <c r="C743" s="212"/>
      <c r="D743" s="205">
        <v>622509.89999999991</v>
      </c>
      <c r="E743" s="205">
        <f>E744</f>
        <v>621644.5</v>
      </c>
      <c r="F743" s="206">
        <f t="shared" si="17"/>
        <v>-865.39999999990687</v>
      </c>
    </row>
    <row r="744" spans="1:6" ht="22.5" x14ac:dyDescent="0.2">
      <c r="A744" s="199" t="s">
        <v>1113</v>
      </c>
      <c r="B744" s="212" t="s">
        <v>1112</v>
      </c>
      <c r="C744" s="212"/>
      <c r="D744" s="205">
        <v>622509.89999999991</v>
      </c>
      <c r="E744" s="205">
        <f>E745+E748+E751+E758+E761+E764+E773+E776+E783+E786+E789+E792+E795+E798+E810+E813+E816+E807+E801+E804</f>
        <v>621644.5</v>
      </c>
      <c r="F744" s="206">
        <f t="shared" si="17"/>
        <v>-865.39999999990687</v>
      </c>
    </row>
    <row r="745" spans="1:6" ht="22.5" x14ac:dyDescent="0.2">
      <c r="A745" s="202" t="s">
        <v>1111</v>
      </c>
      <c r="B745" s="209" t="s">
        <v>1110</v>
      </c>
      <c r="C745" s="209"/>
      <c r="D745" s="226">
        <v>12021.800000000001</v>
      </c>
      <c r="E745" s="226">
        <f>E746</f>
        <v>12021.800000000001</v>
      </c>
      <c r="F745" s="228">
        <f t="shared" si="17"/>
        <v>0</v>
      </c>
    </row>
    <row r="746" spans="1:6" x14ac:dyDescent="0.2">
      <c r="A746" s="202" t="s">
        <v>1347</v>
      </c>
      <c r="B746" s="209" t="s">
        <v>1110</v>
      </c>
      <c r="C746" s="209" t="s">
        <v>535</v>
      </c>
      <c r="D746" s="226">
        <v>12021.800000000001</v>
      </c>
      <c r="E746" s="226">
        <f>E747</f>
        <v>12021.800000000001</v>
      </c>
      <c r="F746" s="228">
        <f t="shared" si="17"/>
        <v>0</v>
      </c>
    </row>
    <row r="747" spans="1:6" x14ac:dyDescent="0.2">
      <c r="A747" s="202" t="s">
        <v>534</v>
      </c>
      <c r="B747" s="209" t="s">
        <v>1110</v>
      </c>
      <c r="C747" s="209" t="s">
        <v>529</v>
      </c>
      <c r="D747" s="226">
        <v>12021.800000000001</v>
      </c>
      <c r="E747" s="226">
        <f>'Функциональная 2020'!H417</f>
        <v>12021.800000000001</v>
      </c>
      <c r="F747" s="228">
        <f t="shared" si="17"/>
        <v>0</v>
      </c>
    </row>
    <row r="748" spans="1:6" ht="22.5" x14ac:dyDescent="0.2">
      <c r="A748" s="202" t="s">
        <v>1099</v>
      </c>
      <c r="B748" s="209" t="s">
        <v>1109</v>
      </c>
      <c r="C748" s="209"/>
      <c r="D748" s="226">
        <v>4791.8</v>
      </c>
      <c r="E748" s="226">
        <f>E749</f>
        <v>5791.8</v>
      </c>
      <c r="F748" s="228">
        <f t="shared" si="17"/>
        <v>1000</v>
      </c>
    </row>
    <row r="749" spans="1:6" x14ac:dyDescent="0.2">
      <c r="A749" s="202" t="s">
        <v>1347</v>
      </c>
      <c r="B749" s="209" t="s">
        <v>1109</v>
      </c>
      <c r="C749" s="209" t="s">
        <v>535</v>
      </c>
      <c r="D749" s="226">
        <v>4791.8</v>
      </c>
      <c r="E749" s="226">
        <f>E750</f>
        <v>5791.8</v>
      </c>
      <c r="F749" s="228">
        <f t="shared" si="17"/>
        <v>1000</v>
      </c>
    </row>
    <row r="750" spans="1:6" x14ac:dyDescent="0.2">
      <c r="A750" s="202" t="s">
        <v>534</v>
      </c>
      <c r="B750" s="209" t="s">
        <v>1109</v>
      </c>
      <c r="C750" s="209" t="s">
        <v>529</v>
      </c>
      <c r="D750" s="226">
        <v>4791.8</v>
      </c>
      <c r="E750" s="226">
        <f>'Функциональная 2020'!H420</f>
        <v>5791.8</v>
      </c>
      <c r="F750" s="228">
        <f t="shared" si="17"/>
        <v>1000</v>
      </c>
    </row>
    <row r="751" spans="1:6" ht="22.5" x14ac:dyDescent="0.2">
      <c r="A751" s="202" t="s">
        <v>1108</v>
      </c>
      <c r="B751" s="209" t="s">
        <v>1107</v>
      </c>
      <c r="C751" s="209"/>
      <c r="D751" s="226">
        <v>35282.700000000004</v>
      </c>
      <c r="E751" s="226">
        <f>E752+E754+E756</f>
        <v>35987</v>
      </c>
      <c r="F751" s="228">
        <f t="shared" si="17"/>
        <v>704.29999999999563</v>
      </c>
    </row>
    <row r="752" spans="1:6" ht="22.5" x14ac:dyDescent="0.2">
      <c r="A752" s="202" t="s">
        <v>1348</v>
      </c>
      <c r="B752" s="209" t="s">
        <v>1107</v>
      </c>
      <c r="C752" s="209" t="s">
        <v>556</v>
      </c>
      <c r="D752" s="226">
        <v>26407.5</v>
      </c>
      <c r="E752" s="226">
        <f>E753</f>
        <v>26407.5</v>
      </c>
      <c r="F752" s="228">
        <f t="shared" si="17"/>
        <v>0</v>
      </c>
    </row>
    <row r="753" spans="1:6" x14ac:dyDescent="0.2">
      <c r="A753" s="202" t="s">
        <v>555</v>
      </c>
      <c r="B753" s="209" t="s">
        <v>1107</v>
      </c>
      <c r="C753" s="209" t="s">
        <v>554</v>
      </c>
      <c r="D753" s="226">
        <v>26407.5</v>
      </c>
      <c r="E753" s="226">
        <f>'Функциональная 2020'!H423</f>
        <v>26407.5</v>
      </c>
      <c r="F753" s="228">
        <f t="shared" si="17"/>
        <v>0</v>
      </c>
    </row>
    <row r="754" spans="1:6" x14ac:dyDescent="0.2">
      <c r="A754" s="202" t="s">
        <v>1347</v>
      </c>
      <c r="B754" s="209" t="s">
        <v>1107</v>
      </c>
      <c r="C754" s="209" t="s">
        <v>535</v>
      </c>
      <c r="D754" s="226">
        <v>7068.9</v>
      </c>
      <c r="E754" s="226">
        <f>E755</f>
        <v>7468.9</v>
      </c>
      <c r="F754" s="228">
        <f t="shared" si="17"/>
        <v>400</v>
      </c>
    </row>
    <row r="755" spans="1:6" x14ac:dyDescent="0.2">
      <c r="A755" s="202" t="s">
        <v>534</v>
      </c>
      <c r="B755" s="209" t="s">
        <v>1107</v>
      </c>
      <c r="C755" s="209" t="s">
        <v>529</v>
      </c>
      <c r="D755" s="226">
        <v>7068.9</v>
      </c>
      <c r="E755" s="226">
        <f>'Функциональная 2020'!H425</f>
        <v>7468.9</v>
      </c>
      <c r="F755" s="228">
        <f t="shared" si="17"/>
        <v>400</v>
      </c>
    </row>
    <row r="756" spans="1:6" x14ac:dyDescent="0.2">
      <c r="A756" s="202" t="s">
        <v>615</v>
      </c>
      <c r="B756" s="209" t="s">
        <v>1107</v>
      </c>
      <c r="C756" s="209" t="s">
        <v>509</v>
      </c>
      <c r="D756" s="226">
        <v>1806.3</v>
      </c>
      <c r="E756" s="226">
        <f>E757</f>
        <v>2110.6</v>
      </c>
      <c r="F756" s="228">
        <f t="shared" si="17"/>
        <v>304.29999999999995</v>
      </c>
    </row>
    <row r="757" spans="1:6" x14ac:dyDescent="0.2">
      <c r="A757" s="202" t="s">
        <v>614</v>
      </c>
      <c r="B757" s="209" t="s">
        <v>1107</v>
      </c>
      <c r="C757" s="209" t="s">
        <v>613</v>
      </c>
      <c r="D757" s="226">
        <v>1806.3</v>
      </c>
      <c r="E757" s="226">
        <f>'Функциональная 2020'!H427</f>
        <v>2110.6</v>
      </c>
      <c r="F757" s="228">
        <f t="shared" si="17"/>
        <v>304.29999999999995</v>
      </c>
    </row>
    <row r="758" spans="1:6" ht="22.5" x14ac:dyDescent="0.2">
      <c r="A758" s="202" t="s">
        <v>1106</v>
      </c>
      <c r="B758" s="209" t="s">
        <v>1105</v>
      </c>
      <c r="C758" s="209"/>
      <c r="D758" s="226">
        <v>2750</v>
      </c>
      <c r="E758" s="226">
        <f>E759</f>
        <v>2750</v>
      </c>
      <c r="F758" s="228">
        <f t="shared" si="17"/>
        <v>0</v>
      </c>
    </row>
    <row r="759" spans="1:6" x14ac:dyDescent="0.2">
      <c r="A759" s="202" t="s">
        <v>547</v>
      </c>
      <c r="B759" s="209" t="s">
        <v>1105</v>
      </c>
      <c r="C759" s="209" t="s">
        <v>519</v>
      </c>
      <c r="D759" s="226">
        <v>2750</v>
      </c>
      <c r="E759" s="226">
        <f>E760</f>
        <v>2750</v>
      </c>
      <c r="F759" s="228">
        <f t="shared" si="17"/>
        <v>0</v>
      </c>
    </row>
    <row r="760" spans="1:6" x14ac:dyDescent="0.2">
      <c r="A760" s="202" t="s">
        <v>571</v>
      </c>
      <c r="B760" s="209" t="s">
        <v>1105</v>
      </c>
      <c r="C760" s="209" t="s">
        <v>522</v>
      </c>
      <c r="D760" s="226">
        <v>2750</v>
      </c>
      <c r="E760" s="226">
        <f>'Функциональная 2020'!H430</f>
        <v>2750</v>
      </c>
      <c r="F760" s="228">
        <f t="shared" si="17"/>
        <v>0</v>
      </c>
    </row>
    <row r="761" spans="1:6" ht="22.5" x14ac:dyDescent="0.2">
      <c r="A761" s="202" t="s">
        <v>1104</v>
      </c>
      <c r="B761" s="209" t="s">
        <v>1103</v>
      </c>
      <c r="C761" s="209"/>
      <c r="D761" s="226">
        <v>253725</v>
      </c>
      <c r="E761" s="226">
        <f>E762</f>
        <v>262845.2</v>
      </c>
      <c r="F761" s="228">
        <f t="shared" si="17"/>
        <v>9120.2000000000116</v>
      </c>
    </row>
    <row r="762" spans="1:6" x14ac:dyDescent="0.2">
      <c r="A762" s="202" t="s">
        <v>1347</v>
      </c>
      <c r="B762" s="209" t="s">
        <v>1103</v>
      </c>
      <c r="C762" s="209" t="s">
        <v>535</v>
      </c>
      <c r="D762" s="226">
        <v>253725</v>
      </c>
      <c r="E762" s="226">
        <f>E763</f>
        <v>262845.2</v>
      </c>
      <c r="F762" s="228">
        <f t="shared" si="17"/>
        <v>9120.2000000000116</v>
      </c>
    </row>
    <row r="763" spans="1:6" x14ac:dyDescent="0.2">
      <c r="A763" s="202" t="s">
        <v>534</v>
      </c>
      <c r="B763" s="209" t="s">
        <v>1103</v>
      </c>
      <c r="C763" s="209" t="s">
        <v>529</v>
      </c>
      <c r="D763" s="226">
        <v>253725</v>
      </c>
      <c r="E763" s="226">
        <f>'Функциональная 2020'!H433</f>
        <v>262845.2</v>
      </c>
      <c r="F763" s="228">
        <f t="shared" si="17"/>
        <v>9120.2000000000116</v>
      </c>
    </row>
    <row r="764" spans="1:6" ht="22.5" x14ac:dyDescent="0.2">
      <c r="A764" s="202" t="s">
        <v>1527</v>
      </c>
      <c r="B764" s="209" t="s">
        <v>1102</v>
      </c>
      <c r="C764" s="209"/>
      <c r="D764" s="226">
        <v>157791.79999999999</v>
      </c>
      <c r="E764" s="226">
        <f>E765+E767+E769+E771</f>
        <v>158179.79999999999</v>
      </c>
      <c r="F764" s="228">
        <f t="shared" si="17"/>
        <v>388</v>
      </c>
    </row>
    <row r="765" spans="1:6" ht="22.5" x14ac:dyDescent="0.2">
      <c r="A765" s="202" t="s">
        <v>1348</v>
      </c>
      <c r="B765" s="209" t="s">
        <v>1102</v>
      </c>
      <c r="C765" s="209" t="s">
        <v>556</v>
      </c>
      <c r="D765" s="226">
        <v>23602.899999999994</v>
      </c>
      <c r="E765" s="226">
        <f>E766</f>
        <v>23602.899999999994</v>
      </c>
      <c r="F765" s="228">
        <f t="shared" si="17"/>
        <v>0</v>
      </c>
    </row>
    <row r="766" spans="1:6" x14ac:dyDescent="0.2">
      <c r="A766" s="202" t="s">
        <v>555</v>
      </c>
      <c r="B766" s="209" t="s">
        <v>1102</v>
      </c>
      <c r="C766" s="209" t="s">
        <v>554</v>
      </c>
      <c r="D766" s="226">
        <v>23602.899999999994</v>
      </c>
      <c r="E766" s="226">
        <f>'Функциональная 2020'!H436</f>
        <v>23602.899999999994</v>
      </c>
      <c r="F766" s="228">
        <f t="shared" si="17"/>
        <v>0</v>
      </c>
    </row>
    <row r="767" spans="1:6" x14ac:dyDescent="0.2">
      <c r="A767" s="202" t="s">
        <v>1347</v>
      </c>
      <c r="B767" s="209" t="s">
        <v>1102</v>
      </c>
      <c r="C767" s="209" t="s">
        <v>535</v>
      </c>
      <c r="D767" s="226">
        <v>17370.5</v>
      </c>
      <c r="E767" s="226">
        <f>E768</f>
        <v>17370.5</v>
      </c>
      <c r="F767" s="228">
        <f t="shared" si="17"/>
        <v>0</v>
      </c>
    </row>
    <row r="768" spans="1:6" x14ac:dyDescent="0.2">
      <c r="A768" s="202" t="s">
        <v>534</v>
      </c>
      <c r="B768" s="209" t="s">
        <v>1102</v>
      </c>
      <c r="C768" s="209" t="s">
        <v>529</v>
      </c>
      <c r="D768" s="226">
        <v>17370.5</v>
      </c>
      <c r="E768" s="226">
        <f>'Функциональная 2020'!H438</f>
        <v>17370.5</v>
      </c>
      <c r="F768" s="228">
        <f t="shared" si="17"/>
        <v>0</v>
      </c>
    </row>
    <row r="769" spans="1:6" x14ac:dyDescent="0.2">
      <c r="A769" s="202" t="s">
        <v>615</v>
      </c>
      <c r="B769" s="209" t="s">
        <v>1102</v>
      </c>
      <c r="C769" s="209" t="s">
        <v>509</v>
      </c>
      <c r="D769" s="226">
        <v>199.20000000000005</v>
      </c>
      <c r="E769" s="226">
        <f>E770</f>
        <v>199.20000000000005</v>
      </c>
      <c r="F769" s="228">
        <f t="shared" si="17"/>
        <v>0</v>
      </c>
    </row>
    <row r="770" spans="1:6" x14ac:dyDescent="0.2">
      <c r="A770" s="202" t="s">
        <v>614</v>
      </c>
      <c r="B770" s="209" t="s">
        <v>1102</v>
      </c>
      <c r="C770" s="209" t="s">
        <v>613</v>
      </c>
      <c r="D770" s="226">
        <v>199.20000000000005</v>
      </c>
      <c r="E770" s="226">
        <f>'Функциональная 2020'!H440</f>
        <v>199.20000000000005</v>
      </c>
      <c r="F770" s="228">
        <f t="shared" si="17"/>
        <v>0</v>
      </c>
    </row>
    <row r="771" spans="1:6" s="389" customFormat="1" x14ac:dyDescent="0.2">
      <c r="A771" s="202" t="s">
        <v>547</v>
      </c>
      <c r="B771" s="209" t="s">
        <v>1102</v>
      </c>
      <c r="C771" s="209">
        <v>600</v>
      </c>
      <c r="D771" s="226">
        <v>116619.2</v>
      </c>
      <c r="E771" s="226">
        <f>E772</f>
        <v>117007.2</v>
      </c>
      <c r="F771" s="228">
        <f t="shared" si="17"/>
        <v>388</v>
      </c>
    </row>
    <row r="772" spans="1:6" s="389" customFormat="1" x14ac:dyDescent="0.2">
      <c r="A772" s="202" t="s">
        <v>571</v>
      </c>
      <c r="B772" s="209" t="s">
        <v>1102</v>
      </c>
      <c r="C772" s="209">
        <v>610</v>
      </c>
      <c r="D772" s="226">
        <v>116619.2</v>
      </c>
      <c r="E772" s="226">
        <f>'Функциональная 2020'!H442</f>
        <v>117007.2</v>
      </c>
      <c r="F772" s="228">
        <f t="shared" si="17"/>
        <v>388</v>
      </c>
    </row>
    <row r="773" spans="1:6" ht="22.5" x14ac:dyDescent="0.2">
      <c r="A773" s="202" t="s">
        <v>1101</v>
      </c>
      <c r="B773" s="209" t="s">
        <v>1100</v>
      </c>
      <c r="C773" s="209"/>
      <c r="D773" s="226">
        <v>53449.799999999996</v>
      </c>
      <c r="E773" s="226">
        <f>E774</f>
        <v>53548.299999999996</v>
      </c>
      <c r="F773" s="228">
        <f t="shared" si="17"/>
        <v>98.5</v>
      </c>
    </row>
    <row r="774" spans="1:6" x14ac:dyDescent="0.2">
      <c r="A774" s="202" t="s">
        <v>1347</v>
      </c>
      <c r="B774" s="209" t="s">
        <v>1100</v>
      </c>
      <c r="C774" s="209" t="s">
        <v>535</v>
      </c>
      <c r="D774" s="226">
        <v>53449.799999999996</v>
      </c>
      <c r="E774" s="226">
        <f>E775</f>
        <v>53548.299999999996</v>
      </c>
      <c r="F774" s="228">
        <f t="shared" si="17"/>
        <v>98.5</v>
      </c>
    </row>
    <row r="775" spans="1:6" x14ac:dyDescent="0.2">
      <c r="A775" s="202" t="s">
        <v>534</v>
      </c>
      <c r="B775" s="209" t="s">
        <v>1100</v>
      </c>
      <c r="C775" s="209" t="s">
        <v>529</v>
      </c>
      <c r="D775" s="226">
        <v>53449.799999999996</v>
      </c>
      <c r="E775" s="226">
        <f>'Функциональная 2020'!H445</f>
        <v>53548.299999999996</v>
      </c>
      <c r="F775" s="228">
        <f t="shared" si="17"/>
        <v>98.5</v>
      </c>
    </row>
    <row r="776" spans="1:6" ht="22.5" x14ac:dyDescent="0.2">
      <c r="A776" s="202" t="s">
        <v>1099</v>
      </c>
      <c r="B776" s="209" t="s">
        <v>1098</v>
      </c>
      <c r="C776" s="209"/>
      <c r="D776" s="226">
        <v>9581</v>
      </c>
      <c r="E776" s="226">
        <f>E777+E779+E781</f>
        <v>9581</v>
      </c>
      <c r="F776" s="228">
        <f t="shared" si="17"/>
        <v>0</v>
      </c>
    </row>
    <row r="777" spans="1:6" ht="22.5" x14ac:dyDescent="0.2">
      <c r="A777" s="202" t="s">
        <v>1348</v>
      </c>
      <c r="B777" s="209" t="s">
        <v>1098</v>
      </c>
      <c r="C777" s="209" t="s">
        <v>556</v>
      </c>
      <c r="D777" s="226">
        <v>5217.3</v>
      </c>
      <c r="E777" s="226">
        <f>E778</f>
        <v>5217.3</v>
      </c>
      <c r="F777" s="228">
        <f t="shared" ref="F777:F850" si="18">E777-D777</f>
        <v>0</v>
      </c>
    </row>
    <row r="778" spans="1:6" x14ac:dyDescent="0.2">
      <c r="A778" s="202" t="s">
        <v>555</v>
      </c>
      <c r="B778" s="209" t="s">
        <v>1098</v>
      </c>
      <c r="C778" s="209" t="s">
        <v>554</v>
      </c>
      <c r="D778" s="226">
        <v>5217.3</v>
      </c>
      <c r="E778" s="226">
        <f>'Функциональная 2020'!H448</f>
        <v>5217.3</v>
      </c>
      <c r="F778" s="228">
        <f t="shared" si="18"/>
        <v>0</v>
      </c>
    </row>
    <row r="779" spans="1:6" x14ac:dyDescent="0.2">
      <c r="A779" s="202" t="s">
        <v>1347</v>
      </c>
      <c r="B779" s="209" t="s">
        <v>1098</v>
      </c>
      <c r="C779" s="209" t="s">
        <v>535</v>
      </c>
      <c r="D779" s="226">
        <v>4263.7</v>
      </c>
      <c r="E779" s="226">
        <f>E780</f>
        <v>4263.7</v>
      </c>
      <c r="F779" s="228">
        <f t="shared" si="18"/>
        <v>0</v>
      </c>
    </row>
    <row r="780" spans="1:6" x14ac:dyDescent="0.2">
      <c r="A780" s="202" t="s">
        <v>534</v>
      </c>
      <c r="B780" s="209" t="s">
        <v>1098</v>
      </c>
      <c r="C780" s="209" t="s">
        <v>529</v>
      </c>
      <c r="D780" s="226">
        <v>4263.7</v>
      </c>
      <c r="E780" s="226">
        <f>'Функциональная 2020'!H450</f>
        <v>4263.7</v>
      </c>
      <c r="F780" s="228">
        <f t="shared" si="18"/>
        <v>0</v>
      </c>
    </row>
    <row r="781" spans="1:6" x14ac:dyDescent="0.2">
      <c r="A781" s="202" t="s">
        <v>615</v>
      </c>
      <c r="B781" s="209" t="s">
        <v>1098</v>
      </c>
      <c r="C781" s="209" t="s">
        <v>509</v>
      </c>
      <c r="D781" s="226">
        <v>100</v>
      </c>
      <c r="E781" s="226">
        <f>E782</f>
        <v>100</v>
      </c>
      <c r="F781" s="228">
        <f t="shared" si="18"/>
        <v>0</v>
      </c>
    </row>
    <row r="782" spans="1:6" x14ac:dyDescent="0.2">
      <c r="A782" s="202" t="s">
        <v>614</v>
      </c>
      <c r="B782" s="209" t="s">
        <v>1098</v>
      </c>
      <c r="C782" s="209" t="s">
        <v>613</v>
      </c>
      <c r="D782" s="226">
        <v>100</v>
      </c>
      <c r="E782" s="226">
        <f>'Функциональная 2020'!H452</f>
        <v>100</v>
      </c>
      <c r="F782" s="228">
        <f t="shared" si="18"/>
        <v>0</v>
      </c>
    </row>
    <row r="783" spans="1:6" x14ac:dyDescent="0.2">
      <c r="A783" s="202" t="s">
        <v>1097</v>
      </c>
      <c r="B783" s="209" t="s">
        <v>1096</v>
      </c>
      <c r="C783" s="209"/>
      <c r="D783" s="226">
        <v>50</v>
      </c>
      <c r="E783" s="226">
        <f>E784</f>
        <v>50</v>
      </c>
      <c r="F783" s="228">
        <f t="shared" si="18"/>
        <v>0</v>
      </c>
    </row>
    <row r="784" spans="1:6" x14ac:dyDescent="0.2">
      <c r="A784" s="202" t="s">
        <v>1347</v>
      </c>
      <c r="B784" s="209" t="s">
        <v>1096</v>
      </c>
      <c r="C784" s="209" t="s">
        <v>535</v>
      </c>
      <c r="D784" s="226">
        <v>50</v>
      </c>
      <c r="E784" s="226">
        <f>E785</f>
        <v>50</v>
      </c>
      <c r="F784" s="228">
        <f t="shared" si="18"/>
        <v>0</v>
      </c>
    </row>
    <row r="785" spans="1:6" x14ac:dyDescent="0.2">
      <c r="A785" s="202" t="s">
        <v>534</v>
      </c>
      <c r="B785" s="209" t="s">
        <v>1096</v>
      </c>
      <c r="C785" s="209" t="s">
        <v>529</v>
      </c>
      <c r="D785" s="226">
        <v>50</v>
      </c>
      <c r="E785" s="226">
        <f>'Функциональная 2020'!H455</f>
        <v>50</v>
      </c>
      <c r="F785" s="228">
        <f t="shared" si="18"/>
        <v>0</v>
      </c>
    </row>
    <row r="786" spans="1:6" x14ac:dyDescent="0.2">
      <c r="A786" s="202" t="s">
        <v>1095</v>
      </c>
      <c r="B786" s="209" t="s">
        <v>1094</v>
      </c>
      <c r="C786" s="209"/>
      <c r="D786" s="226">
        <v>50</v>
      </c>
      <c r="E786" s="226">
        <f>E787</f>
        <v>50</v>
      </c>
      <c r="F786" s="228">
        <f t="shared" si="18"/>
        <v>0</v>
      </c>
    </row>
    <row r="787" spans="1:6" x14ac:dyDescent="0.2">
      <c r="A787" s="202" t="s">
        <v>1347</v>
      </c>
      <c r="B787" s="209" t="s">
        <v>1094</v>
      </c>
      <c r="C787" s="209" t="s">
        <v>535</v>
      </c>
      <c r="D787" s="226">
        <v>50</v>
      </c>
      <c r="E787" s="226">
        <f>E788</f>
        <v>50</v>
      </c>
      <c r="F787" s="228">
        <f t="shared" si="18"/>
        <v>0</v>
      </c>
    </row>
    <row r="788" spans="1:6" x14ac:dyDescent="0.2">
      <c r="A788" s="202" t="s">
        <v>534</v>
      </c>
      <c r="B788" s="209" t="s">
        <v>1094</v>
      </c>
      <c r="C788" s="209" t="s">
        <v>529</v>
      </c>
      <c r="D788" s="226">
        <v>50</v>
      </c>
      <c r="E788" s="226">
        <f>'Функциональная 2020'!H458</f>
        <v>50</v>
      </c>
      <c r="F788" s="228">
        <f t="shared" si="18"/>
        <v>0</v>
      </c>
    </row>
    <row r="789" spans="1:6" x14ac:dyDescent="0.2">
      <c r="A789" s="202" t="s">
        <v>1093</v>
      </c>
      <c r="B789" s="209" t="s">
        <v>1092</v>
      </c>
      <c r="C789" s="209"/>
      <c r="D789" s="226">
        <v>8702</v>
      </c>
      <c r="E789" s="226">
        <f>E790</f>
        <v>9102</v>
      </c>
      <c r="F789" s="228">
        <f t="shared" si="18"/>
        <v>400</v>
      </c>
    </row>
    <row r="790" spans="1:6" x14ac:dyDescent="0.2">
      <c r="A790" s="202" t="s">
        <v>1347</v>
      </c>
      <c r="B790" s="209" t="s">
        <v>1092</v>
      </c>
      <c r="C790" s="209" t="s">
        <v>535</v>
      </c>
      <c r="D790" s="226">
        <v>8702</v>
      </c>
      <c r="E790" s="226">
        <f>E791</f>
        <v>9102</v>
      </c>
      <c r="F790" s="228">
        <f t="shared" si="18"/>
        <v>400</v>
      </c>
    </row>
    <row r="791" spans="1:6" x14ac:dyDescent="0.2">
      <c r="A791" s="202" t="s">
        <v>534</v>
      </c>
      <c r="B791" s="209" t="s">
        <v>1092</v>
      </c>
      <c r="C791" s="209" t="s">
        <v>529</v>
      </c>
      <c r="D791" s="226">
        <v>8702</v>
      </c>
      <c r="E791" s="226">
        <f>'Функциональная 2020'!H461</f>
        <v>9102</v>
      </c>
      <c r="F791" s="228">
        <f t="shared" si="18"/>
        <v>400</v>
      </c>
    </row>
    <row r="792" spans="1:6" x14ac:dyDescent="0.2">
      <c r="A792" s="202" t="s">
        <v>1528</v>
      </c>
      <c r="B792" s="209" t="s">
        <v>1091</v>
      </c>
      <c r="C792" s="209"/>
      <c r="D792" s="226">
        <v>660</v>
      </c>
      <c r="E792" s="226">
        <f>E793</f>
        <v>660</v>
      </c>
      <c r="F792" s="228">
        <f t="shared" si="18"/>
        <v>0</v>
      </c>
    </row>
    <row r="793" spans="1:6" s="389" customFormat="1" x14ac:dyDescent="0.2">
      <c r="A793" s="202" t="s">
        <v>547</v>
      </c>
      <c r="B793" s="209" t="s">
        <v>1091</v>
      </c>
      <c r="C793" s="209">
        <v>600</v>
      </c>
      <c r="D793" s="226">
        <v>660</v>
      </c>
      <c r="E793" s="226">
        <f>E794</f>
        <v>660</v>
      </c>
      <c r="F793" s="228">
        <f t="shared" si="18"/>
        <v>0</v>
      </c>
    </row>
    <row r="794" spans="1:6" s="389" customFormat="1" x14ac:dyDescent="0.2">
      <c r="A794" s="202" t="s">
        <v>571</v>
      </c>
      <c r="B794" s="209" t="s">
        <v>1091</v>
      </c>
      <c r="C794" s="209">
        <v>610</v>
      </c>
      <c r="D794" s="226">
        <v>660</v>
      </c>
      <c r="E794" s="226">
        <f>'Функциональная 2020'!H464</f>
        <v>660</v>
      </c>
      <c r="F794" s="228">
        <f t="shared" si="18"/>
        <v>0</v>
      </c>
    </row>
    <row r="795" spans="1:6" x14ac:dyDescent="0.2">
      <c r="A795" s="202" t="s">
        <v>1090</v>
      </c>
      <c r="B795" s="209" t="s">
        <v>1089</v>
      </c>
      <c r="C795" s="209"/>
      <c r="D795" s="226">
        <v>340</v>
      </c>
      <c r="E795" s="226">
        <f>E796</f>
        <v>814.1</v>
      </c>
      <c r="F795" s="228">
        <f t="shared" si="18"/>
        <v>474.1</v>
      </c>
    </row>
    <row r="796" spans="1:6" x14ac:dyDescent="0.2">
      <c r="A796" s="202" t="s">
        <v>1347</v>
      </c>
      <c r="B796" s="209" t="s">
        <v>1089</v>
      </c>
      <c r="C796" s="209" t="s">
        <v>535</v>
      </c>
      <c r="D796" s="226">
        <v>340</v>
      </c>
      <c r="E796" s="226">
        <f>E797</f>
        <v>814.1</v>
      </c>
      <c r="F796" s="228">
        <f t="shared" si="18"/>
        <v>474.1</v>
      </c>
    </row>
    <row r="797" spans="1:6" x14ac:dyDescent="0.2">
      <c r="A797" s="202" t="s">
        <v>534</v>
      </c>
      <c r="B797" s="209" t="s">
        <v>1089</v>
      </c>
      <c r="C797" s="209" t="s">
        <v>529</v>
      </c>
      <c r="D797" s="226">
        <v>340</v>
      </c>
      <c r="E797" s="226">
        <f>'Функциональная 2020'!H467</f>
        <v>814.1</v>
      </c>
      <c r="F797" s="228">
        <f t="shared" si="18"/>
        <v>474.1</v>
      </c>
    </row>
    <row r="798" spans="1:6" x14ac:dyDescent="0.2">
      <c r="A798" s="202" t="s">
        <v>1088</v>
      </c>
      <c r="B798" s="209" t="s">
        <v>1087</v>
      </c>
      <c r="C798" s="209"/>
      <c r="D798" s="226">
        <v>1250</v>
      </c>
      <c r="E798" s="226">
        <f>E799</f>
        <v>1250</v>
      </c>
      <c r="F798" s="228">
        <f t="shared" si="18"/>
        <v>0</v>
      </c>
    </row>
    <row r="799" spans="1:6" x14ac:dyDescent="0.2">
      <c r="A799" s="202" t="s">
        <v>547</v>
      </c>
      <c r="B799" s="209" t="s">
        <v>1087</v>
      </c>
      <c r="C799" s="209" t="s">
        <v>519</v>
      </c>
      <c r="D799" s="226">
        <v>1250</v>
      </c>
      <c r="E799" s="226">
        <f>E800</f>
        <v>1250</v>
      </c>
      <c r="F799" s="228">
        <f t="shared" si="18"/>
        <v>0</v>
      </c>
    </row>
    <row r="800" spans="1:6" x14ac:dyDescent="0.2">
      <c r="A800" s="202" t="s">
        <v>571</v>
      </c>
      <c r="B800" s="209" t="s">
        <v>1087</v>
      </c>
      <c r="C800" s="209" t="s">
        <v>522</v>
      </c>
      <c r="D800" s="226">
        <v>1250</v>
      </c>
      <c r="E800" s="226">
        <f>'Функциональная 2020'!H470</f>
        <v>1250</v>
      </c>
      <c r="F800" s="228">
        <f t="shared" si="18"/>
        <v>0</v>
      </c>
    </row>
    <row r="801" spans="1:6" s="386" customFormat="1" x14ac:dyDescent="0.2">
      <c r="A801" s="202" t="s">
        <v>1522</v>
      </c>
      <c r="B801" s="209" t="s">
        <v>1523</v>
      </c>
      <c r="C801" s="209"/>
      <c r="D801" s="226">
        <v>100</v>
      </c>
      <c r="E801" s="226">
        <f>E802</f>
        <v>100</v>
      </c>
      <c r="F801" s="228">
        <f t="shared" si="18"/>
        <v>0</v>
      </c>
    </row>
    <row r="802" spans="1:6" s="386" customFormat="1" x14ac:dyDescent="0.2">
      <c r="A802" s="202" t="s">
        <v>1347</v>
      </c>
      <c r="B802" s="209" t="s">
        <v>1523</v>
      </c>
      <c r="C802" s="209" t="s">
        <v>535</v>
      </c>
      <c r="D802" s="226">
        <v>100</v>
      </c>
      <c r="E802" s="226">
        <f>E803</f>
        <v>100</v>
      </c>
      <c r="F802" s="228">
        <f t="shared" si="18"/>
        <v>0</v>
      </c>
    </row>
    <row r="803" spans="1:6" s="386" customFormat="1" x14ac:dyDescent="0.2">
      <c r="A803" s="202" t="s">
        <v>534</v>
      </c>
      <c r="B803" s="209" t="s">
        <v>1523</v>
      </c>
      <c r="C803" s="209" t="s">
        <v>529</v>
      </c>
      <c r="D803" s="226">
        <v>100</v>
      </c>
      <c r="E803" s="226">
        <f>'Функциональная 2020'!H473</f>
        <v>100</v>
      </c>
      <c r="F803" s="228">
        <f t="shared" si="18"/>
        <v>0</v>
      </c>
    </row>
    <row r="804" spans="1:6" s="436" customFormat="1" ht="22.5" x14ac:dyDescent="0.2">
      <c r="A804" s="202" t="s">
        <v>1735</v>
      </c>
      <c r="B804" s="209" t="s">
        <v>1642</v>
      </c>
      <c r="C804" s="209"/>
      <c r="D804" s="226">
        <f>D805</f>
        <v>0</v>
      </c>
      <c r="E804" s="226">
        <f>E805</f>
        <v>1803.5</v>
      </c>
      <c r="F804" s="228">
        <f t="shared" si="18"/>
        <v>1803.5</v>
      </c>
    </row>
    <row r="805" spans="1:6" s="436" customFormat="1" x14ac:dyDescent="0.2">
      <c r="A805" s="202" t="s">
        <v>1347</v>
      </c>
      <c r="B805" s="209" t="s">
        <v>1642</v>
      </c>
      <c r="C805" s="209" t="s">
        <v>535</v>
      </c>
      <c r="D805" s="226">
        <f>D806</f>
        <v>0</v>
      </c>
      <c r="E805" s="226">
        <f>E806</f>
        <v>1803.5</v>
      </c>
      <c r="F805" s="228">
        <f t="shared" si="18"/>
        <v>1803.5</v>
      </c>
    </row>
    <row r="806" spans="1:6" s="436" customFormat="1" x14ac:dyDescent="0.2">
      <c r="A806" s="202" t="s">
        <v>534</v>
      </c>
      <c r="B806" s="209" t="s">
        <v>1642</v>
      </c>
      <c r="C806" s="209" t="s">
        <v>529</v>
      </c>
      <c r="D806" s="226">
        <v>0</v>
      </c>
      <c r="E806" s="226">
        <f>'Функциональная 2020'!H476</f>
        <v>1803.5</v>
      </c>
      <c r="F806" s="228">
        <f t="shared" si="18"/>
        <v>1803.5</v>
      </c>
    </row>
    <row r="807" spans="1:6" s="386" customFormat="1" ht="22.5" x14ac:dyDescent="0.2">
      <c r="A807" s="202" t="s">
        <v>1520</v>
      </c>
      <c r="B807" s="209" t="s">
        <v>1521</v>
      </c>
      <c r="C807" s="209"/>
      <c r="D807" s="226">
        <v>690</v>
      </c>
      <c r="E807" s="226">
        <f>E808</f>
        <v>690</v>
      </c>
      <c r="F807" s="228">
        <f t="shared" si="18"/>
        <v>0</v>
      </c>
    </row>
    <row r="808" spans="1:6" s="386" customFormat="1" x14ac:dyDescent="0.2">
      <c r="A808" s="202" t="s">
        <v>1347</v>
      </c>
      <c r="B808" s="209" t="s">
        <v>1521</v>
      </c>
      <c r="C808" s="209" t="s">
        <v>535</v>
      </c>
      <c r="D808" s="226">
        <v>690</v>
      </c>
      <c r="E808" s="226">
        <f>E809</f>
        <v>690</v>
      </c>
      <c r="F808" s="228">
        <f t="shared" si="18"/>
        <v>0</v>
      </c>
    </row>
    <row r="809" spans="1:6" s="386" customFormat="1" x14ac:dyDescent="0.2">
      <c r="A809" s="202" t="s">
        <v>534</v>
      </c>
      <c r="B809" s="209" t="s">
        <v>1521</v>
      </c>
      <c r="C809" s="209" t="s">
        <v>529</v>
      </c>
      <c r="D809" s="226">
        <v>690</v>
      </c>
      <c r="E809" s="226">
        <f>'Функциональная 2020'!H479</f>
        <v>690</v>
      </c>
      <c r="F809" s="228">
        <f t="shared" si="18"/>
        <v>0</v>
      </c>
    </row>
    <row r="810" spans="1:6" ht="22.5" x14ac:dyDescent="0.2">
      <c r="A810" s="202" t="s">
        <v>1086</v>
      </c>
      <c r="B810" s="209" t="s">
        <v>1085</v>
      </c>
      <c r="C810" s="209"/>
      <c r="D810" s="226">
        <v>10399</v>
      </c>
      <c r="E810" s="226">
        <f>E811</f>
        <v>7219.5</v>
      </c>
      <c r="F810" s="228">
        <f t="shared" si="18"/>
        <v>-3179.5</v>
      </c>
    </row>
    <row r="811" spans="1:6" x14ac:dyDescent="0.2">
      <c r="A811" s="202" t="s">
        <v>1347</v>
      </c>
      <c r="B811" s="209" t="s">
        <v>1085</v>
      </c>
      <c r="C811" s="209" t="s">
        <v>535</v>
      </c>
      <c r="D811" s="226">
        <v>10399</v>
      </c>
      <c r="E811" s="226">
        <f>E812</f>
        <v>7219.5</v>
      </c>
      <c r="F811" s="228">
        <f t="shared" si="18"/>
        <v>-3179.5</v>
      </c>
    </row>
    <row r="812" spans="1:6" x14ac:dyDescent="0.2">
      <c r="A812" s="202" t="s">
        <v>534</v>
      </c>
      <c r="B812" s="209" t="s">
        <v>1085</v>
      </c>
      <c r="C812" s="209" t="s">
        <v>529</v>
      </c>
      <c r="D812" s="226">
        <v>10399</v>
      </c>
      <c r="E812" s="226">
        <f>'Функциональная 2020'!H482</f>
        <v>7219.5</v>
      </c>
      <c r="F812" s="228">
        <f t="shared" si="18"/>
        <v>-3179.5</v>
      </c>
    </row>
    <row r="813" spans="1:6" ht="22.5" x14ac:dyDescent="0.2">
      <c r="A813" s="202" t="s">
        <v>1084</v>
      </c>
      <c r="B813" s="209" t="s">
        <v>1083</v>
      </c>
      <c r="C813" s="209"/>
      <c r="D813" s="226">
        <v>55457</v>
      </c>
      <c r="E813" s="226">
        <f>E814</f>
        <v>46080.9</v>
      </c>
      <c r="F813" s="228">
        <f t="shared" si="18"/>
        <v>-9376.0999999999985</v>
      </c>
    </row>
    <row r="814" spans="1:6" x14ac:dyDescent="0.2">
      <c r="A814" s="202" t="s">
        <v>1347</v>
      </c>
      <c r="B814" s="209" t="s">
        <v>1083</v>
      </c>
      <c r="C814" s="209" t="s">
        <v>535</v>
      </c>
      <c r="D814" s="226">
        <v>55457</v>
      </c>
      <c r="E814" s="226">
        <f>E815</f>
        <v>46080.9</v>
      </c>
      <c r="F814" s="228">
        <f t="shared" si="18"/>
        <v>-9376.0999999999985</v>
      </c>
    </row>
    <row r="815" spans="1:6" x14ac:dyDescent="0.2">
      <c r="A815" s="202" t="s">
        <v>534</v>
      </c>
      <c r="B815" s="209" t="s">
        <v>1083</v>
      </c>
      <c r="C815" s="209" t="s">
        <v>529</v>
      </c>
      <c r="D815" s="226">
        <v>55457</v>
      </c>
      <c r="E815" s="226">
        <f>'Функциональная 2020'!H485</f>
        <v>46080.9</v>
      </c>
      <c r="F815" s="228">
        <f t="shared" si="18"/>
        <v>-9376.0999999999985</v>
      </c>
    </row>
    <row r="816" spans="1:6" ht="22.5" x14ac:dyDescent="0.2">
      <c r="A816" s="202" t="s">
        <v>1082</v>
      </c>
      <c r="B816" s="209" t="s">
        <v>1081</v>
      </c>
      <c r="C816" s="209"/>
      <c r="D816" s="226">
        <v>15418</v>
      </c>
      <c r="E816" s="226">
        <f>E817</f>
        <v>13119.6</v>
      </c>
      <c r="F816" s="228">
        <f t="shared" si="18"/>
        <v>-2298.3999999999996</v>
      </c>
    </row>
    <row r="817" spans="1:6" x14ac:dyDescent="0.2">
      <c r="A817" s="202" t="s">
        <v>1347</v>
      </c>
      <c r="B817" s="209" t="s">
        <v>1081</v>
      </c>
      <c r="C817" s="209" t="s">
        <v>535</v>
      </c>
      <c r="D817" s="226">
        <v>15418</v>
      </c>
      <c r="E817" s="226">
        <f>E818</f>
        <v>13119.6</v>
      </c>
      <c r="F817" s="228">
        <f t="shared" si="18"/>
        <v>-2298.3999999999996</v>
      </c>
    </row>
    <row r="818" spans="1:6" x14ac:dyDescent="0.2">
      <c r="A818" s="202" t="s">
        <v>534</v>
      </c>
      <c r="B818" s="209" t="s">
        <v>1081</v>
      </c>
      <c r="C818" s="209" t="s">
        <v>529</v>
      </c>
      <c r="D818" s="226">
        <v>15418</v>
      </c>
      <c r="E818" s="226">
        <f>'Функциональная 2020'!H488</f>
        <v>13119.6</v>
      </c>
      <c r="F818" s="228">
        <f t="shared" si="18"/>
        <v>-2298.3999999999996</v>
      </c>
    </row>
    <row r="819" spans="1:6" x14ac:dyDescent="0.2">
      <c r="A819" s="199" t="s">
        <v>742</v>
      </c>
      <c r="B819" s="212" t="s">
        <v>741</v>
      </c>
      <c r="C819" s="212"/>
      <c r="D819" s="205">
        <v>311396.5</v>
      </c>
      <c r="E819" s="205">
        <f>E820+E835</f>
        <v>280211.5</v>
      </c>
      <c r="F819" s="206">
        <f t="shared" si="18"/>
        <v>-31185</v>
      </c>
    </row>
    <row r="820" spans="1:6" ht="33.75" x14ac:dyDescent="0.2">
      <c r="A820" s="199" t="s">
        <v>1219</v>
      </c>
      <c r="B820" s="212" t="s">
        <v>1218</v>
      </c>
      <c r="C820" s="212"/>
      <c r="D820" s="205">
        <v>199479.7</v>
      </c>
      <c r="E820" s="205">
        <f>E821+E831</f>
        <v>203553.7</v>
      </c>
      <c r="F820" s="206">
        <f t="shared" si="18"/>
        <v>4074</v>
      </c>
    </row>
    <row r="821" spans="1:6" ht="22.5" x14ac:dyDescent="0.2">
      <c r="A821" s="199" t="s">
        <v>1217</v>
      </c>
      <c r="B821" s="212" t="s">
        <v>1216</v>
      </c>
      <c r="C821" s="212"/>
      <c r="D821" s="205">
        <v>197553.7</v>
      </c>
      <c r="E821" s="205">
        <f>E822+E825+E828</f>
        <v>201627.7</v>
      </c>
      <c r="F821" s="206">
        <f t="shared" si="18"/>
        <v>4074</v>
      </c>
    </row>
    <row r="822" spans="1:6" ht="33.75" x14ac:dyDescent="0.2">
      <c r="A822" s="202" t="s">
        <v>1215</v>
      </c>
      <c r="B822" s="209" t="s">
        <v>1214</v>
      </c>
      <c r="C822" s="209"/>
      <c r="D822" s="226">
        <v>195814.7</v>
      </c>
      <c r="E822" s="226">
        <f>E823</f>
        <v>195526.7</v>
      </c>
      <c r="F822" s="228">
        <f t="shared" si="18"/>
        <v>-288</v>
      </c>
    </row>
    <row r="823" spans="1:6" x14ac:dyDescent="0.2">
      <c r="A823" s="202" t="s">
        <v>547</v>
      </c>
      <c r="B823" s="209" t="s">
        <v>1214</v>
      </c>
      <c r="C823" s="209" t="s">
        <v>519</v>
      </c>
      <c r="D823" s="226">
        <v>195814.7</v>
      </c>
      <c r="E823" s="226">
        <f>E824</f>
        <v>195526.7</v>
      </c>
      <c r="F823" s="228">
        <f t="shared" si="18"/>
        <v>-288</v>
      </c>
    </row>
    <row r="824" spans="1:6" x14ac:dyDescent="0.2">
      <c r="A824" s="202" t="s">
        <v>571</v>
      </c>
      <c r="B824" s="209" t="s">
        <v>1214</v>
      </c>
      <c r="C824" s="209" t="s">
        <v>522</v>
      </c>
      <c r="D824" s="226">
        <v>195814.7</v>
      </c>
      <c r="E824" s="226">
        <f>'Функциональная 2020'!H213</f>
        <v>195526.7</v>
      </c>
      <c r="F824" s="228">
        <f t="shared" si="18"/>
        <v>-288</v>
      </c>
    </row>
    <row r="825" spans="1:6" s="285" customFormat="1" ht="48" customHeight="1" x14ac:dyDescent="0.2">
      <c r="A825" s="202" t="s">
        <v>1395</v>
      </c>
      <c r="B825" s="209" t="s">
        <v>1393</v>
      </c>
      <c r="C825" s="209"/>
      <c r="D825" s="226">
        <v>1739</v>
      </c>
      <c r="E825" s="226">
        <f>E826</f>
        <v>0</v>
      </c>
      <c r="F825" s="228">
        <f t="shared" si="18"/>
        <v>-1739</v>
      </c>
    </row>
    <row r="826" spans="1:6" s="285" customFormat="1" x14ac:dyDescent="0.2">
      <c r="A826" s="202" t="s">
        <v>547</v>
      </c>
      <c r="B826" s="209" t="s">
        <v>1393</v>
      </c>
      <c r="C826" s="209">
        <v>600</v>
      </c>
      <c r="D826" s="226">
        <v>1739</v>
      </c>
      <c r="E826" s="226">
        <f>E827</f>
        <v>0</v>
      </c>
      <c r="F826" s="228">
        <f t="shared" si="18"/>
        <v>-1739</v>
      </c>
    </row>
    <row r="827" spans="1:6" s="285" customFormat="1" x14ac:dyDescent="0.2">
      <c r="A827" s="202" t="s">
        <v>571</v>
      </c>
      <c r="B827" s="209" t="s">
        <v>1393</v>
      </c>
      <c r="C827" s="209">
        <v>610</v>
      </c>
      <c r="D827" s="226">
        <v>1739</v>
      </c>
      <c r="E827" s="226">
        <f>'Функциональная 2020'!H216</f>
        <v>0</v>
      </c>
      <c r="F827" s="228">
        <f t="shared" si="18"/>
        <v>-1739</v>
      </c>
    </row>
    <row r="828" spans="1:6" s="417" customFormat="1" ht="67.5" x14ac:dyDescent="0.2">
      <c r="A828" s="420" t="s">
        <v>1614</v>
      </c>
      <c r="B828" s="209" t="s">
        <v>1615</v>
      </c>
      <c r="C828" s="209"/>
      <c r="D828" s="226">
        <f>D829</f>
        <v>0</v>
      </c>
      <c r="E828" s="226">
        <f>E829</f>
        <v>6101</v>
      </c>
      <c r="F828" s="228">
        <f t="shared" si="18"/>
        <v>6101</v>
      </c>
    </row>
    <row r="829" spans="1:6" s="417" customFormat="1" x14ac:dyDescent="0.2">
      <c r="A829" s="420" t="s">
        <v>547</v>
      </c>
      <c r="B829" s="209" t="s">
        <v>1615</v>
      </c>
      <c r="C829" s="209" t="s">
        <v>519</v>
      </c>
      <c r="D829" s="226">
        <f>D830</f>
        <v>0</v>
      </c>
      <c r="E829" s="226">
        <f>E830</f>
        <v>6101</v>
      </c>
      <c r="F829" s="228">
        <f t="shared" si="18"/>
        <v>6101</v>
      </c>
    </row>
    <row r="830" spans="1:6" s="417" customFormat="1" x14ac:dyDescent="0.2">
      <c r="A830" s="420" t="s">
        <v>571</v>
      </c>
      <c r="B830" s="209" t="s">
        <v>1615</v>
      </c>
      <c r="C830" s="209" t="s">
        <v>522</v>
      </c>
      <c r="D830" s="226">
        <v>0</v>
      </c>
      <c r="E830" s="226">
        <f>'Функциональная 2020'!H219</f>
        <v>6101</v>
      </c>
      <c r="F830" s="228">
        <f t="shared" si="18"/>
        <v>6101</v>
      </c>
    </row>
    <row r="831" spans="1:6" ht="22.5" x14ac:dyDescent="0.2">
      <c r="A831" s="199" t="s">
        <v>1213</v>
      </c>
      <c r="B831" s="212" t="s">
        <v>1212</v>
      </c>
      <c r="C831" s="212"/>
      <c r="D831" s="205">
        <v>1926</v>
      </c>
      <c r="E831" s="205">
        <f>E832</f>
        <v>1926</v>
      </c>
      <c r="F831" s="206">
        <f t="shared" si="18"/>
        <v>0</v>
      </c>
    </row>
    <row r="832" spans="1:6" s="285" customFormat="1" ht="56.25" x14ac:dyDescent="0.2">
      <c r="A832" s="202" t="s">
        <v>1396</v>
      </c>
      <c r="B832" s="209" t="s">
        <v>1394</v>
      </c>
      <c r="C832" s="209"/>
      <c r="D832" s="226">
        <v>1926</v>
      </c>
      <c r="E832" s="226">
        <f>E833</f>
        <v>1926</v>
      </c>
      <c r="F832" s="228">
        <f t="shared" si="18"/>
        <v>0</v>
      </c>
    </row>
    <row r="833" spans="1:6" s="285" customFormat="1" x14ac:dyDescent="0.2">
      <c r="A833" s="202" t="s">
        <v>547</v>
      </c>
      <c r="B833" s="209" t="s">
        <v>1394</v>
      </c>
      <c r="C833" s="209" t="s">
        <v>519</v>
      </c>
      <c r="D833" s="226">
        <v>1926</v>
      </c>
      <c r="E833" s="226">
        <f>E834</f>
        <v>1926</v>
      </c>
      <c r="F833" s="228">
        <f t="shared" si="18"/>
        <v>0</v>
      </c>
    </row>
    <row r="834" spans="1:6" s="285" customFormat="1" x14ac:dyDescent="0.2">
      <c r="A834" s="202" t="s">
        <v>571</v>
      </c>
      <c r="B834" s="209" t="s">
        <v>1394</v>
      </c>
      <c r="C834" s="209" t="s">
        <v>522</v>
      </c>
      <c r="D834" s="226">
        <v>1926</v>
      </c>
      <c r="E834" s="226">
        <f>'Функциональная 2020'!H223</f>
        <v>1926</v>
      </c>
      <c r="F834" s="228">
        <f t="shared" si="18"/>
        <v>0</v>
      </c>
    </row>
    <row r="835" spans="1:6" ht="22.5" x14ac:dyDescent="0.2">
      <c r="A835" s="199" t="s">
        <v>740</v>
      </c>
      <c r="B835" s="212" t="s">
        <v>739</v>
      </c>
      <c r="C835" s="212"/>
      <c r="D835" s="205">
        <v>111916.79999999999</v>
      </c>
      <c r="E835" s="205">
        <f>E836+E843+E847+E854+E858</f>
        <v>76657.799999999988</v>
      </c>
      <c r="F835" s="206">
        <f t="shared" si="18"/>
        <v>-35259</v>
      </c>
    </row>
    <row r="836" spans="1:6" x14ac:dyDescent="0.2">
      <c r="A836" s="199" t="s">
        <v>786</v>
      </c>
      <c r="B836" s="212" t="s">
        <v>785</v>
      </c>
      <c r="C836" s="212"/>
      <c r="D836" s="205">
        <v>36083.699999999997</v>
      </c>
      <c r="E836" s="205">
        <f>E837+E840</f>
        <v>33082.699999999997</v>
      </c>
      <c r="F836" s="206">
        <f t="shared" si="18"/>
        <v>-3001</v>
      </c>
    </row>
    <row r="837" spans="1:6" x14ac:dyDescent="0.2">
      <c r="A837" s="202" t="s">
        <v>1080</v>
      </c>
      <c r="B837" s="209" t="s">
        <v>1079</v>
      </c>
      <c r="C837" s="209"/>
      <c r="D837" s="226">
        <v>14818</v>
      </c>
      <c r="E837" s="226">
        <f>E838</f>
        <v>14818</v>
      </c>
      <c r="F837" s="228">
        <f t="shared" si="18"/>
        <v>0</v>
      </c>
    </row>
    <row r="838" spans="1:6" x14ac:dyDescent="0.2">
      <c r="A838" s="202" t="s">
        <v>1347</v>
      </c>
      <c r="B838" s="209" t="s">
        <v>1079</v>
      </c>
      <c r="C838" s="209" t="s">
        <v>535</v>
      </c>
      <c r="D838" s="226">
        <v>14818</v>
      </c>
      <c r="E838" s="226">
        <f>E839</f>
        <v>14818</v>
      </c>
      <c r="F838" s="228">
        <f t="shared" si="18"/>
        <v>0</v>
      </c>
    </row>
    <row r="839" spans="1:6" x14ac:dyDescent="0.2">
      <c r="A839" s="202" t="s">
        <v>534</v>
      </c>
      <c r="B839" s="209" t="s">
        <v>1079</v>
      </c>
      <c r="C839" s="209" t="s">
        <v>529</v>
      </c>
      <c r="D839" s="226">
        <v>14818</v>
      </c>
      <c r="E839" s="226">
        <f>'Функциональная 2020'!H501</f>
        <v>14818</v>
      </c>
      <c r="F839" s="228">
        <f t="shared" si="18"/>
        <v>0</v>
      </c>
    </row>
    <row r="840" spans="1:6" x14ac:dyDescent="0.2">
      <c r="A840" s="202" t="s">
        <v>784</v>
      </c>
      <c r="B840" s="209" t="s">
        <v>782</v>
      </c>
      <c r="C840" s="209"/>
      <c r="D840" s="226">
        <v>21265.7</v>
      </c>
      <c r="E840" s="226">
        <f>E841</f>
        <v>18264.7</v>
      </c>
      <c r="F840" s="228">
        <f t="shared" si="18"/>
        <v>-3001</v>
      </c>
    </row>
    <row r="841" spans="1:6" x14ac:dyDescent="0.2">
      <c r="A841" s="202" t="s">
        <v>547</v>
      </c>
      <c r="B841" s="209" t="s">
        <v>782</v>
      </c>
      <c r="C841" s="209" t="s">
        <v>519</v>
      </c>
      <c r="D841" s="226">
        <v>21265.7</v>
      </c>
      <c r="E841" s="226">
        <f>E842</f>
        <v>18264.7</v>
      </c>
      <c r="F841" s="228">
        <f t="shared" si="18"/>
        <v>-3001</v>
      </c>
    </row>
    <row r="842" spans="1:6" x14ac:dyDescent="0.2">
      <c r="A842" s="202" t="s">
        <v>546</v>
      </c>
      <c r="B842" s="209" t="s">
        <v>782</v>
      </c>
      <c r="C842" s="209" t="s">
        <v>544</v>
      </c>
      <c r="D842" s="226">
        <v>21265.7</v>
      </c>
      <c r="E842" s="226">
        <f>'Функциональная 2020'!H1350</f>
        <v>18264.7</v>
      </c>
      <c r="F842" s="228">
        <f t="shared" si="18"/>
        <v>-3001</v>
      </c>
    </row>
    <row r="843" spans="1:6" x14ac:dyDescent="0.2">
      <c r="A843" s="199" t="s">
        <v>1078</v>
      </c>
      <c r="B843" s="212" t="s">
        <v>1077</v>
      </c>
      <c r="C843" s="212"/>
      <c r="D843" s="205">
        <v>850</v>
      </c>
      <c r="E843" s="205">
        <f>E844</f>
        <v>850</v>
      </c>
      <c r="F843" s="206">
        <f t="shared" si="18"/>
        <v>0</v>
      </c>
    </row>
    <row r="844" spans="1:6" x14ac:dyDescent="0.2">
      <c r="A844" s="202" t="s">
        <v>1076</v>
      </c>
      <c r="B844" s="209" t="s">
        <v>1075</v>
      </c>
      <c r="C844" s="209"/>
      <c r="D844" s="226">
        <v>850</v>
      </c>
      <c r="E844" s="226">
        <f>E845</f>
        <v>850</v>
      </c>
      <c r="F844" s="228">
        <f t="shared" si="18"/>
        <v>0</v>
      </c>
    </row>
    <row r="845" spans="1:6" x14ac:dyDescent="0.2">
      <c r="A845" s="202" t="s">
        <v>1347</v>
      </c>
      <c r="B845" s="209" t="s">
        <v>1075</v>
      </c>
      <c r="C845" s="209" t="s">
        <v>535</v>
      </c>
      <c r="D845" s="226">
        <v>850</v>
      </c>
      <c r="E845" s="226">
        <f>E846</f>
        <v>850</v>
      </c>
      <c r="F845" s="228">
        <f t="shared" si="18"/>
        <v>0</v>
      </c>
    </row>
    <row r="846" spans="1:6" x14ac:dyDescent="0.2">
      <c r="A846" s="202" t="s">
        <v>534</v>
      </c>
      <c r="B846" s="209" t="s">
        <v>1075</v>
      </c>
      <c r="C846" s="209" t="s">
        <v>529</v>
      </c>
      <c r="D846" s="226">
        <v>850</v>
      </c>
      <c r="E846" s="226">
        <f>'Функциональная 2020'!H505</f>
        <v>850</v>
      </c>
      <c r="F846" s="228">
        <f t="shared" si="18"/>
        <v>0</v>
      </c>
    </row>
    <row r="847" spans="1:6" x14ac:dyDescent="0.2">
      <c r="A847" s="199" t="s">
        <v>1074</v>
      </c>
      <c r="B847" s="212" t="s">
        <v>1073</v>
      </c>
      <c r="C847" s="212"/>
      <c r="D847" s="205">
        <v>19829.2</v>
      </c>
      <c r="E847" s="205">
        <f>E848+E851</f>
        <v>19829.2</v>
      </c>
      <c r="F847" s="206">
        <f t="shared" si="18"/>
        <v>0</v>
      </c>
    </row>
    <row r="848" spans="1:6" x14ac:dyDescent="0.2">
      <c r="A848" s="202" t="s">
        <v>1072</v>
      </c>
      <c r="B848" s="209" t="s">
        <v>1071</v>
      </c>
      <c r="C848" s="209"/>
      <c r="D848" s="226">
        <v>5781.4</v>
      </c>
      <c r="E848" s="226">
        <f>E849</f>
        <v>5781.4</v>
      </c>
      <c r="F848" s="228">
        <f t="shared" si="18"/>
        <v>0</v>
      </c>
    </row>
    <row r="849" spans="1:6" x14ac:dyDescent="0.2">
      <c r="A849" s="202" t="s">
        <v>1347</v>
      </c>
      <c r="B849" s="209" t="s">
        <v>1071</v>
      </c>
      <c r="C849" s="209" t="s">
        <v>535</v>
      </c>
      <c r="D849" s="226">
        <v>5781.4</v>
      </c>
      <c r="E849" s="226">
        <f>E850</f>
        <v>5781.4</v>
      </c>
      <c r="F849" s="228">
        <f t="shared" si="18"/>
        <v>0</v>
      </c>
    </row>
    <row r="850" spans="1:6" x14ac:dyDescent="0.2">
      <c r="A850" s="202" t="s">
        <v>534</v>
      </c>
      <c r="B850" s="209" t="s">
        <v>1071</v>
      </c>
      <c r="C850" s="209" t="s">
        <v>529</v>
      </c>
      <c r="D850" s="226">
        <v>5781.4</v>
      </c>
      <c r="E850" s="226">
        <f>'Функциональная 2020'!H509</f>
        <v>5781.4</v>
      </c>
      <c r="F850" s="228">
        <f t="shared" si="18"/>
        <v>0</v>
      </c>
    </row>
    <row r="851" spans="1:6" x14ac:dyDescent="0.2">
      <c r="A851" s="202" t="s">
        <v>1352</v>
      </c>
      <c r="B851" s="209" t="s">
        <v>1070</v>
      </c>
      <c r="C851" s="209"/>
      <c r="D851" s="226">
        <v>14047.800000000001</v>
      </c>
      <c r="E851" s="226">
        <f>E852</f>
        <v>14047.800000000001</v>
      </c>
      <c r="F851" s="228">
        <f t="shared" ref="F851:F923" si="19">E851-D851</f>
        <v>0</v>
      </c>
    </row>
    <row r="852" spans="1:6" x14ac:dyDescent="0.2">
      <c r="A852" s="202" t="s">
        <v>547</v>
      </c>
      <c r="B852" s="209" t="s">
        <v>1070</v>
      </c>
      <c r="C852" s="209" t="s">
        <v>519</v>
      </c>
      <c r="D852" s="226">
        <v>14047.800000000001</v>
      </c>
      <c r="E852" s="226">
        <f>E853</f>
        <v>14047.800000000001</v>
      </c>
      <c r="F852" s="228">
        <f t="shared" si="19"/>
        <v>0</v>
      </c>
    </row>
    <row r="853" spans="1:6" x14ac:dyDescent="0.2">
      <c r="A853" s="202" t="s">
        <v>546</v>
      </c>
      <c r="B853" s="209" t="s">
        <v>1070</v>
      </c>
      <c r="C853" s="209" t="s">
        <v>544</v>
      </c>
      <c r="D853" s="226">
        <v>14047.800000000001</v>
      </c>
      <c r="E853" s="226">
        <f>'Функциональная 2020'!H512</f>
        <v>14047.800000000001</v>
      </c>
      <c r="F853" s="228">
        <f t="shared" si="19"/>
        <v>0</v>
      </c>
    </row>
    <row r="854" spans="1:6" x14ac:dyDescent="0.2">
      <c r="A854" s="199" t="s">
        <v>1069</v>
      </c>
      <c r="B854" s="212" t="s">
        <v>1068</v>
      </c>
      <c r="C854" s="212"/>
      <c r="D854" s="205">
        <v>3976</v>
      </c>
      <c r="E854" s="205">
        <f>E855</f>
        <v>3976</v>
      </c>
      <c r="F854" s="206">
        <f t="shared" si="19"/>
        <v>0</v>
      </c>
    </row>
    <row r="855" spans="1:6" x14ac:dyDescent="0.2">
      <c r="A855" s="202" t="s">
        <v>1067</v>
      </c>
      <c r="B855" s="209" t="s">
        <v>1066</v>
      </c>
      <c r="C855" s="209"/>
      <c r="D855" s="226">
        <v>3976</v>
      </c>
      <c r="E855" s="226">
        <f>E856</f>
        <v>3976</v>
      </c>
      <c r="F855" s="228">
        <f t="shared" si="19"/>
        <v>0</v>
      </c>
    </row>
    <row r="856" spans="1:6" x14ac:dyDescent="0.2">
      <c r="A856" s="202" t="s">
        <v>1347</v>
      </c>
      <c r="B856" s="209" t="s">
        <v>1066</v>
      </c>
      <c r="C856" s="209" t="s">
        <v>535</v>
      </c>
      <c r="D856" s="226">
        <v>3976</v>
      </c>
      <c r="E856" s="226">
        <f>E857</f>
        <v>3976</v>
      </c>
      <c r="F856" s="228">
        <f t="shared" si="19"/>
        <v>0</v>
      </c>
    </row>
    <row r="857" spans="1:6" x14ac:dyDescent="0.2">
      <c r="A857" s="202" t="s">
        <v>534</v>
      </c>
      <c r="B857" s="209" t="s">
        <v>1066</v>
      </c>
      <c r="C857" s="209" t="s">
        <v>529</v>
      </c>
      <c r="D857" s="226">
        <v>3976</v>
      </c>
      <c r="E857" s="226">
        <f>'Функциональная 2020'!H516</f>
        <v>3976</v>
      </c>
      <c r="F857" s="228">
        <f t="shared" si="19"/>
        <v>0</v>
      </c>
    </row>
    <row r="858" spans="1:6" x14ac:dyDescent="0.2">
      <c r="A858" s="199" t="s">
        <v>738</v>
      </c>
      <c r="B858" s="212" t="s">
        <v>737</v>
      </c>
      <c r="C858" s="212"/>
      <c r="D858" s="205">
        <v>51177.9</v>
      </c>
      <c r="E858" s="205">
        <f>E859+E862+E865+E868</f>
        <v>18919.900000000001</v>
      </c>
      <c r="F858" s="206">
        <f t="shared" si="19"/>
        <v>-32258</v>
      </c>
    </row>
    <row r="859" spans="1:6" ht="22.5" x14ac:dyDescent="0.2">
      <c r="A859" s="202" t="s">
        <v>736</v>
      </c>
      <c r="B859" s="209" t="s">
        <v>735</v>
      </c>
      <c r="C859" s="209"/>
      <c r="D859" s="226">
        <v>6946.9</v>
      </c>
      <c r="E859" s="226">
        <f>E860</f>
        <v>6946.9</v>
      </c>
      <c r="F859" s="228">
        <f t="shared" si="19"/>
        <v>0</v>
      </c>
    </row>
    <row r="860" spans="1:6" s="304" customFormat="1" x14ac:dyDescent="0.2">
      <c r="A860" s="202" t="s">
        <v>1347</v>
      </c>
      <c r="B860" s="209" t="s">
        <v>735</v>
      </c>
      <c r="C860" s="209">
        <v>200</v>
      </c>
      <c r="D860" s="226">
        <v>6946.9</v>
      </c>
      <c r="E860" s="226">
        <f>E861</f>
        <v>6946.9</v>
      </c>
      <c r="F860" s="228">
        <f t="shared" si="19"/>
        <v>0</v>
      </c>
    </row>
    <row r="861" spans="1:6" s="304" customFormat="1" x14ac:dyDescent="0.2">
      <c r="A861" s="202" t="s">
        <v>534</v>
      </c>
      <c r="B861" s="209" t="s">
        <v>735</v>
      </c>
      <c r="C861" s="209">
        <v>240</v>
      </c>
      <c r="D861" s="226">
        <v>6946.9</v>
      </c>
      <c r="E861" s="226">
        <f>'Функциональная 2020'!H520</f>
        <v>6946.9</v>
      </c>
      <c r="F861" s="228">
        <f t="shared" si="19"/>
        <v>0</v>
      </c>
    </row>
    <row r="862" spans="1:6" ht="33.75" x14ac:dyDescent="0.2">
      <c r="A862" s="202" t="s">
        <v>734</v>
      </c>
      <c r="B862" s="209" t="s">
        <v>733</v>
      </c>
      <c r="C862" s="209"/>
      <c r="D862" s="226">
        <v>903</v>
      </c>
      <c r="E862" s="226">
        <f>E863</f>
        <v>903</v>
      </c>
      <c r="F862" s="228">
        <f t="shared" si="19"/>
        <v>0</v>
      </c>
    </row>
    <row r="863" spans="1:6" s="379" customFormat="1" x14ac:dyDescent="0.2">
      <c r="A863" s="202" t="s">
        <v>1347</v>
      </c>
      <c r="B863" s="209" t="s">
        <v>733</v>
      </c>
      <c r="C863" s="209">
        <v>200</v>
      </c>
      <c r="D863" s="226">
        <v>903</v>
      </c>
      <c r="E863" s="226">
        <f>E864</f>
        <v>903</v>
      </c>
      <c r="F863" s="228">
        <f t="shared" si="19"/>
        <v>0</v>
      </c>
    </row>
    <row r="864" spans="1:6" s="379" customFormat="1" x14ac:dyDescent="0.2">
      <c r="A864" s="202" t="s">
        <v>534</v>
      </c>
      <c r="B864" s="209" t="s">
        <v>733</v>
      </c>
      <c r="C864" s="209">
        <v>240</v>
      </c>
      <c r="D864" s="226">
        <v>903</v>
      </c>
      <c r="E864" s="226">
        <f>'Функциональная 2020'!H523</f>
        <v>903</v>
      </c>
      <c r="F864" s="228">
        <f t="shared" si="19"/>
        <v>0</v>
      </c>
    </row>
    <row r="865" spans="1:6" x14ac:dyDescent="0.2">
      <c r="A865" s="202" t="s">
        <v>732</v>
      </c>
      <c r="B865" s="209" t="s">
        <v>731</v>
      </c>
      <c r="C865" s="209"/>
      <c r="D865" s="226">
        <v>11070</v>
      </c>
      <c r="E865" s="226">
        <f>E866</f>
        <v>11070</v>
      </c>
      <c r="F865" s="228">
        <f t="shared" si="19"/>
        <v>0</v>
      </c>
    </row>
    <row r="866" spans="1:6" s="308" customFormat="1" x14ac:dyDescent="0.2">
      <c r="A866" s="202" t="s">
        <v>1347</v>
      </c>
      <c r="B866" s="209" t="s">
        <v>731</v>
      </c>
      <c r="C866" s="209">
        <v>200</v>
      </c>
      <c r="D866" s="226">
        <v>11070</v>
      </c>
      <c r="E866" s="226">
        <f>E867</f>
        <v>11070</v>
      </c>
      <c r="F866" s="228">
        <f t="shared" si="19"/>
        <v>0</v>
      </c>
    </row>
    <row r="867" spans="1:6" s="308" customFormat="1" x14ac:dyDescent="0.2">
      <c r="A867" s="202" t="s">
        <v>534</v>
      </c>
      <c r="B867" s="209" t="s">
        <v>731</v>
      </c>
      <c r="C867" s="209">
        <v>240</v>
      </c>
      <c r="D867" s="226">
        <v>11070</v>
      </c>
      <c r="E867" s="226">
        <f>'Функциональная 2020'!H526</f>
        <v>11070</v>
      </c>
      <c r="F867" s="228">
        <f t="shared" si="19"/>
        <v>0</v>
      </c>
    </row>
    <row r="868" spans="1:6" ht="22.5" x14ac:dyDescent="0.2">
      <c r="A868" s="202" t="s">
        <v>730</v>
      </c>
      <c r="B868" s="209" t="s">
        <v>729</v>
      </c>
      <c r="C868" s="209"/>
      <c r="D868" s="226">
        <v>32258</v>
      </c>
      <c r="E868" s="226">
        <f>E869</f>
        <v>0</v>
      </c>
      <c r="F868" s="228">
        <f t="shared" si="19"/>
        <v>-32258</v>
      </c>
    </row>
    <row r="869" spans="1:6" s="308" customFormat="1" x14ac:dyDescent="0.2">
      <c r="A869" s="202" t="s">
        <v>1347</v>
      </c>
      <c r="B869" s="209" t="s">
        <v>729</v>
      </c>
      <c r="C869" s="209">
        <v>200</v>
      </c>
      <c r="D869" s="226">
        <v>32258</v>
      </c>
      <c r="E869" s="226">
        <f>E870</f>
        <v>0</v>
      </c>
      <c r="F869" s="228">
        <f t="shared" si="19"/>
        <v>-32258</v>
      </c>
    </row>
    <row r="870" spans="1:6" s="308" customFormat="1" x14ac:dyDescent="0.2">
      <c r="A870" s="202" t="s">
        <v>534</v>
      </c>
      <c r="B870" s="209" t="s">
        <v>729</v>
      </c>
      <c r="C870" s="209">
        <v>240</v>
      </c>
      <c r="D870" s="226">
        <v>32258</v>
      </c>
      <c r="E870" s="226">
        <f>'Функциональная 2020'!H529</f>
        <v>0</v>
      </c>
      <c r="F870" s="228">
        <f t="shared" si="19"/>
        <v>-32258</v>
      </c>
    </row>
    <row r="871" spans="1:6" x14ac:dyDescent="0.2">
      <c r="A871" s="199" t="s">
        <v>994</v>
      </c>
      <c r="B871" s="212" t="s">
        <v>993</v>
      </c>
      <c r="C871" s="212"/>
      <c r="D871" s="205">
        <v>7645</v>
      </c>
      <c r="E871" s="205">
        <f>E872+E881</f>
        <v>7645</v>
      </c>
      <c r="F871" s="206">
        <f t="shared" si="19"/>
        <v>0</v>
      </c>
    </row>
    <row r="872" spans="1:6" x14ac:dyDescent="0.2">
      <c r="A872" s="199" t="s">
        <v>992</v>
      </c>
      <c r="B872" s="212" t="s">
        <v>991</v>
      </c>
      <c r="C872" s="212"/>
      <c r="D872" s="205">
        <v>5695</v>
      </c>
      <c r="E872" s="205">
        <f>E873+E877</f>
        <v>5695</v>
      </c>
      <c r="F872" s="206">
        <f t="shared" si="19"/>
        <v>0</v>
      </c>
    </row>
    <row r="873" spans="1:6" ht="22.5" x14ac:dyDescent="0.2">
      <c r="A873" s="199" t="s">
        <v>1050</v>
      </c>
      <c r="B873" s="212" t="s">
        <v>1049</v>
      </c>
      <c r="C873" s="212"/>
      <c r="D873" s="205">
        <v>2845</v>
      </c>
      <c r="E873" s="205">
        <f>E874</f>
        <v>2845</v>
      </c>
      <c r="F873" s="206">
        <f t="shared" si="19"/>
        <v>0</v>
      </c>
    </row>
    <row r="874" spans="1:6" ht="56.25" x14ac:dyDescent="0.2">
      <c r="A874" s="202" t="s">
        <v>1048</v>
      </c>
      <c r="B874" s="209" t="s">
        <v>1047</v>
      </c>
      <c r="C874" s="209"/>
      <c r="D874" s="226">
        <v>2845</v>
      </c>
      <c r="E874" s="226">
        <f>E875</f>
        <v>2845</v>
      </c>
      <c r="F874" s="228">
        <f t="shared" si="19"/>
        <v>0</v>
      </c>
    </row>
    <row r="875" spans="1:6" ht="22.5" x14ac:dyDescent="0.2">
      <c r="A875" s="202" t="s">
        <v>1348</v>
      </c>
      <c r="B875" s="209" t="s">
        <v>1047</v>
      </c>
      <c r="C875" s="209" t="s">
        <v>556</v>
      </c>
      <c r="D875" s="226">
        <v>2845</v>
      </c>
      <c r="E875" s="226">
        <f>E876</f>
        <v>2845</v>
      </c>
      <c r="F875" s="228">
        <f t="shared" si="19"/>
        <v>0</v>
      </c>
    </row>
    <row r="876" spans="1:6" x14ac:dyDescent="0.2">
      <c r="A876" s="202" t="s">
        <v>749</v>
      </c>
      <c r="B876" s="209" t="s">
        <v>1047</v>
      </c>
      <c r="C876" s="209" t="s">
        <v>745</v>
      </c>
      <c r="D876" s="226">
        <v>2845</v>
      </c>
      <c r="E876" s="226">
        <f>'Функциональная 2020'!H108</f>
        <v>2845</v>
      </c>
      <c r="F876" s="228">
        <f t="shared" si="19"/>
        <v>0</v>
      </c>
    </row>
    <row r="877" spans="1:6" ht="22.5" x14ac:dyDescent="0.2">
      <c r="A877" s="199" t="s">
        <v>990</v>
      </c>
      <c r="B877" s="212" t="s">
        <v>989</v>
      </c>
      <c r="C877" s="212"/>
      <c r="D877" s="205">
        <v>2850</v>
      </c>
      <c r="E877" s="205">
        <f>E878</f>
        <v>2850</v>
      </c>
      <c r="F877" s="206">
        <f t="shared" si="19"/>
        <v>0</v>
      </c>
    </row>
    <row r="878" spans="1:6" x14ac:dyDescent="0.2">
      <c r="A878" s="202" t="s">
        <v>988</v>
      </c>
      <c r="B878" s="209" t="s">
        <v>987</v>
      </c>
      <c r="C878" s="209"/>
      <c r="D878" s="226">
        <v>2850</v>
      </c>
      <c r="E878" s="226">
        <f>E879</f>
        <v>2850</v>
      </c>
      <c r="F878" s="228">
        <f t="shared" si="19"/>
        <v>0</v>
      </c>
    </row>
    <row r="879" spans="1:6" x14ac:dyDescent="0.2">
      <c r="A879" s="202" t="s">
        <v>1347</v>
      </c>
      <c r="B879" s="209" t="s">
        <v>987</v>
      </c>
      <c r="C879" s="209" t="s">
        <v>535</v>
      </c>
      <c r="D879" s="226">
        <v>2850</v>
      </c>
      <c r="E879" s="226">
        <f>E880</f>
        <v>2850</v>
      </c>
      <c r="F879" s="228">
        <f t="shared" si="19"/>
        <v>0</v>
      </c>
    </row>
    <row r="880" spans="1:6" x14ac:dyDescent="0.2">
      <c r="A880" s="202" t="s">
        <v>534</v>
      </c>
      <c r="B880" s="209" t="s">
        <v>987</v>
      </c>
      <c r="C880" s="209" t="s">
        <v>529</v>
      </c>
      <c r="D880" s="226">
        <v>2850</v>
      </c>
      <c r="E880" s="226">
        <f>'Функциональная 2020'!H720</f>
        <v>2850</v>
      </c>
      <c r="F880" s="228">
        <f t="shared" si="19"/>
        <v>0</v>
      </c>
    </row>
    <row r="881" spans="1:6" s="304" customFormat="1" x14ac:dyDescent="0.2">
      <c r="A881" s="199" t="s">
        <v>602</v>
      </c>
      <c r="B881" s="212" t="s">
        <v>1422</v>
      </c>
      <c r="C881" s="212"/>
      <c r="D881" s="205">
        <v>1950</v>
      </c>
      <c r="E881" s="205">
        <f t="shared" ref="E881:E887" si="20">E882</f>
        <v>1950</v>
      </c>
      <c r="F881" s="206">
        <f t="shared" si="19"/>
        <v>0</v>
      </c>
    </row>
    <row r="882" spans="1:6" s="304" customFormat="1" x14ac:dyDescent="0.2">
      <c r="A882" s="202" t="s">
        <v>600</v>
      </c>
      <c r="B882" s="209" t="s">
        <v>1423</v>
      </c>
      <c r="C882" s="209"/>
      <c r="D882" s="226">
        <v>1950</v>
      </c>
      <c r="E882" s="226">
        <f>E886+E883</f>
        <v>1950</v>
      </c>
      <c r="F882" s="228">
        <f t="shared" si="19"/>
        <v>0</v>
      </c>
    </row>
    <row r="883" spans="1:6" s="371" customFormat="1" x14ac:dyDescent="0.2">
      <c r="A883" s="202" t="s">
        <v>1231</v>
      </c>
      <c r="B883" s="209" t="s">
        <v>1487</v>
      </c>
      <c r="C883" s="209"/>
      <c r="D883" s="226">
        <v>1000</v>
      </c>
      <c r="E883" s="226">
        <f>E884</f>
        <v>1000</v>
      </c>
      <c r="F883" s="228">
        <f t="shared" si="19"/>
        <v>0</v>
      </c>
    </row>
    <row r="884" spans="1:6" s="371" customFormat="1" x14ac:dyDescent="0.2">
      <c r="A884" s="202" t="s">
        <v>1347</v>
      </c>
      <c r="B884" s="209" t="s">
        <v>1487</v>
      </c>
      <c r="C884" s="209">
        <v>200</v>
      </c>
      <c r="D884" s="226">
        <v>1000</v>
      </c>
      <c r="E884" s="226">
        <f>E885</f>
        <v>1000</v>
      </c>
      <c r="F884" s="228">
        <f t="shared" si="19"/>
        <v>0</v>
      </c>
    </row>
    <row r="885" spans="1:6" s="371" customFormat="1" x14ac:dyDescent="0.2">
      <c r="A885" s="202" t="s">
        <v>534</v>
      </c>
      <c r="B885" s="209" t="s">
        <v>1487</v>
      </c>
      <c r="C885" s="209">
        <v>240</v>
      </c>
      <c r="D885" s="226">
        <v>1000</v>
      </c>
      <c r="E885" s="226">
        <f>'Функциональная 2020'!H229</f>
        <v>1000</v>
      </c>
      <c r="F885" s="228">
        <f t="shared" si="19"/>
        <v>0</v>
      </c>
    </row>
    <row r="886" spans="1:6" s="304" customFormat="1" ht="22.5" x14ac:dyDescent="0.2">
      <c r="A886" s="202" t="s">
        <v>1421</v>
      </c>
      <c r="B886" s="209" t="s">
        <v>1424</v>
      </c>
      <c r="C886" s="209"/>
      <c r="D886" s="226">
        <v>950</v>
      </c>
      <c r="E886" s="226">
        <f t="shared" si="20"/>
        <v>950</v>
      </c>
      <c r="F886" s="228">
        <f t="shared" si="19"/>
        <v>0</v>
      </c>
    </row>
    <row r="887" spans="1:6" s="304" customFormat="1" x14ac:dyDescent="0.2">
      <c r="A887" s="202" t="s">
        <v>547</v>
      </c>
      <c r="B887" s="209" t="s">
        <v>1424</v>
      </c>
      <c r="C887" s="209">
        <v>600</v>
      </c>
      <c r="D887" s="226">
        <v>950</v>
      </c>
      <c r="E887" s="226">
        <f t="shared" si="20"/>
        <v>950</v>
      </c>
      <c r="F887" s="228">
        <f t="shared" si="19"/>
        <v>0</v>
      </c>
    </row>
    <row r="888" spans="1:6" s="304" customFormat="1" x14ac:dyDescent="0.2">
      <c r="A888" s="202" t="s">
        <v>571</v>
      </c>
      <c r="B888" s="209" t="s">
        <v>1424</v>
      </c>
      <c r="C888" s="209">
        <v>610</v>
      </c>
      <c r="D888" s="226">
        <v>950</v>
      </c>
      <c r="E888" s="226">
        <f>'Функциональная 2020'!H232</f>
        <v>950</v>
      </c>
      <c r="F888" s="228">
        <f t="shared" si="19"/>
        <v>0</v>
      </c>
    </row>
    <row r="889" spans="1:6" x14ac:dyDescent="0.2">
      <c r="A889" s="199" t="s">
        <v>986</v>
      </c>
      <c r="B889" s="212" t="s">
        <v>985</v>
      </c>
      <c r="C889" s="212"/>
      <c r="D889" s="205">
        <v>781782.6</v>
      </c>
      <c r="E889" s="205">
        <f>E890+E923+E988</f>
        <v>783399.09999999986</v>
      </c>
      <c r="F889" s="206">
        <f t="shared" si="19"/>
        <v>1616.4999999998836</v>
      </c>
    </row>
    <row r="890" spans="1:6" x14ac:dyDescent="0.2">
      <c r="A890" s="199" t="s">
        <v>984</v>
      </c>
      <c r="B890" s="212" t="s">
        <v>983</v>
      </c>
      <c r="C890" s="212"/>
      <c r="D890" s="205">
        <v>143718.20000000001</v>
      </c>
      <c r="E890" s="205">
        <f>E891+E913</f>
        <v>128575.1</v>
      </c>
      <c r="F890" s="206">
        <f t="shared" si="19"/>
        <v>-15143.100000000006</v>
      </c>
    </row>
    <row r="891" spans="1:6" x14ac:dyDescent="0.2">
      <c r="A891" s="199" t="s">
        <v>982</v>
      </c>
      <c r="B891" s="212" t="s">
        <v>981</v>
      </c>
      <c r="C891" s="212"/>
      <c r="D891" s="205">
        <v>127153</v>
      </c>
      <c r="E891" s="205">
        <f>E898+E910+E907+E904+E892+E895+E901</f>
        <v>111145</v>
      </c>
      <c r="F891" s="206">
        <f t="shared" si="19"/>
        <v>-16008</v>
      </c>
    </row>
    <row r="892" spans="1:6" s="442" customFormat="1" x14ac:dyDescent="0.2">
      <c r="A892" s="202" t="s">
        <v>1652</v>
      </c>
      <c r="B892" s="209" t="s">
        <v>1653</v>
      </c>
      <c r="C892" s="209"/>
      <c r="D892" s="226">
        <f>D893</f>
        <v>0</v>
      </c>
      <c r="E892" s="226">
        <f>E893</f>
        <v>11312</v>
      </c>
      <c r="F892" s="228">
        <f t="shared" si="19"/>
        <v>11312</v>
      </c>
    </row>
    <row r="893" spans="1:6" s="442" customFormat="1" x14ac:dyDescent="0.2">
      <c r="A893" s="202" t="s">
        <v>1347</v>
      </c>
      <c r="B893" s="209" t="s">
        <v>1653</v>
      </c>
      <c r="C893" s="209" t="s">
        <v>535</v>
      </c>
      <c r="D893" s="226">
        <f>D894</f>
        <v>0</v>
      </c>
      <c r="E893" s="226">
        <f>E894</f>
        <v>11312</v>
      </c>
      <c r="F893" s="228">
        <f t="shared" si="19"/>
        <v>11312</v>
      </c>
    </row>
    <row r="894" spans="1:6" s="442" customFormat="1" x14ac:dyDescent="0.2">
      <c r="A894" s="202" t="s">
        <v>534</v>
      </c>
      <c r="B894" s="209" t="s">
        <v>1653</v>
      </c>
      <c r="C894" s="209" t="s">
        <v>529</v>
      </c>
      <c r="D894" s="226">
        <v>0</v>
      </c>
      <c r="E894" s="226">
        <f>'Функциональная 2020'!H726</f>
        <v>11312</v>
      </c>
      <c r="F894" s="228">
        <f t="shared" si="19"/>
        <v>11312</v>
      </c>
    </row>
    <row r="895" spans="1:6" s="442" customFormat="1" x14ac:dyDescent="0.2">
      <c r="A895" s="202" t="s">
        <v>1654</v>
      </c>
      <c r="B895" s="209" t="s">
        <v>1655</v>
      </c>
      <c r="C895" s="209"/>
      <c r="D895" s="226">
        <f>D896</f>
        <v>0</v>
      </c>
      <c r="E895" s="226">
        <f>E896</f>
        <v>31292</v>
      </c>
      <c r="F895" s="228">
        <f t="shared" si="19"/>
        <v>31292</v>
      </c>
    </row>
    <row r="896" spans="1:6" s="442" customFormat="1" x14ac:dyDescent="0.2">
      <c r="A896" s="202" t="s">
        <v>1347</v>
      </c>
      <c r="B896" s="209" t="s">
        <v>1655</v>
      </c>
      <c r="C896" s="209" t="s">
        <v>535</v>
      </c>
      <c r="D896" s="226">
        <f>D897</f>
        <v>0</v>
      </c>
      <c r="E896" s="226">
        <f>E897</f>
        <v>31292</v>
      </c>
      <c r="F896" s="228">
        <f t="shared" si="19"/>
        <v>31292</v>
      </c>
    </row>
    <row r="897" spans="1:6" s="442" customFormat="1" x14ac:dyDescent="0.2">
      <c r="A897" s="202" t="s">
        <v>534</v>
      </c>
      <c r="B897" s="209" t="s">
        <v>1655</v>
      </c>
      <c r="C897" s="209" t="s">
        <v>529</v>
      </c>
      <c r="D897" s="226">
        <v>0</v>
      </c>
      <c r="E897" s="226">
        <f>'Функциональная 2020'!H729</f>
        <v>31292</v>
      </c>
      <c r="F897" s="228">
        <f t="shared" si="19"/>
        <v>31292</v>
      </c>
    </row>
    <row r="898" spans="1:6" x14ac:dyDescent="0.2">
      <c r="A898" s="202" t="s">
        <v>980</v>
      </c>
      <c r="B898" s="209" t="s">
        <v>979</v>
      </c>
      <c r="C898" s="209"/>
      <c r="D898" s="226">
        <v>60841</v>
      </c>
      <c r="E898" s="226">
        <f>E899</f>
        <v>60841</v>
      </c>
      <c r="F898" s="228">
        <f t="shared" si="19"/>
        <v>0</v>
      </c>
    </row>
    <row r="899" spans="1:6" x14ac:dyDescent="0.2">
      <c r="A899" s="202" t="s">
        <v>1347</v>
      </c>
      <c r="B899" s="209" t="s">
        <v>979</v>
      </c>
      <c r="C899" s="209" t="s">
        <v>535</v>
      </c>
      <c r="D899" s="226">
        <v>60841</v>
      </c>
      <c r="E899" s="226">
        <f>E900</f>
        <v>60841</v>
      </c>
      <c r="F899" s="228">
        <f t="shared" si="19"/>
        <v>0</v>
      </c>
    </row>
    <row r="900" spans="1:6" x14ac:dyDescent="0.2">
      <c r="A900" s="202" t="s">
        <v>534</v>
      </c>
      <c r="B900" s="209" t="s">
        <v>979</v>
      </c>
      <c r="C900" s="209" t="s">
        <v>529</v>
      </c>
      <c r="D900" s="226">
        <v>60841</v>
      </c>
      <c r="E900" s="226">
        <f>'Функциональная 2020'!H732</f>
        <v>60841</v>
      </c>
      <c r="F900" s="228">
        <f t="shared" si="19"/>
        <v>0</v>
      </c>
    </row>
    <row r="901" spans="1:6" s="444" customFormat="1" ht="22.5" x14ac:dyDescent="0.2">
      <c r="A901" s="202" t="s">
        <v>1658</v>
      </c>
      <c r="B901" s="209" t="s">
        <v>1659</v>
      </c>
      <c r="C901" s="209"/>
      <c r="D901" s="226">
        <f>D902</f>
        <v>0</v>
      </c>
      <c r="E901" s="226">
        <f>E902</f>
        <v>2000</v>
      </c>
      <c r="F901" s="228">
        <f t="shared" si="19"/>
        <v>2000</v>
      </c>
    </row>
    <row r="902" spans="1:6" s="444" customFormat="1" x14ac:dyDescent="0.2">
      <c r="A902" s="202" t="s">
        <v>1347</v>
      </c>
      <c r="B902" s="209" t="s">
        <v>1659</v>
      </c>
      <c r="C902" s="209" t="s">
        <v>535</v>
      </c>
      <c r="D902" s="226">
        <f>D903</f>
        <v>0</v>
      </c>
      <c r="E902" s="226">
        <f>E903</f>
        <v>2000</v>
      </c>
      <c r="F902" s="228">
        <f t="shared" si="19"/>
        <v>2000</v>
      </c>
    </row>
    <row r="903" spans="1:6" s="444" customFormat="1" x14ac:dyDescent="0.2">
      <c r="A903" s="202" t="s">
        <v>534</v>
      </c>
      <c r="B903" s="209" t="s">
        <v>1659</v>
      </c>
      <c r="C903" s="209" t="s">
        <v>529</v>
      </c>
      <c r="D903" s="226">
        <v>0</v>
      </c>
      <c r="E903" s="226">
        <f>'Функциональная 2020'!H735</f>
        <v>2000</v>
      </c>
      <c r="F903" s="228">
        <f t="shared" si="19"/>
        <v>2000</v>
      </c>
    </row>
    <row r="904" spans="1:6" s="440" customFormat="1" ht="22.5" x14ac:dyDescent="0.2">
      <c r="A904" s="202" t="s">
        <v>1645</v>
      </c>
      <c r="B904" s="209" t="s">
        <v>1646</v>
      </c>
      <c r="C904" s="209"/>
      <c r="D904" s="226">
        <f>D905</f>
        <v>0</v>
      </c>
      <c r="E904" s="226">
        <f>E905</f>
        <v>5700</v>
      </c>
      <c r="F904" s="228">
        <f t="shared" si="19"/>
        <v>5700</v>
      </c>
    </row>
    <row r="905" spans="1:6" s="440" customFormat="1" x14ac:dyDescent="0.2">
      <c r="A905" s="202" t="s">
        <v>1347</v>
      </c>
      <c r="B905" s="209" t="s">
        <v>1646</v>
      </c>
      <c r="C905" s="209" t="s">
        <v>535</v>
      </c>
      <c r="D905" s="226">
        <f>D906</f>
        <v>0</v>
      </c>
      <c r="E905" s="226">
        <f>E906</f>
        <v>5700</v>
      </c>
      <c r="F905" s="228">
        <f t="shared" si="19"/>
        <v>5700</v>
      </c>
    </row>
    <row r="906" spans="1:6" s="440" customFormat="1" x14ac:dyDescent="0.2">
      <c r="A906" s="202" t="s">
        <v>534</v>
      </c>
      <c r="B906" s="209" t="s">
        <v>1646</v>
      </c>
      <c r="C906" s="209" t="s">
        <v>529</v>
      </c>
      <c r="D906" s="226">
        <v>0</v>
      </c>
      <c r="E906" s="226">
        <f>'Функциональная 2020'!H738</f>
        <v>5700</v>
      </c>
      <c r="F906" s="228">
        <f t="shared" si="19"/>
        <v>5700</v>
      </c>
    </row>
    <row r="907" spans="1:6" s="373" customFormat="1" ht="22.5" x14ac:dyDescent="0.2">
      <c r="A907" s="202" t="s">
        <v>1490</v>
      </c>
      <c r="B907" s="209" t="s">
        <v>1491</v>
      </c>
      <c r="C907" s="209"/>
      <c r="D907" s="226">
        <v>11312</v>
      </c>
      <c r="E907" s="226">
        <f>E908</f>
        <v>0</v>
      </c>
      <c r="F907" s="228">
        <f t="shared" si="19"/>
        <v>-11312</v>
      </c>
    </row>
    <row r="908" spans="1:6" s="373" customFormat="1" x14ac:dyDescent="0.2">
      <c r="A908" s="202" t="s">
        <v>1347</v>
      </c>
      <c r="B908" s="209" t="s">
        <v>1491</v>
      </c>
      <c r="C908" s="209" t="s">
        <v>535</v>
      </c>
      <c r="D908" s="226">
        <v>11312</v>
      </c>
      <c r="E908" s="226">
        <f>E909</f>
        <v>0</v>
      </c>
      <c r="F908" s="228">
        <f t="shared" si="19"/>
        <v>-11312</v>
      </c>
    </row>
    <row r="909" spans="1:6" s="373" customFormat="1" x14ac:dyDescent="0.2">
      <c r="A909" s="202" t="s">
        <v>534</v>
      </c>
      <c r="B909" s="209" t="s">
        <v>1491</v>
      </c>
      <c r="C909" s="209" t="s">
        <v>529</v>
      </c>
      <c r="D909" s="226">
        <v>11312</v>
      </c>
      <c r="E909" s="226">
        <f>'Функциональная 2020'!H741</f>
        <v>0</v>
      </c>
      <c r="F909" s="228">
        <f t="shared" si="19"/>
        <v>-11312</v>
      </c>
    </row>
    <row r="910" spans="1:6" s="373" customFormat="1" ht="22.5" x14ac:dyDescent="0.2">
      <c r="A910" s="202" t="s">
        <v>1488</v>
      </c>
      <c r="B910" s="209" t="s">
        <v>1489</v>
      </c>
      <c r="C910" s="209"/>
      <c r="D910" s="226">
        <v>55000</v>
      </c>
      <c r="E910" s="226">
        <f>E911</f>
        <v>0</v>
      </c>
      <c r="F910" s="228">
        <f t="shared" si="19"/>
        <v>-55000</v>
      </c>
    </row>
    <row r="911" spans="1:6" s="373" customFormat="1" x14ac:dyDescent="0.2">
      <c r="A911" s="202" t="s">
        <v>1347</v>
      </c>
      <c r="B911" s="209" t="s">
        <v>1489</v>
      </c>
      <c r="C911" s="209" t="s">
        <v>535</v>
      </c>
      <c r="D911" s="226">
        <v>55000</v>
      </c>
      <c r="E911" s="226">
        <f>E912</f>
        <v>0</v>
      </c>
      <c r="F911" s="228">
        <f t="shared" si="19"/>
        <v>-55000</v>
      </c>
    </row>
    <row r="912" spans="1:6" s="373" customFormat="1" x14ac:dyDescent="0.2">
      <c r="A912" s="202" t="s">
        <v>534</v>
      </c>
      <c r="B912" s="209" t="s">
        <v>1489</v>
      </c>
      <c r="C912" s="209" t="s">
        <v>529</v>
      </c>
      <c r="D912" s="226">
        <v>55000</v>
      </c>
      <c r="E912" s="226">
        <f>'Функциональная 2020'!H744</f>
        <v>0</v>
      </c>
      <c r="F912" s="228">
        <f t="shared" si="19"/>
        <v>-55000</v>
      </c>
    </row>
    <row r="913" spans="1:6" x14ac:dyDescent="0.2">
      <c r="A913" s="199" t="s">
        <v>978</v>
      </c>
      <c r="B913" s="212" t="s">
        <v>977</v>
      </c>
      <c r="C913" s="212"/>
      <c r="D913" s="205">
        <v>16565.2</v>
      </c>
      <c r="E913" s="205">
        <f>E917+E914+E920</f>
        <v>17430.099999999999</v>
      </c>
      <c r="F913" s="206">
        <f t="shared" si="19"/>
        <v>864.89999999999782</v>
      </c>
    </row>
    <row r="914" spans="1:6" s="211" customFormat="1" ht="22.5" x14ac:dyDescent="0.2">
      <c r="A914" s="202" t="s">
        <v>1370</v>
      </c>
      <c r="B914" s="209" t="s">
        <v>1371</v>
      </c>
      <c r="C914" s="209"/>
      <c r="D914" s="226">
        <v>12121.2</v>
      </c>
      <c r="E914" s="226">
        <f>E915</f>
        <v>9300</v>
      </c>
      <c r="F914" s="228">
        <f t="shared" si="19"/>
        <v>-2821.2000000000007</v>
      </c>
    </row>
    <row r="915" spans="1:6" s="211" customFormat="1" x14ac:dyDescent="0.2">
      <c r="A915" s="202" t="s">
        <v>1347</v>
      </c>
      <c r="B915" s="209" t="s">
        <v>1371</v>
      </c>
      <c r="C915" s="209" t="s">
        <v>535</v>
      </c>
      <c r="D915" s="226">
        <v>12121.2</v>
      </c>
      <c r="E915" s="226">
        <f>E916</f>
        <v>9300</v>
      </c>
      <c r="F915" s="228">
        <f t="shared" si="19"/>
        <v>-2821.2000000000007</v>
      </c>
    </row>
    <row r="916" spans="1:6" s="211" customFormat="1" x14ac:dyDescent="0.2">
      <c r="A916" s="202" t="s">
        <v>534</v>
      </c>
      <c r="B916" s="209" t="s">
        <v>1371</v>
      </c>
      <c r="C916" s="209" t="s">
        <v>529</v>
      </c>
      <c r="D916" s="226">
        <v>12121.2</v>
      </c>
      <c r="E916" s="226">
        <f>'Функциональная 2020'!H748</f>
        <v>9300</v>
      </c>
      <c r="F916" s="228">
        <f t="shared" si="19"/>
        <v>-2821.2000000000007</v>
      </c>
    </row>
    <row r="917" spans="1:6" x14ac:dyDescent="0.2">
      <c r="A917" s="202" t="s">
        <v>1530</v>
      </c>
      <c r="B917" s="209" t="s">
        <v>974</v>
      </c>
      <c r="C917" s="209"/>
      <c r="D917" s="226">
        <v>4444</v>
      </c>
      <c r="E917" s="226">
        <f>E918</f>
        <v>0</v>
      </c>
      <c r="F917" s="228">
        <f t="shared" si="19"/>
        <v>-4444</v>
      </c>
    </row>
    <row r="918" spans="1:6" s="389" customFormat="1" x14ac:dyDescent="0.2">
      <c r="A918" s="202" t="s">
        <v>547</v>
      </c>
      <c r="B918" s="209" t="s">
        <v>974</v>
      </c>
      <c r="C918" s="209">
        <v>600</v>
      </c>
      <c r="D918" s="226">
        <v>4444</v>
      </c>
      <c r="E918" s="226">
        <f>E919</f>
        <v>0</v>
      </c>
      <c r="F918" s="228">
        <f t="shared" si="19"/>
        <v>-4444</v>
      </c>
    </row>
    <row r="919" spans="1:6" s="389" customFormat="1" x14ac:dyDescent="0.2">
      <c r="A919" s="202" t="s">
        <v>571</v>
      </c>
      <c r="B919" s="209" t="s">
        <v>974</v>
      </c>
      <c r="C919" s="209">
        <v>610</v>
      </c>
      <c r="D919" s="226">
        <v>4444</v>
      </c>
      <c r="E919" s="226">
        <f>'Функциональная 2020'!H751</f>
        <v>0</v>
      </c>
      <c r="F919" s="228">
        <f t="shared" si="19"/>
        <v>-4444</v>
      </c>
    </row>
    <row r="920" spans="1:6" s="424" customFormat="1" x14ac:dyDescent="0.2">
      <c r="A920" s="202" t="s">
        <v>1622</v>
      </c>
      <c r="B920" s="209" t="s">
        <v>1623</v>
      </c>
      <c r="C920" s="209"/>
      <c r="D920" s="226">
        <f>D921</f>
        <v>0</v>
      </c>
      <c r="E920" s="226">
        <f>E921</f>
        <v>8130.1</v>
      </c>
      <c r="F920" s="228">
        <f t="shared" si="19"/>
        <v>8130.1</v>
      </c>
    </row>
    <row r="921" spans="1:6" s="424" customFormat="1" x14ac:dyDescent="0.2">
      <c r="A921" s="202" t="s">
        <v>1347</v>
      </c>
      <c r="B921" s="209" t="s">
        <v>1623</v>
      </c>
      <c r="C921" s="209" t="s">
        <v>535</v>
      </c>
      <c r="D921" s="226">
        <f>D922</f>
        <v>0</v>
      </c>
      <c r="E921" s="226">
        <f>E922</f>
        <v>8130.1</v>
      </c>
      <c r="F921" s="228">
        <f t="shared" si="19"/>
        <v>8130.1</v>
      </c>
    </row>
    <row r="922" spans="1:6" s="424" customFormat="1" x14ac:dyDescent="0.2">
      <c r="A922" s="202" t="s">
        <v>534</v>
      </c>
      <c r="B922" s="209" t="s">
        <v>1623</v>
      </c>
      <c r="C922" s="209" t="s">
        <v>529</v>
      </c>
      <c r="D922" s="226">
        <v>0</v>
      </c>
      <c r="E922" s="226">
        <f>'Функциональная 2020'!H494</f>
        <v>8130.1</v>
      </c>
      <c r="F922" s="228">
        <f t="shared" si="19"/>
        <v>8130.1</v>
      </c>
    </row>
    <row r="923" spans="1:6" x14ac:dyDescent="0.2">
      <c r="A923" s="199" t="s">
        <v>973</v>
      </c>
      <c r="B923" s="212" t="s">
        <v>972</v>
      </c>
      <c r="C923" s="212"/>
      <c r="D923" s="205">
        <v>599193.30000000005</v>
      </c>
      <c r="E923" s="205">
        <f>E924</f>
        <v>625619.29999999993</v>
      </c>
      <c r="F923" s="206">
        <f t="shared" si="19"/>
        <v>26425.999999999884</v>
      </c>
    </row>
    <row r="924" spans="1:6" x14ac:dyDescent="0.2">
      <c r="A924" s="199" t="s">
        <v>971</v>
      </c>
      <c r="B924" s="212" t="s">
        <v>970</v>
      </c>
      <c r="C924" s="212"/>
      <c r="D924" s="205">
        <v>599193.30000000005</v>
      </c>
      <c r="E924" s="205">
        <f>E925+E930+E933+E936+E939+E942+E945+E948+E953+E958+E963+E966+E969+E976+E983</f>
        <v>625619.29999999993</v>
      </c>
      <c r="F924" s="206">
        <f t="shared" ref="F924:F991" si="21">E924-D924</f>
        <v>26425.999999999884</v>
      </c>
    </row>
    <row r="925" spans="1:6" x14ac:dyDescent="0.2">
      <c r="A925" s="202" t="s">
        <v>1531</v>
      </c>
      <c r="B925" s="209" t="s">
        <v>969</v>
      </c>
      <c r="C925" s="209"/>
      <c r="D925" s="226">
        <v>61321.600000000006</v>
      </c>
      <c r="E925" s="226">
        <f>E926+E928</f>
        <v>63498.8</v>
      </c>
      <c r="F925" s="228">
        <f t="shared" si="21"/>
        <v>2177.1999999999971</v>
      </c>
    </row>
    <row r="926" spans="1:6" x14ac:dyDescent="0.2">
      <c r="A926" s="202" t="s">
        <v>1347</v>
      </c>
      <c r="B926" s="209" t="s">
        <v>969</v>
      </c>
      <c r="C926" s="209" t="s">
        <v>535</v>
      </c>
      <c r="D926" s="226">
        <v>10996.700000000004</v>
      </c>
      <c r="E926" s="226">
        <f>E927</f>
        <v>10996.700000000004</v>
      </c>
      <c r="F926" s="228">
        <f t="shared" si="21"/>
        <v>0</v>
      </c>
    </row>
    <row r="927" spans="1:6" x14ac:dyDescent="0.2">
      <c r="A927" s="202" t="s">
        <v>534</v>
      </c>
      <c r="B927" s="209" t="s">
        <v>969</v>
      </c>
      <c r="C927" s="209" t="s">
        <v>529</v>
      </c>
      <c r="D927" s="226">
        <v>10996.700000000004</v>
      </c>
      <c r="E927" s="226">
        <f>'Функциональная 2020'!H756</f>
        <v>10996.700000000004</v>
      </c>
      <c r="F927" s="228">
        <f t="shared" si="21"/>
        <v>0</v>
      </c>
    </row>
    <row r="928" spans="1:6" s="389" customFormat="1" x14ac:dyDescent="0.2">
      <c r="A928" s="202" t="s">
        <v>547</v>
      </c>
      <c r="B928" s="209" t="s">
        <v>969</v>
      </c>
      <c r="C928" s="209">
        <v>600</v>
      </c>
      <c r="D928" s="226">
        <v>50324.9</v>
      </c>
      <c r="E928" s="226">
        <f>E929</f>
        <v>52502.1</v>
      </c>
      <c r="F928" s="228">
        <f t="shared" si="21"/>
        <v>2177.1999999999971</v>
      </c>
    </row>
    <row r="929" spans="1:6" s="389" customFormat="1" x14ac:dyDescent="0.2">
      <c r="A929" s="202" t="s">
        <v>571</v>
      </c>
      <c r="B929" s="209" t="s">
        <v>969</v>
      </c>
      <c r="C929" s="209">
        <v>610</v>
      </c>
      <c r="D929" s="226">
        <v>50324.9</v>
      </c>
      <c r="E929" s="226">
        <f>'Функциональная 2020'!H758</f>
        <v>52502.1</v>
      </c>
      <c r="F929" s="228">
        <f t="shared" si="21"/>
        <v>2177.1999999999971</v>
      </c>
    </row>
    <row r="930" spans="1:6" x14ac:dyDescent="0.2">
      <c r="A930" s="202" t="s">
        <v>968</v>
      </c>
      <c r="B930" s="209" t="s">
        <v>967</v>
      </c>
      <c r="C930" s="209"/>
      <c r="D930" s="226">
        <v>17619.100000000002</v>
      </c>
      <c r="E930" s="226">
        <f>E931</f>
        <v>17619.100000000002</v>
      </c>
      <c r="F930" s="228">
        <f t="shared" si="21"/>
        <v>0</v>
      </c>
    </row>
    <row r="931" spans="1:6" x14ac:dyDescent="0.2">
      <c r="A931" s="202" t="s">
        <v>1347</v>
      </c>
      <c r="B931" s="209" t="s">
        <v>967</v>
      </c>
      <c r="C931" s="209" t="s">
        <v>535</v>
      </c>
      <c r="D931" s="226">
        <v>17619.100000000002</v>
      </c>
      <c r="E931" s="226">
        <f>E932</f>
        <v>17619.100000000002</v>
      </c>
      <c r="F931" s="228">
        <f t="shared" si="21"/>
        <v>0</v>
      </c>
    </row>
    <row r="932" spans="1:6" x14ac:dyDescent="0.2">
      <c r="A932" s="202" t="s">
        <v>534</v>
      </c>
      <c r="B932" s="209" t="s">
        <v>967</v>
      </c>
      <c r="C932" s="209" t="s">
        <v>529</v>
      </c>
      <c r="D932" s="226">
        <v>17619.100000000002</v>
      </c>
      <c r="E932" s="226">
        <f>'Функциональная 2020'!H761</f>
        <v>17619.100000000002</v>
      </c>
      <c r="F932" s="228">
        <f t="shared" si="21"/>
        <v>0</v>
      </c>
    </row>
    <row r="933" spans="1:6" x14ac:dyDescent="0.2">
      <c r="A933" s="202" t="s">
        <v>966</v>
      </c>
      <c r="B933" s="209" t="s">
        <v>965</v>
      </c>
      <c r="C933" s="209"/>
      <c r="D933" s="226">
        <v>20346.599999999999</v>
      </c>
      <c r="E933" s="226">
        <f>E934</f>
        <v>21446.6</v>
      </c>
      <c r="F933" s="228">
        <f t="shared" si="21"/>
        <v>1100</v>
      </c>
    </row>
    <row r="934" spans="1:6" x14ac:dyDescent="0.2">
      <c r="A934" s="202" t="s">
        <v>1347</v>
      </c>
      <c r="B934" s="209" t="s">
        <v>965</v>
      </c>
      <c r="C934" s="209" t="s">
        <v>535</v>
      </c>
      <c r="D934" s="226">
        <v>20346.599999999999</v>
      </c>
      <c r="E934" s="226">
        <f>E935</f>
        <v>21446.6</v>
      </c>
      <c r="F934" s="228">
        <f t="shared" si="21"/>
        <v>1100</v>
      </c>
    </row>
    <row r="935" spans="1:6" x14ac:dyDescent="0.2">
      <c r="A935" s="202" t="s">
        <v>534</v>
      </c>
      <c r="B935" s="209" t="s">
        <v>965</v>
      </c>
      <c r="C935" s="209" t="s">
        <v>529</v>
      </c>
      <c r="D935" s="226">
        <v>20346.599999999999</v>
      </c>
      <c r="E935" s="226">
        <f>'Функциональная 2020'!H764</f>
        <v>21446.6</v>
      </c>
      <c r="F935" s="228">
        <f t="shared" si="21"/>
        <v>1100</v>
      </c>
    </row>
    <row r="936" spans="1:6" x14ac:dyDescent="0.2">
      <c r="A936" s="202" t="s">
        <v>964</v>
      </c>
      <c r="B936" s="209" t="s">
        <v>963</v>
      </c>
      <c r="C936" s="209"/>
      <c r="D936" s="226">
        <v>6000</v>
      </c>
      <c r="E936" s="226">
        <f>E937</f>
        <v>5347.5</v>
      </c>
      <c r="F936" s="228">
        <f t="shared" si="21"/>
        <v>-652.5</v>
      </c>
    </row>
    <row r="937" spans="1:6" x14ac:dyDescent="0.2">
      <c r="A937" s="202" t="s">
        <v>547</v>
      </c>
      <c r="B937" s="209" t="s">
        <v>963</v>
      </c>
      <c r="C937" s="209" t="s">
        <v>519</v>
      </c>
      <c r="D937" s="226">
        <v>6000</v>
      </c>
      <c r="E937" s="226">
        <f>E938</f>
        <v>5347.5</v>
      </c>
      <c r="F937" s="228">
        <f t="shared" si="21"/>
        <v>-652.5</v>
      </c>
    </row>
    <row r="938" spans="1:6" x14ac:dyDescent="0.2">
      <c r="A938" s="202" t="s">
        <v>571</v>
      </c>
      <c r="B938" s="209" t="s">
        <v>963</v>
      </c>
      <c r="C938" s="209" t="s">
        <v>522</v>
      </c>
      <c r="D938" s="226">
        <v>6000</v>
      </c>
      <c r="E938" s="226">
        <f>'Функциональная 2020'!H767</f>
        <v>5347.5</v>
      </c>
      <c r="F938" s="228">
        <f t="shared" si="21"/>
        <v>-652.5</v>
      </c>
    </row>
    <row r="939" spans="1:6" x14ac:dyDescent="0.2">
      <c r="A939" s="202" t="s">
        <v>962</v>
      </c>
      <c r="B939" s="209" t="s">
        <v>961</v>
      </c>
      <c r="C939" s="209"/>
      <c r="D939" s="226">
        <v>206256.5</v>
      </c>
      <c r="E939" s="226">
        <f>E940</f>
        <v>213722.5</v>
      </c>
      <c r="F939" s="228">
        <f t="shared" si="21"/>
        <v>7466</v>
      </c>
    </row>
    <row r="940" spans="1:6" x14ac:dyDescent="0.2">
      <c r="A940" s="202" t="s">
        <v>1347</v>
      </c>
      <c r="B940" s="209" t="s">
        <v>961</v>
      </c>
      <c r="C940" s="209" t="s">
        <v>535</v>
      </c>
      <c r="D940" s="226">
        <v>206256.5</v>
      </c>
      <c r="E940" s="226">
        <f>E941</f>
        <v>213722.5</v>
      </c>
      <c r="F940" s="228">
        <f t="shared" si="21"/>
        <v>7466</v>
      </c>
    </row>
    <row r="941" spans="1:6" x14ac:dyDescent="0.2">
      <c r="A941" s="202" t="s">
        <v>534</v>
      </c>
      <c r="B941" s="209" t="s">
        <v>961</v>
      </c>
      <c r="C941" s="209" t="s">
        <v>529</v>
      </c>
      <c r="D941" s="226">
        <v>206256.5</v>
      </c>
      <c r="E941" s="226">
        <f>'Функциональная 2020'!H770</f>
        <v>213722.5</v>
      </c>
      <c r="F941" s="228">
        <f t="shared" si="21"/>
        <v>7466</v>
      </c>
    </row>
    <row r="942" spans="1:6" x14ac:dyDescent="0.2">
      <c r="A942" s="202" t="s">
        <v>960</v>
      </c>
      <c r="B942" s="209" t="s">
        <v>959</v>
      </c>
      <c r="C942" s="209"/>
      <c r="D942" s="226">
        <v>16684.699999999997</v>
      </c>
      <c r="E942" s="226">
        <f>E943</f>
        <v>20477.299999999996</v>
      </c>
      <c r="F942" s="228">
        <f t="shared" si="21"/>
        <v>3792.5999999999985</v>
      </c>
    </row>
    <row r="943" spans="1:6" x14ac:dyDescent="0.2">
      <c r="A943" s="202" t="s">
        <v>1347</v>
      </c>
      <c r="B943" s="209" t="s">
        <v>959</v>
      </c>
      <c r="C943" s="209" t="s">
        <v>535</v>
      </c>
      <c r="D943" s="226">
        <v>16684.699999999997</v>
      </c>
      <c r="E943" s="226">
        <f>E944</f>
        <v>20477.299999999996</v>
      </c>
      <c r="F943" s="228">
        <f t="shared" si="21"/>
        <v>3792.5999999999985</v>
      </c>
    </row>
    <row r="944" spans="1:6" x14ac:dyDescent="0.2">
      <c r="A944" s="202" t="s">
        <v>534</v>
      </c>
      <c r="B944" s="209" t="s">
        <v>959</v>
      </c>
      <c r="C944" s="209" t="s">
        <v>529</v>
      </c>
      <c r="D944" s="226">
        <v>16684.699999999997</v>
      </c>
      <c r="E944" s="226">
        <f>'Функциональная 2020'!H773</f>
        <v>20477.299999999996</v>
      </c>
      <c r="F944" s="228">
        <f t="shared" si="21"/>
        <v>3792.5999999999985</v>
      </c>
    </row>
    <row r="945" spans="1:6" ht="22.5" x14ac:dyDescent="0.2">
      <c r="A945" s="202" t="s">
        <v>958</v>
      </c>
      <c r="B945" s="209" t="s">
        <v>957</v>
      </c>
      <c r="C945" s="209"/>
      <c r="D945" s="226">
        <v>4500</v>
      </c>
      <c r="E945" s="226">
        <f>E946</f>
        <v>10550</v>
      </c>
      <c r="F945" s="228">
        <f t="shared" si="21"/>
        <v>6050</v>
      </c>
    </row>
    <row r="946" spans="1:6" x14ac:dyDescent="0.2">
      <c r="A946" s="202" t="s">
        <v>1347</v>
      </c>
      <c r="B946" s="209" t="s">
        <v>957</v>
      </c>
      <c r="C946" s="209" t="s">
        <v>535</v>
      </c>
      <c r="D946" s="226">
        <v>4500</v>
      </c>
      <c r="E946" s="226">
        <f>E947</f>
        <v>10550</v>
      </c>
      <c r="F946" s="228">
        <f t="shared" si="21"/>
        <v>6050</v>
      </c>
    </row>
    <row r="947" spans="1:6" x14ac:dyDescent="0.2">
      <c r="A947" s="202" t="s">
        <v>534</v>
      </c>
      <c r="B947" s="209" t="s">
        <v>957</v>
      </c>
      <c r="C947" s="209" t="s">
        <v>529</v>
      </c>
      <c r="D947" s="226">
        <v>4500</v>
      </c>
      <c r="E947" s="226">
        <f>'Функциональная 2020'!H776</f>
        <v>10550</v>
      </c>
      <c r="F947" s="228">
        <f t="shared" si="21"/>
        <v>6050</v>
      </c>
    </row>
    <row r="948" spans="1:6" ht="22.5" x14ac:dyDescent="0.2">
      <c r="A948" s="202" t="s">
        <v>1532</v>
      </c>
      <c r="B948" s="209" t="s">
        <v>956</v>
      </c>
      <c r="C948" s="209"/>
      <c r="D948" s="226">
        <v>396.40000000000003</v>
      </c>
      <c r="E948" s="226">
        <f>E949+E951</f>
        <v>396.40000000000003</v>
      </c>
      <c r="F948" s="228">
        <f t="shared" si="21"/>
        <v>0</v>
      </c>
    </row>
    <row r="949" spans="1:6" x14ac:dyDescent="0.2">
      <c r="A949" s="202" t="s">
        <v>1347</v>
      </c>
      <c r="B949" s="209" t="s">
        <v>956</v>
      </c>
      <c r="C949" s="209" t="s">
        <v>535</v>
      </c>
      <c r="D949" s="226">
        <v>23.8</v>
      </c>
      <c r="E949" s="226">
        <f>E950</f>
        <v>23.8</v>
      </c>
      <c r="F949" s="228">
        <f t="shared" si="21"/>
        <v>0</v>
      </c>
    </row>
    <row r="950" spans="1:6" x14ac:dyDescent="0.2">
      <c r="A950" s="202" t="s">
        <v>534</v>
      </c>
      <c r="B950" s="209" t="s">
        <v>956</v>
      </c>
      <c r="C950" s="209" t="s">
        <v>529</v>
      </c>
      <c r="D950" s="226">
        <v>23.8</v>
      </c>
      <c r="E950" s="226">
        <f>'Функциональная 2020'!H779</f>
        <v>23.8</v>
      </c>
      <c r="F950" s="228">
        <f t="shared" si="21"/>
        <v>0</v>
      </c>
    </row>
    <row r="951" spans="1:6" s="389" customFormat="1" x14ac:dyDescent="0.2">
      <c r="A951" s="202" t="s">
        <v>547</v>
      </c>
      <c r="B951" s="209" t="s">
        <v>956</v>
      </c>
      <c r="C951" s="209">
        <v>600</v>
      </c>
      <c r="D951" s="226">
        <v>372.6</v>
      </c>
      <c r="E951" s="226">
        <f>E952</f>
        <v>372.6</v>
      </c>
      <c r="F951" s="228">
        <f t="shared" si="21"/>
        <v>0</v>
      </c>
    </row>
    <row r="952" spans="1:6" s="389" customFormat="1" x14ac:dyDescent="0.2">
      <c r="A952" s="202" t="s">
        <v>571</v>
      </c>
      <c r="B952" s="209" t="s">
        <v>956</v>
      </c>
      <c r="C952" s="209">
        <v>610</v>
      </c>
      <c r="D952" s="226">
        <v>372.6</v>
      </c>
      <c r="E952" s="226">
        <f>'Функциональная 2020'!H781</f>
        <v>372.6</v>
      </c>
      <c r="F952" s="228">
        <f t="shared" si="21"/>
        <v>0</v>
      </c>
    </row>
    <row r="953" spans="1:6" ht="22.5" x14ac:dyDescent="0.2">
      <c r="A953" s="202" t="s">
        <v>948</v>
      </c>
      <c r="B953" s="209" t="s">
        <v>955</v>
      </c>
      <c r="C953" s="209"/>
      <c r="D953" s="226">
        <v>329.1</v>
      </c>
      <c r="E953" s="226">
        <f>E954+E956</f>
        <v>329.1</v>
      </c>
      <c r="F953" s="228">
        <f t="shared" si="21"/>
        <v>0</v>
      </c>
    </row>
    <row r="954" spans="1:6" ht="22.5" x14ac:dyDescent="0.2">
      <c r="A954" s="202" t="s">
        <v>1348</v>
      </c>
      <c r="B954" s="209" t="s">
        <v>955</v>
      </c>
      <c r="C954" s="209" t="s">
        <v>556</v>
      </c>
      <c r="D954" s="226">
        <v>295.8</v>
      </c>
      <c r="E954" s="226">
        <f>E955</f>
        <v>295.8</v>
      </c>
      <c r="F954" s="228">
        <f t="shared" si="21"/>
        <v>0</v>
      </c>
    </row>
    <row r="955" spans="1:6" x14ac:dyDescent="0.2">
      <c r="A955" s="202" t="s">
        <v>555</v>
      </c>
      <c r="B955" s="209" t="s">
        <v>955</v>
      </c>
      <c r="C955" s="209" t="s">
        <v>554</v>
      </c>
      <c r="D955" s="226">
        <v>295.8</v>
      </c>
      <c r="E955" s="226">
        <f>'Функциональная 2020'!H784</f>
        <v>295.8</v>
      </c>
      <c r="F955" s="228">
        <f t="shared" si="21"/>
        <v>0</v>
      </c>
    </row>
    <row r="956" spans="1:6" x14ac:dyDescent="0.2">
      <c r="A956" s="202" t="s">
        <v>1347</v>
      </c>
      <c r="B956" s="209" t="s">
        <v>955</v>
      </c>
      <c r="C956" s="209" t="s">
        <v>535</v>
      </c>
      <c r="D956" s="226">
        <v>33.299999999999997</v>
      </c>
      <c r="E956" s="226">
        <f>E957</f>
        <v>33.299999999999997</v>
      </c>
      <c r="F956" s="228">
        <f t="shared" si="21"/>
        <v>0</v>
      </c>
    </row>
    <row r="957" spans="1:6" x14ac:dyDescent="0.2">
      <c r="A957" s="202" t="s">
        <v>534</v>
      </c>
      <c r="B957" s="209" t="s">
        <v>955</v>
      </c>
      <c r="C957" s="209" t="s">
        <v>529</v>
      </c>
      <c r="D957" s="226">
        <v>33.299999999999997</v>
      </c>
      <c r="E957" s="226">
        <f>'Функциональная 2020'!H786</f>
        <v>33.299999999999997</v>
      </c>
      <c r="F957" s="228">
        <f t="shared" si="21"/>
        <v>0</v>
      </c>
    </row>
    <row r="958" spans="1:6" ht="22.5" x14ac:dyDescent="0.2">
      <c r="A958" s="202" t="s">
        <v>946</v>
      </c>
      <c r="B958" s="209" t="s">
        <v>954</v>
      </c>
      <c r="C958" s="209"/>
      <c r="D958" s="226">
        <v>184.10000000000002</v>
      </c>
      <c r="E958" s="226">
        <f>E959+E961</f>
        <v>184.10000000000002</v>
      </c>
      <c r="F958" s="228">
        <f t="shared" si="21"/>
        <v>0</v>
      </c>
    </row>
    <row r="959" spans="1:6" ht="22.5" x14ac:dyDescent="0.2">
      <c r="A959" s="202" t="s">
        <v>1348</v>
      </c>
      <c r="B959" s="209" t="s">
        <v>954</v>
      </c>
      <c r="C959" s="209" t="s">
        <v>556</v>
      </c>
      <c r="D959" s="226">
        <v>117.4</v>
      </c>
      <c r="E959" s="226">
        <f>E960</f>
        <v>117.4</v>
      </c>
      <c r="F959" s="228">
        <f t="shared" si="21"/>
        <v>0</v>
      </c>
    </row>
    <row r="960" spans="1:6" x14ac:dyDescent="0.2">
      <c r="A960" s="202" t="s">
        <v>555</v>
      </c>
      <c r="B960" s="209" t="s">
        <v>954</v>
      </c>
      <c r="C960" s="209" t="s">
        <v>554</v>
      </c>
      <c r="D960" s="226">
        <v>117.4</v>
      </c>
      <c r="E960" s="226">
        <f>'Функциональная 2020'!H789</f>
        <v>117.4</v>
      </c>
      <c r="F960" s="228">
        <f t="shared" si="21"/>
        <v>0</v>
      </c>
    </row>
    <row r="961" spans="1:6" x14ac:dyDescent="0.2">
      <c r="A961" s="202" t="s">
        <v>1347</v>
      </c>
      <c r="B961" s="209" t="s">
        <v>954</v>
      </c>
      <c r="C961" s="209" t="s">
        <v>535</v>
      </c>
      <c r="D961" s="226">
        <v>66.7</v>
      </c>
      <c r="E961" s="226">
        <f>E962</f>
        <v>66.7</v>
      </c>
      <c r="F961" s="228">
        <f t="shared" si="21"/>
        <v>0</v>
      </c>
    </row>
    <row r="962" spans="1:6" x14ac:dyDescent="0.2">
      <c r="A962" s="202" t="s">
        <v>534</v>
      </c>
      <c r="B962" s="209" t="s">
        <v>954</v>
      </c>
      <c r="C962" s="209" t="s">
        <v>529</v>
      </c>
      <c r="D962" s="226">
        <v>66.7</v>
      </c>
      <c r="E962" s="226">
        <f>'Функциональная 2020'!H791</f>
        <v>66.7</v>
      </c>
      <c r="F962" s="228">
        <f t="shared" si="21"/>
        <v>0</v>
      </c>
    </row>
    <row r="963" spans="1:6" ht="22.5" x14ac:dyDescent="0.2">
      <c r="A963" s="202" t="s">
        <v>953</v>
      </c>
      <c r="B963" s="209" t="s">
        <v>952</v>
      </c>
      <c r="C963" s="209"/>
      <c r="D963" s="226">
        <v>21562.100000000002</v>
      </c>
      <c r="E963" s="226">
        <f>E964</f>
        <v>25214.600000000002</v>
      </c>
      <c r="F963" s="228">
        <f t="shared" si="21"/>
        <v>3652.5</v>
      </c>
    </row>
    <row r="964" spans="1:6" x14ac:dyDescent="0.2">
      <c r="A964" s="202" t="s">
        <v>547</v>
      </c>
      <c r="B964" s="209" t="s">
        <v>952</v>
      </c>
      <c r="C964" s="209" t="s">
        <v>519</v>
      </c>
      <c r="D964" s="226">
        <v>21562.100000000002</v>
      </c>
      <c r="E964" s="226">
        <f>E965</f>
        <v>25214.600000000002</v>
      </c>
      <c r="F964" s="228">
        <f t="shared" si="21"/>
        <v>3652.5</v>
      </c>
    </row>
    <row r="965" spans="1:6" x14ac:dyDescent="0.2">
      <c r="A965" s="202" t="s">
        <v>571</v>
      </c>
      <c r="B965" s="209" t="s">
        <v>952</v>
      </c>
      <c r="C965" s="209" t="s">
        <v>522</v>
      </c>
      <c r="D965" s="226">
        <v>21562.100000000002</v>
      </c>
      <c r="E965" s="226">
        <f>'Функциональная 2020'!H794</f>
        <v>25214.600000000002</v>
      </c>
      <c r="F965" s="228">
        <f t="shared" si="21"/>
        <v>3652.5</v>
      </c>
    </row>
    <row r="966" spans="1:6" ht="22.5" x14ac:dyDescent="0.2">
      <c r="A966" s="202" t="s">
        <v>951</v>
      </c>
      <c r="B966" s="209" t="s">
        <v>950</v>
      </c>
      <c r="C966" s="209"/>
      <c r="D966" s="226">
        <v>39546.1</v>
      </c>
      <c r="E966" s="226">
        <f>E967</f>
        <v>39546.1</v>
      </c>
      <c r="F966" s="228">
        <f t="shared" si="21"/>
        <v>0</v>
      </c>
    </row>
    <row r="967" spans="1:6" x14ac:dyDescent="0.2">
      <c r="A967" s="202" t="s">
        <v>547</v>
      </c>
      <c r="B967" s="209" t="s">
        <v>950</v>
      </c>
      <c r="C967" s="209" t="s">
        <v>519</v>
      </c>
      <c r="D967" s="226">
        <v>39546.1</v>
      </c>
      <c r="E967" s="226">
        <f>E968</f>
        <v>39546.1</v>
      </c>
      <c r="F967" s="228">
        <f t="shared" si="21"/>
        <v>0</v>
      </c>
    </row>
    <row r="968" spans="1:6" x14ac:dyDescent="0.2">
      <c r="A968" s="202" t="s">
        <v>571</v>
      </c>
      <c r="B968" s="209" t="s">
        <v>950</v>
      </c>
      <c r="C968" s="209" t="s">
        <v>522</v>
      </c>
      <c r="D968" s="226">
        <v>39546.1</v>
      </c>
      <c r="E968" s="226">
        <f>'Функциональная 2020'!H797</f>
        <v>39546.1</v>
      </c>
      <c r="F968" s="228">
        <f t="shared" si="21"/>
        <v>0</v>
      </c>
    </row>
    <row r="969" spans="1:6" ht="22.5" x14ac:dyDescent="0.2">
      <c r="A969" s="202" t="s">
        <v>1532</v>
      </c>
      <c r="B969" s="209" t="s">
        <v>949</v>
      </c>
      <c r="C969" s="209"/>
      <c r="D969" s="226">
        <v>155076.20000000001</v>
      </c>
      <c r="E969" s="226">
        <f>E970+E972+E974</f>
        <v>160798.20000000001</v>
      </c>
      <c r="F969" s="228">
        <f t="shared" si="21"/>
        <v>5722</v>
      </c>
    </row>
    <row r="970" spans="1:6" ht="22.5" x14ac:dyDescent="0.2">
      <c r="A970" s="202" t="s">
        <v>1348</v>
      </c>
      <c r="B970" s="209" t="s">
        <v>949</v>
      </c>
      <c r="C970" s="209" t="s">
        <v>556</v>
      </c>
      <c r="D970" s="226">
        <v>26370</v>
      </c>
      <c r="E970" s="226">
        <f>E971</f>
        <v>26370</v>
      </c>
      <c r="F970" s="228">
        <f t="shared" si="21"/>
        <v>0</v>
      </c>
    </row>
    <row r="971" spans="1:6" x14ac:dyDescent="0.2">
      <c r="A971" s="202" t="s">
        <v>555</v>
      </c>
      <c r="B971" s="209" t="s">
        <v>949</v>
      </c>
      <c r="C971" s="209" t="s">
        <v>554</v>
      </c>
      <c r="D971" s="226">
        <v>26370</v>
      </c>
      <c r="E971" s="226">
        <f>'Функциональная 2020'!H800</f>
        <v>26370</v>
      </c>
      <c r="F971" s="228">
        <f t="shared" si="21"/>
        <v>0</v>
      </c>
    </row>
    <row r="972" spans="1:6" x14ac:dyDescent="0.2">
      <c r="A972" s="202" t="s">
        <v>1347</v>
      </c>
      <c r="B972" s="209" t="s">
        <v>949</v>
      </c>
      <c r="C972" s="209" t="s">
        <v>535</v>
      </c>
      <c r="D972" s="226">
        <v>2233.7000000000044</v>
      </c>
      <c r="E972" s="226">
        <f>E973</f>
        <v>2233.7000000000044</v>
      </c>
      <c r="F972" s="228">
        <f t="shared" si="21"/>
        <v>0</v>
      </c>
    </row>
    <row r="973" spans="1:6" x14ac:dyDescent="0.2">
      <c r="A973" s="202" t="s">
        <v>534</v>
      </c>
      <c r="B973" s="209" t="s">
        <v>949</v>
      </c>
      <c r="C973" s="209" t="s">
        <v>529</v>
      </c>
      <c r="D973" s="226">
        <v>2233.7000000000044</v>
      </c>
      <c r="E973" s="226">
        <f>'Функциональная 2020'!H802</f>
        <v>2233.7000000000044</v>
      </c>
      <c r="F973" s="228">
        <f t="shared" si="21"/>
        <v>0</v>
      </c>
    </row>
    <row r="974" spans="1:6" s="389" customFormat="1" x14ac:dyDescent="0.2">
      <c r="A974" s="202" t="s">
        <v>547</v>
      </c>
      <c r="B974" s="209" t="s">
        <v>949</v>
      </c>
      <c r="C974" s="209">
        <v>600</v>
      </c>
      <c r="D974" s="226">
        <v>126472.5</v>
      </c>
      <c r="E974" s="226">
        <f>E975</f>
        <v>132194.5</v>
      </c>
      <c r="F974" s="228">
        <f t="shared" si="21"/>
        <v>5722</v>
      </c>
    </row>
    <row r="975" spans="1:6" s="389" customFormat="1" x14ac:dyDescent="0.2">
      <c r="A975" s="202" t="s">
        <v>571</v>
      </c>
      <c r="B975" s="209" t="s">
        <v>949</v>
      </c>
      <c r="C975" s="209">
        <v>610</v>
      </c>
      <c r="D975" s="226">
        <v>126472.5</v>
      </c>
      <c r="E975" s="226">
        <f>'Функциональная 2020'!H804</f>
        <v>132194.5</v>
      </c>
      <c r="F975" s="228">
        <f t="shared" si="21"/>
        <v>5722</v>
      </c>
    </row>
    <row r="976" spans="1:6" ht="22.5" x14ac:dyDescent="0.2">
      <c r="A976" s="202" t="s">
        <v>948</v>
      </c>
      <c r="B976" s="209" t="s">
        <v>947</v>
      </c>
      <c r="C976" s="209"/>
      <c r="D976" s="226">
        <v>26460.400000000001</v>
      </c>
      <c r="E976" s="226">
        <f>E977+E979+E981</f>
        <v>24303.600000000002</v>
      </c>
      <c r="F976" s="228">
        <f t="shared" si="21"/>
        <v>-2156.7999999999993</v>
      </c>
    </row>
    <row r="977" spans="1:6" ht="22.5" x14ac:dyDescent="0.2">
      <c r="A977" s="202" t="s">
        <v>1348</v>
      </c>
      <c r="B977" s="209" t="s">
        <v>947</v>
      </c>
      <c r="C977" s="209" t="s">
        <v>556</v>
      </c>
      <c r="D977" s="226">
        <v>21418</v>
      </c>
      <c r="E977" s="226">
        <f>E978</f>
        <v>19261.2</v>
      </c>
      <c r="F977" s="228">
        <f t="shared" si="21"/>
        <v>-2156.7999999999993</v>
      </c>
    </row>
    <row r="978" spans="1:6" x14ac:dyDescent="0.2">
      <c r="A978" s="202" t="s">
        <v>555</v>
      </c>
      <c r="B978" s="209" t="s">
        <v>947</v>
      </c>
      <c r="C978" s="209" t="s">
        <v>554</v>
      </c>
      <c r="D978" s="226">
        <v>21418</v>
      </c>
      <c r="E978" s="226">
        <f>'Функциональная 2020'!H807</f>
        <v>19261.2</v>
      </c>
      <c r="F978" s="228">
        <f t="shared" si="21"/>
        <v>-2156.7999999999993</v>
      </c>
    </row>
    <row r="979" spans="1:6" x14ac:dyDescent="0.2">
      <c r="A979" s="202" t="s">
        <v>1347</v>
      </c>
      <c r="B979" s="209" t="s">
        <v>947</v>
      </c>
      <c r="C979" s="209" t="s">
        <v>535</v>
      </c>
      <c r="D979" s="226">
        <v>4105</v>
      </c>
      <c r="E979" s="226">
        <f>E980</f>
        <v>4105</v>
      </c>
      <c r="F979" s="228">
        <f t="shared" si="21"/>
        <v>0</v>
      </c>
    </row>
    <row r="980" spans="1:6" x14ac:dyDescent="0.2">
      <c r="A980" s="202" t="s">
        <v>534</v>
      </c>
      <c r="B980" s="209" t="s">
        <v>947</v>
      </c>
      <c r="C980" s="209" t="s">
        <v>529</v>
      </c>
      <c r="D980" s="226">
        <v>4105</v>
      </c>
      <c r="E980" s="226">
        <f>'Функциональная 2020'!H809</f>
        <v>4105</v>
      </c>
      <c r="F980" s="228">
        <f t="shared" si="21"/>
        <v>0</v>
      </c>
    </row>
    <row r="981" spans="1:6" x14ac:dyDescent="0.2">
      <c r="A981" s="202" t="s">
        <v>615</v>
      </c>
      <c r="B981" s="209" t="s">
        <v>947</v>
      </c>
      <c r="C981" s="209" t="s">
        <v>509</v>
      </c>
      <c r="D981" s="226">
        <v>937.4</v>
      </c>
      <c r="E981" s="226">
        <f>E982</f>
        <v>937.4</v>
      </c>
      <c r="F981" s="228">
        <f t="shared" si="21"/>
        <v>0</v>
      </c>
    </row>
    <row r="982" spans="1:6" x14ac:dyDescent="0.2">
      <c r="A982" s="202" t="s">
        <v>614</v>
      </c>
      <c r="B982" s="209" t="s">
        <v>947</v>
      </c>
      <c r="C982" s="209" t="s">
        <v>613</v>
      </c>
      <c r="D982" s="226">
        <v>937.4</v>
      </c>
      <c r="E982" s="226">
        <f>'Функциональная 2020'!H811</f>
        <v>937.4</v>
      </c>
      <c r="F982" s="228">
        <f t="shared" si="21"/>
        <v>0</v>
      </c>
    </row>
    <row r="983" spans="1:6" ht="22.5" x14ac:dyDescent="0.2">
      <c r="A983" s="202" t="s">
        <v>946</v>
      </c>
      <c r="B983" s="209" t="s">
        <v>945</v>
      </c>
      <c r="C983" s="209"/>
      <c r="D983" s="226">
        <v>22910.400000000001</v>
      </c>
      <c r="E983" s="226">
        <f>E984+E986</f>
        <v>22185.4</v>
      </c>
      <c r="F983" s="228">
        <f t="shared" si="21"/>
        <v>-725</v>
      </c>
    </row>
    <row r="984" spans="1:6" ht="22.5" x14ac:dyDescent="0.2">
      <c r="A984" s="202" t="s">
        <v>1348</v>
      </c>
      <c r="B984" s="209" t="s">
        <v>945</v>
      </c>
      <c r="C984" s="209" t="s">
        <v>556</v>
      </c>
      <c r="D984" s="226">
        <v>17538.600000000002</v>
      </c>
      <c r="E984" s="226">
        <f>E985</f>
        <v>17538.600000000002</v>
      </c>
      <c r="F984" s="228">
        <f t="shared" si="21"/>
        <v>0</v>
      </c>
    </row>
    <row r="985" spans="1:6" x14ac:dyDescent="0.2">
      <c r="A985" s="202" t="s">
        <v>555</v>
      </c>
      <c r="B985" s="209" t="s">
        <v>945</v>
      </c>
      <c r="C985" s="209" t="s">
        <v>554</v>
      </c>
      <c r="D985" s="226">
        <v>17538.600000000002</v>
      </c>
      <c r="E985" s="226">
        <f>'Функциональная 2020'!H814</f>
        <v>17538.600000000002</v>
      </c>
      <c r="F985" s="228">
        <f t="shared" si="21"/>
        <v>0</v>
      </c>
    </row>
    <row r="986" spans="1:6" x14ac:dyDescent="0.2">
      <c r="A986" s="202" t="s">
        <v>1347</v>
      </c>
      <c r="B986" s="209" t="s">
        <v>945</v>
      </c>
      <c r="C986" s="209" t="s">
        <v>535</v>
      </c>
      <c r="D986" s="226">
        <v>5371.8</v>
      </c>
      <c r="E986" s="226">
        <f>E987</f>
        <v>4646.8</v>
      </c>
      <c r="F986" s="228">
        <f t="shared" si="21"/>
        <v>-725</v>
      </c>
    </row>
    <row r="987" spans="1:6" x14ac:dyDescent="0.2">
      <c r="A987" s="202" t="s">
        <v>534</v>
      </c>
      <c r="B987" s="209" t="s">
        <v>945</v>
      </c>
      <c r="C987" s="209" t="s">
        <v>529</v>
      </c>
      <c r="D987" s="226">
        <v>5371.8</v>
      </c>
      <c r="E987" s="226">
        <f>'Функциональная 2020'!H816</f>
        <v>4646.8</v>
      </c>
      <c r="F987" s="228">
        <f t="shared" si="21"/>
        <v>-725</v>
      </c>
    </row>
    <row r="988" spans="1:6" x14ac:dyDescent="0.2">
      <c r="A988" s="199" t="s">
        <v>1022</v>
      </c>
      <c r="B988" s="212" t="s">
        <v>1021</v>
      </c>
      <c r="C988" s="212"/>
      <c r="D988" s="205">
        <v>38871.1</v>
      </c>
      <c r="E988" s="205">
        <f>E989+E993</f>
        <v>29204.699999999997</v>
      </c>
      <c r="F988" s="206">
        <f t="shared" si="21"/>
        <v>-9666.4000000000015</v>
      </c>
    </row>
    <row r="989" spans="1:6" x14ac:dyDescent="0.2">
      <c r="A989" s="199" t="s">
        <v>1034</v>
      </c>
      <c r="B989" s="212" t="s">
        <v>1033</v>
      </c>
      <c r="C989" s="212"/>
      <c r="D989" s="205">
        <v>28145.3</v>
      </c>
      <c r="E989" s="205">
        <f>E990</f>
        <v>14468.499999999998</v>
      </c>
      <c r="F989" s="206">
        <f t="shared" si="21"/>
        <v>-13676.800000000001</v>
      </c>
    </row>
    <row r="990" spans="1:6" x14ac:dyDescent="0.2">
      <c r="A990" s="202" t="s">
        <v>1032</v>
      </c>
      <c r="B990" s="209" t="s">
        <v>1031</v>
      </c>
      <c r="C990" s="209"/>
      <c r="D990" s="226">
        <v>28145.3</v>
      </c>
      <c r="E990" s="226">
        <f>E991</f>
        <v>14468.499999999998</v>
      </c>
      <c r="F990" s="228">
        <f t="shared" si="21"/>
        <v>-13676.800000000001</v>
      </c>
    </row>
    <row r="991" spans="1:6" x14ac:dyDescent="0.2">
      <c r="A991" s="202" t="s">
        <v>615</v>
      </c>
      <c r="B991" s="209" t="s">
        <v>1031</v>
      </c>
      <c r="C991" s="209" t="s">
        <v>509</v>
      </c>
      <c r="D991" s="226">
        <v>28145.3</v>
      </c>
      <c r="E991" s="226">
        <f>E992</f>
        <v>14468.499999999998</v>
      </c>
      <c r="F991" s="228">
        <f t="shared" si="21"/>
        <v>-13676.800000000001</v>
      </c>
    </row>
    <row r="992" spans="1:6" ht="22.5" x14ac:dyDescent="0.2">
      <c r="A992" s="202" t="s">
        <v>1346</v>
      </c>
      <c r="B992" s="209" t="s">
        <v>1031</v>
      </c>
      <c r="C992" s="209" t="s">
        <v>511</v>
      </c>
      <c r="D992" s="226">
        <v>28145.3</v>
      </c>
      <c r="E992" s="226">
        <f>'Функциональная 2020'!H594</f>
        <v>14468.499999999998</v>
      </c>
      <c r="F992" s="228">
        <f t="shared" ref="F992:F1039" si="22">E992-D992</f>
        <v>-13676.800000000001</v>
      </c>
    </row>
    <row r="993" spans="1:6" ht="36.950000000000003" customHeight="1" x14ac:dyDescent="0.2">
      <c r="A993" s="199" t="s">
        <v>1020</v>
      </c>
      <c r="B993" s="212" t="s">
        <v>1019</v>
      </c>
      <c r="C993" s="212"/>
      <c r="D993" s="205">
        <v>10725.8</v>
      </c>
      <c r="E993" s="205">
        <f>E994+E999+E1002</f>
        <v>14736.199999999999</v>
      </c>
      <c r="F993" s="206">
        <f t="shared" si="22"/>
        <v>4010.3999999999996</v>
      </c>
    </row>
    <row r="994" spans="1:6" x14ac:dyDescent="0.2">
      <c r="A994" s="202" t="s">
        <v>1018</v>
      </c>
      <c r="B994" s="209" t="s">
        <v>1017</v>
      </c>
      <c r="C994" s="209"/>
      <c r="D994" s="226">
        <v>6345.0999999999995</v>
      </c>
      <c r="E994" s="226">
        <f>E995+E997</f>
        <v>6676.0999999999995</v>
      </c>
      <c r="F994" s="228">
        <f t="shared" si="22"/>
        <v>331</v>
      </c>
    </row>
    <row r="995" spans="1:6" x14ac:dyDescent="0.2">
      <c r="A995" s="202" t="s">
        <v>1347</v>
      </c>
      <c r="B995" s="209" t="s">
        <v>1017</v>
      </c>
      <c r="C995" s="209" t="s">
        <v>535</v>
      </c>
      <c r="D995" s="226">
        <v>500</v>
      </c>
      <c r="E995" s="226">
        <f>E996</f>
        <v>500</v>
      </c>
      <c r="F995" s="228">
        <f t="shared" si="22"/>
        <v>0</v>
      </c>
    </row>
    <row r="996" spans="1:6" x14ac:dyDescent="0.2">
      <c r="A996" s="202" t="s">
        <v>534</v>
      </c>
      <c r="B996" s="209" t="s">
        <v>1017</v>
      </c>
      <c r="C996" s="209" t="s">
        <v>529</v>
      </c>
      <c r="D996" s="226">
        <v>500</v>
      </c>
      <c r="E996" s="226">
        <f>'Функциональная 2020'!H652</f>
        <v>500</v>
      </c>
      <c r="F996" s="228">
        <f t="shared" si="22"/>
        <v>0</v>
      </c>
    </row>
    <row r="997" spans="1:6" x14ac:dyDescent="0.2">
      <c r="A997" s="202" t="s">
        <v>615</v>
      </c>
      <c r="B997" s="209" t="s">
        <v>1017</v>
      </c>
      <c r="C997" s="209" t="s">
        <v>509</v>
      </c>
      <c r="D997" s="226">
        <v>5845.0999999999995</v>
      </c>
      <c r="E997" s="226">
        <f>E998</f>
        <v>6176.0999999999995</v>
      </c>
      <c r="F997" s="228">
        <f t="shared" si="22"/>
        <v>331</v>
      </c>
    </row>
    <row r="998" spans="1:6" ht="22.5" x14ac:dyDescent="0.2">
      <c r="A998" s="202" t="s">
        <v>1346</v>
      </c>
      <c r="B998" s="209" t="s">
        <v>1017</v>
      </c>
      <c r="C998" s="209" t="s">
        <v>511</v>
      </c>
      <c r="D998" s="226">
        <v>5845.0999999999995</v>
      </c>
      <c r="E998" s="226">
        <f>'Функциональная 2020'!H654+'Функциональная 2020'!H598</f>
        <v>6176.0999999999995</v>
      </c>
      <c r="F998" s="228">
        <f t="shared" si="22"/>
        <v>331</v>
      </c>
    </row>
    <row r="999" spans="1:6" x14ac:dyDescent="0.2">
      <c r="A999" s="202" t="s">
        <v>1030</v>
      </c>
      <c r="B999" s="209" t="s">
        <v>1029</v>
      </c>
      <c r="C999" s="209"/>
      <c r="D999" s="226">
        <v>4380.7</v>
      </c>
      <c r="E999" s="226">
        <f>E1000</f>
        <v>6360.7</v>
      </c>
      <c r="F999" s="228">
        <f t="shared" si="22"/>
        <v>1980</v>
      </c>
    </row>
    <row r="1000" spans="1:6" x14ac:dyDescent="0.2">
      <c r="A1000" s="202" t="s">
        <v>547</v>
      </c>
      <c r="B1000" s="209" t="s">
        <v>1029</v>
      </c>
      <c r="C1000" s="209" t="s">
        <v>519</v>
      </c>
      <c r="D1000" s="226">
        <v>4380.7</v>
      </c>
      <c r="E1000" s="226">
        <f>E1001</f>
        <v>6360.7</v>
      </c>
      <c r="F1000" s="228">
        <f t="shared" si="22"/>
        <v>1980</v>
      </c>
    </row>
    <row r="1001" spans="1:6" x14ac:dyDescent="0.2">
      <c r="A1001" s="202" t="s">
        <v>571</v>
      </c>
      <c r="B1001" s="209" t="s">
        <v>1029</v>
      </c>
      <c r="C1001" s="209" t="s">
        <v>522</v>
      </c>
      <c r="D1001" s="226">
        <v>4380.7</v>
      </c>
      <c r="E1001" s="226">
        <f>'Функциональная 2020'!H601</f>
        <v>6360.7</v>
      </c>
      <c r="F1001" s="228">
        <f t="shared" si="22"/>
        <v>1980</v>
      </c>
    </row>
    <row r="1002" spans="1:6" s="434" customFormat="1" ht="22.5" x14ac:dyDescent="0.2">
      <c r="A1002" s="202" t="s">
        <v>1627</v>
      </c>
      <c r="B1002" s="209" t="s">
        <v>1628</v>
      </c>
      <c r="C1002" s="209"/>
      <c r="D1002" s="226">
        <f>D1003</f>
        <v>0</v>
      </c>
      <c r="E1002" s="226">
        <f>E1003</f>
        <v>1699.3999999999999</v>
      </c>
      <c r="F1002" s="228">
        <f t="shared" si="22"/>
        <v>1699.3999999999999</v>
      </c>
    </row>
    <row r="1003" spans="1:6" s="434" customFormat="1" x14ac:dyDescent="0.2">
      <c r="A1003" s="202" t="s">
        <v>615</v>
      </c>
      <c r="B1003" s="209" t="s">
        <v>1628</v>
      </c>
      <c r="C1003" s="209" t="s">
        <v>509</v>
      </c>
      <c r="D1003" s="226">
        <f>D1004</f>
        <v>0</v>
      </c>
      <c r="E1003" s="226">
        <f>E1004</f>
        <v>1699.3999999999999</v>
      </c>
      <c r="F1003" s="228">
        <f t="shared" si="22"/>
        <v>1699.3999999999999</v>
      </c>
    </row>
    <row r="1004" spans="1:6" s="434" customFormat="1" ht="22.5" x14ac:dyDescent="0.2">
      <c r="A1004" s="202" t="s">
        <v>1346</v>
      </c>
      <c r="B1004" s="209" t="s">
        <v>1628</v>
      </c>
      <c r="C1004" s="209" t="s">
        <v>511</v>
      </c>
      <c r="D1004" s="226">
        <v>0</v>
      </c>
      <c r="E1004" s="226">
        <f>'Функциональная 2020'!H604</f>
        <v>1699.3999999999999</v>
      </c>
      <c r="F1004" s="228">
        <f t="shared" si="22"/>
        <v>1699.3999999999999</v>
      </c>
    </row>
    <row r="1005" spans="1:6" x14ac:dyDescent="0.2">
      <c r="A1005" s="199" t="s">
        <v>908</v>
      </c>
      <c r="B1005" s="212" t="s">
        <v>907</v>
      </c>
      <c r="C1005" s="212"/>
      <c r="D1005" s="205">
        <v>1118674.9000000001</v>
      </c>
      <c r="E1005" s="205">
        <f>E1006+E1031</f>
        <v>950753.3</v>
      </c>
      <c r="F1005" s="206">
        <f t="shared" si="22"/>
        <v>-167921.60000000009</v>
      </c>
    </row>
    <row r="1006" spans="1:6" x14ac:dyDescent="0.2">
      <c r="A1006" s="199" t="s">
        <v>906</v>
      </c>
      <c r="B1006" s="212" t="s">
        <v>905</v>
      </c>
      <c r="C1006" s="212"/>
      <c r="D1006" s="205">
        <v>1113674.9000000001</v>
      </c>
      <c r="E1006" s="205">
        <f>E1007+E1014+E1018</f>
        <v>944905.3</v>
      </c>
      <c r="F1006" s="206">
        <f t="shared" si="22"/>
        <v>-168769.60000000009</v>
      </c>
    </row>
    <row r="1007" spans="1:6" x14ac:dyDescent="0.2">
      <c r="A1007" s="199" t="s">
        <v>912</v>
      </c>
      <c r="B1007" s="212" t="s">
        <v>911</v>
      </c>
      <c r="C1007" s="212"/>
      <c r="D1007" s="205">
        <v>154661.79999999999</v>
      </c>
      <c r="E1007" s="205">
        <f>E1008+E1011</f>
        <v>11020</v>
      </c>
      <c r="F1007" s="206">
        <f t="shared" si="22"/>
        <v>-143641.79999999999</v>
      </c>
    </row>
    <row r="1008" spans="1:6" x14ac:dyDescent="0.2">
      <c r="A1008" s="202" t="s">
        <v>910</v>
      </c>
      <c r="B1008" s="209" t="s">
        <v>909</v>
      </c>
      <c r="C1008" s="209"/>
      <c r="D1008" s="226">
        <v>59661.8</v>
      </c>
      <c r="E1008" s="226">
        <f>E1009</f>
        <v>11020</v>
      </c>
      <c r="F1008" s="228">
        <f t="shared" si="22"/>
        <v>-48641.8</v>
      </c>
    </row>
    <row r="1009" spans="1:6" x14ac:dyDescent="0.2">
      <c r="A1009" s="202" t="s">
        <v>1355</v>
      </c>
      <c r="B1009" s="209" t="s">
        <v>909</v>
      </c>
      <c r="C1009" s="209" t="s">
        <v>824</v>
      </c>
      <c r="D1009" s="226">
        <v>59661.8</v>
      </c>
      <c r="E1009" s="226">
        <f>E1010</f>
        <v>11020</v>
      </c>
      <c r="F1009" s="228">
        <f t="shared" si="22"/>
        <v>-48641.8</v>
      </c>
    </row>
    <row r="1010" spans="1:6" x14ac:dyDescent="0.2">
      <c r="A1010" s="202" t="s">
        <v>823</v>
      </c>
      <c r="B1010" s="209" t="s">
        <v>909</v>
      </c>
      <c r="C1010" s="209" t="s">
        <v>821</v>
      </c>
      <c r="D1010" s="226">
        <v>59661.8</v>
      </c>
      <c r="E1010" s="226">
        <f>'Функциональная 2020'!H924</f>
        <v>11020</v>
      </c>
      <c r="F1010" s="228">
        <f t="shared" si="22"/>
        <v>-48641.8</v>
      </c>
    </row>
    <row r="1011" spans="1:6" s="296" customFormat="1" x14ac:dyDescent="0.2">
      <c r="A1011" s="202" t="s">
        <v>1408</v>
      </c>
      <c r="B1011" s="209" t="s">
        <v>1409</v>
      </c>
      <c r="C1011" s="209"/>
      <c r="D1011" s="226">
        <v>95000</v>
      </c>
      <c r="E1011" s="226">
        <f>E1012</f>
        <v>0</v>
      </c>
      <c r="F1011" s="228">
        <f t="shared" si="22"/>
        <v>-95000</v>
      </c>
    </row>
    <row r="1012" spans="1:6" s="296" customFormat="1" x14ac:dyDescent="0.2">
      <c r="A1012" s="202" t="s">
        <v>1355</v>
      </c>
      <c r="B1012" s="209" t="s">
        <v>1409</v>
      </c>
      <c r="C1012" s="209" t="s">
        <v>824</v>
      </c>
      <c r="D1012" s="226">
        <v>95000</v>
      </c>
      <c r="E1012" s="226">
        <f>E1013</f>
        <v>0</v>
      </c>
      <c r="F1012" s="228">
        <f t="shared" si="22"/>
        <v>-95000</v>
      </c>
    </row>
    <row r="1013" spans="1:6" s="296" customFormat="1" x14ac:dyDescent="0.2">
      <c r="A1013" s="202" t="s">
        <v>823</v>
      </c>
      <c r="B1013" s="209" t="s">
        <v>1409</v>
      </c>
      <c r="C1013" s="209" t="s">
        <v>821</v>
      </c>
      <c r="D1013" s="226">
        <v>95000</v>
      </c>
      <c r="E1013" s="226">
        <f>'Функциональная 2020'!H927</f>
        <v>0</v>
      </c>
      <c r="F1013" s="228">
        <f t="shared" si="22"/>
        <v>-95000</v>
      </c>
    </row>
    <row r="1014" spans="1:6" x14ac:dyDescent="0.2">
      <c r="A1014" s="199" t="s">
        <v>904</v>
      </c>
      <c r="B1014" s="212" t="s">
        <v>903</v>
      </c>
      <c r="C1014" s="212"/>
      <c r="D1014" s="205">
        <v>10000</v>
      </c>
      <c r="E1014" s="205">
        <f>E1015</f>
        <v>10000</v>
      </c>
      <c r="F1014" s="206">
        <f t="shared" si="22"/>
        <v>0</v>
      </c>
    </row>
    <row r="1015" spans="1:6" x14ac:dyDescent="0.2">
      <c r="A1015" s="202" t="s">
        <v>902</v>
      </c>
      <c r="B1015" s="209" t="s">
        <v>901</v>
      </c>
      <c r="C1015" s="209"/>
      <c r="D1015" s="226">
        <v>10000</v>
      </c>
      <c r="E1015" s="226">
        <f>E1016</f>
        <v>10000</v>
      </c>
      <c r="F1015" s="228">
        <f t="shared" si="22"/>
        <v>0</v>
      </c>
    </row>
    <row r="1016" spans="1:6" x14ac:dyDescent="0.2">
      <c r="A1016" s="202" t="s">
        <v>1355</v>
      </c>
      <c r="B1016" s="209" t="s">
        <v>901</v>
      </c>
      <c r="C1016" s="209" t="s">
        <v>824</v>
      </c>
      <c r="D1016" s="226">
        <v>10000</v>
      </c>
      <c r="E1016" s="226">
        <f>E1017</f>
        <v>10000</v>
      </c>
      <c r="F1016" s="228">
        <f t="shared" si="22"/>
        <v>0</v>
      </c>
    </row>
    <row r="1017" spans="1:6" x14ac:dyDescent="0.2">
      <c r="A1017" s="202" t="s">
        <v>823</v>
      </c>
      <c r="B1017" s="209" t="s">
        <v>901</v>
      </c>
      <c r="C1017" s="209" t="s">
        <v>821</v>
      </c>
      <c r="D1017" s="226">
        <v>10000</v>
      </c>
      <c r="E1017" s="226">
        <f>'Функциональная 2020'!H983</f>
        <v>10000</v>
      </c>
      <c r="F1017" s="228">
        <f t="shared" si="22"/>
        <v>0</v>
      </c>
    </row>
    <row r="1018" spans="1:6" x14ac:dyDescent="0.2">
      <c r="A1018" s="199" t="s">
        <v>900</v>
      </c>
      <c r="B1018" s="212" t="s">
        <v>899</v>
      </c>
      <c r="C1018" s="212"/>
      <c r="D1018" s="205">
        <v>949013.10000000009</v>
      </c>
      <c r="E1018" s="205">
        <f>E1025+E1028+E1022+E1019</f>
        <v>923885.3</v>
      </c>
      <c r="F1018" s="206">
        <f t="shared" si="22"/>
        <v>-25127.800000000047</v>
      </c>
    </row>
    <row r="1019" spans="1:6" s="447" customFormat="1" x14ac:dyDescent="0.2">
      <c r="A1019" s="202" t="s">
        <v>1733</v>
      </c>
      <c r="B1019" s="209" t="s">
        <v>1734</v>
      </c>
      <c r="C1019" s="202"/>
      <c r="D1019" s="226">
        <f>D1020</f>
        <v>0</v>
      </c>
      <c r="E1019" s="226">
        <f>E1020</f>
        <v>48</v>
      </c>
      <c r="F1019" s="228">
        <f t="shared" si="22"/>
        <v>48</v>
      </c>
    </row>
    <row r="1020" spans="1:6" s="447" customFormat="1" x14ac:dyDescent="0.2">
      <c r="A1020" s="202" t="s">
        <v>1355</v>
      </c>
      <c r="B1020" s="209" t="s">
        <v>1734</v>
      </c>
      <c r="C1020" s="209" t="s">
        <v>824</v>
      </c>
      <c r="D1020" s="226">
        <f>D1021</f>
        <v>0</v>
      </c>
      <c r="E1020" s="226">
        <f>E1021</f>
        <v>48</v>
      </c>
      <c r="F1020" s="228">
        <f t="shared" si="22"/>
        <v>48</v>
      </c>
    </row>
    <row r="1021" spans="1:6" s="447" customFormat="1" x14ac:dyDescent="0.2">
      <c r="A1021" s="202" t="s">
        <v>823</v>
      </c>
      <c r="B1021" s="209" t="s">
        <v>1734</v>
      </c>
      <c r="C1021" s="209" t="s">
        <v>821</v>
      </c>
      <c r="D1021" s="226">
        <v>0</v>
      </c>
      <c r="E1021" s="226">
        <f>'Функциональная 2020'!H987</f>
        <v>48</v>
      </c>
      <c r="F1021" s="228">
        <f t="shared" si="22"/>
        <v>48</v>
      </c>
    </row>
    <row r="1022" spans="1:6" s="302" customFormat="1" ht="22.5" x14ac:dyDescent="0.2">
      <c r="A1022" s="202" t="s">
        <v>1420</v>
      </c>
      <c r="B1022" s="209" t="s">
        <v>1419</v>
      </c>
      <c r="C1022" s="209"/>
      <c r="D1022" s="226">
        <v>1227.7</v>
      </c>
      <c r="E1022" s="226">
        <f>E1023</f>
        <v>1227.7</v>
      </c>
      <c r="F1022" s="228">
        <f t="shared" si="22"/>
        <v>0</v>
      </c>
    </row>
    <row r="1023" spans="1:6" s="302" customFormat="1" x14ac:dyDescent="0.2">
      <c r="A1023" s="202" t="s">
        <v>1355</v>
      </c>
      <c r="B1023" s="209" t="s">
        <v>1419</v>
      </c>
      <c r="C1023" s="209" t="s">
        <v>824</v>
      </c>
      <c r="D1023" s="226">
        <v>1227.7</v>
      </c>
      <c r="E1023" s="226">
        <f>E1024</f>
        <v>1227.7</v>
      </c>
      <c r="F1023" s="228">
        <f t="shared" si="22"/>
        <v>0</v>
      </c>
    </row>
    <row r="1024" spans="1:6" s="302" customFormat="1" x14ac:dyDescent="0.2">
      <c r="A1024" s="202" t="s">
        <v>823</v>
      </c>
      <c r="B1024" s="209" t="s">
        <v>1419</v>
      </c>
      <c r="C1024" s="209" t="s">
        <v>821</v>
      </c>
      <c r="D1024" s="226">
        <v>1227.7</v>
      </c>
      <c r="E1024" s="226">
        <f>'Функциональная 2020'!H990</f>
        <v>1227.7</v>
      </c>
      <c r="F1024" s="228">
        <f t="shared" si="22"/>
        <v>0</v>
      </c>
    </row>
    <row r="1025" spans="1:6" x14ac:dyDescent="0.2">
      <c r="A1025" s="202" t="s">
        <v>898</v>
      </c>
      <c r="B1025" s="209" t="s">
        <v>897</v>
      </c>
      <c r="C1025" s="209"/>
      <c r="D1025" s="226">
        <v>213809.10000000003</v>
      </c>
      <c r="E1025" s="226">
        <f>E1026</f>
        <v>11622.300000000047</v>
      </c>
      <c r="F1025" s="228">
        <f t="shared" si="22"/>
        <v>-202186.8</v>
      </c>
    </row>
    <row r="1026" spans="1:6" x14ac:dyDescent="0.2">
      <c r="A1026" s="202" t="s">
        <v>1355</v>
      </c>
      <c r="B1026" s="209" t="s">
        <v>897</v>
      </c>
      <c r="C1026" s="209" t="s">
        <v>824</v>
      </c>
      <c r="D1026" s="226">
        <v>213809.10000000003</v>
      </c>
      <c r="E1026" s="226">
        <f>E1027</f>
        <v>11622.300000000047</v>
      </c>
      <c r="F1026" s="228">
        <f t="shared" si="22"/>
        <v>-202186.8</v>
      </c>
    </row>
    <row r="1027" spans="1:6" x14ac:dyDescent="0.2">
      <c r="A1027" s="202" t="s">
        <v>823</v>
      </c>
      <c r="B1027" s="209" t="s">
        <v>897</v>
      </c>
      <c r="C1027" s="209" t="s">
        <v>821</v>
      </c>
      <c r="D1027" s="226">
        <v>213809.10000000003</v>
      </c>
      <c r="E1027" s="226">
        <f>'Функциональная 2020'!H993</f>
        <v>11622.300000000047</v>
      </c>
      <c r="F1027" s="228">
        <f t="shared" si="22"/>
        <v>-202186.8</v>
      </c>
    </row>
    <row r="1028" spans="1:6" x14ac:dyDescent="0.2">
      <c r="A1028" s="202" t="s">
        <v>896</v>
      </c>
      <c r="B1028" s="209" t="s">
        <v>895</v>
      </c>
      <c r="C1028" s="209"/>
      <c r="D1028" s="226">
        <v>733976.3</v>
      </c>
      <c r="E1028" s="226">
        <f>E1029</f>
        <v>910987.3</v>
      </c>
      <c r="F1028" s="228">
        <f t="shared" si="22"/>
        <v>177011</v>
      </c>
    </row>
    <row r="1029" spans="1:6" x14ac:dyDescent="0.2">
      <c r="A1029" s="202" t="s">
        <v>1355</v>
      </c>
      <c r="B1029" s="209" t="s">
        <v>895</v>
      </c>
      <c r="C1029" s="209" t="s">
        <v>824</v>
      </c>
      <c r="D1029" s="226">
        <v>733976.3</v>
      </c>
      <c r="E1029" s="226">
        <f>E1030</f>
        <v>910987.3</v>
      </c>
      <c r="F1029" s="228">
        <f t="shared" si="22"/>
        <v>177011</v>
      </c>
    </row>
    <row r="1030" spans="1:6" x14ac:dyDescent="0.2">
      <c r="A1030" s="202" t="s">
        <v>823</v>
      </c>
      <c r="B1030" s="209" t="s">
        <v>895</v>
      </c>
      <c r="C1030" s="209" t="s">
        <v>821</v>
      </c>
      <c r="D1030" s="226">
        <v>733976.3</v>
      </c>
      <c r="E1030" s="226">
        <f>'Функциональная 2020'!H996</f>
        <v>910987.3</v>
      </c>
      <c r="F1030" s="228">
        <f t="shared" si="22"/>
        <v>177011</v>
      </c>
    </row>
    <row r="1031" spans="1:6" s="400" customFormat="1" x14ac:dyDescent="0.2">
      <c r="A1031" s="199" t="s">
        <v>1316</v>
      </c>
      <c r="B1031" s="212" t="s">
        <v>1317</v>
      </c>
      <c r="C1031" s="212"/>
      <c r="D1031" s="205">
        <v>5000</v>
      </c>
      <c r="E1031" s="205">
        <f t="shared" ref="E1031:E1034" si="23">E1032</f>
        <v>5848</v>
      </c>
      <c r="F1031" s="206">
        <f t="shared" ref="F1031:F1038" si="24">E1031-D1031</f>
        <v>848</v>
      </c>
    </row>
    <row r="1032" spans="1:6" s="400" customFormat="1" x14ac:dyDescent="0.2">
      <c r="A1032" s="199" t="s">
        <v>1318</v>
      </c>
      <c r="B1032" s="212" t="s">
        <v>1319</v>
      </c>
      <c r="C1032" s="212"/>
      <c r="D1032" s="205">
        <v>5000</v>
      </c>
      <c r="E1032" s="205">
        <f>E1033+E1036</f>
        <v>5848</v>
      </c>
      <c r="F1032" s="206">
        <f t="shared" si="24"/>
        <v>848</v>
      </c>
    </row>
    <row r="1033" spans="1:6" s="400" customFormat="1" x14ac:dyDescent="0.2">
      <c r="A1033" s="202" t="s">
        <v>1320</v>
      </c>
      <c r="B1033" s="209" t="s">
        <v>1321</v>
      </c>
      <c r="C1033" s="209"/>
      <c r="D1033" s="226">
        <v>5000</v>
      </c>
      <c r="E1033" s="226">
        <f t="shared" si="23"/>
        <v>5000</v>
      </c>
      <c r="F1033" s="228">
        <f t="shared" si="24"/>
        <v>0</v>
      </c>
    </row>
    <row r="1034" spans="1:6" s="400" customFormat="1" x14ac:dyDescent="0.2">
      <c r="A1034" s="202" t="s">
        <v>1355</v>
      </c>
      <c r="B1034" s="209" t="s">
        <v>1321</v>
      </c>
      <c r="C1034" s="209" t="s">
        <v>824</v>
      </c>
      <c r="D1034" s="226">
        <v>5000</v>
      </c>
      <c r="E1034" s="226">
        <f t="shared" si="23"/>
        <v>5000</v>
      </c>
      <c r="F1034" s="228">
        <f t="shared" si="24"/>
        <v>0</v>
      </c>
    </row>
    <row r="1035" spans="1:6" s="400" customFormat="1" x14ac:dyDescent="0.2">
      <c r="A1035" s="202" t="s">
        <v>823</v>
      </c>
      <c r="B1035" s="209" t="s">
        <v>1321</v>
      </c>
      <c r="C1035" s="209" t="s">
        <v>821</v>
      </c>
      <c r="D1035" s="226">
        <v>5000</v>
      </c>
      <c r="E1035" s="226">
        <f>'Функциональная 2020'!H1254</f>
        <v>5000</v>
      </c>
      <c r="F1035" s="228">
        <f t="shared" si="24"/>
        <v>0</v>
      </c>
    </row>
    <row r="1036" spans="1:6" s="440" customFormat="1" x14ac:dyDescent="0.2">
      <c r="A1036" s="202" t="s">
        <v>1320</v>
      </c>
      <c r="B1036" s="209" t="s">
        <v>1321</v>
      </c>
      <c r="C1036" s="209"/>
      <c r="D1036" s="226">
        <f>D1037</f>
        <v>0</v>
      </c>
      <c r="E1036" s="226">
        <f>E1037</f>
        <v>848</v>
      </c>
      <c r="F1036" s="228">
        <f t="shared" si="24"/>
        <v>848</v>
      </c>
    </row>
    <row r="1037" spans="1:6" s="440" customFormat="1" x14ac:dyDescent="0.2">
      <c r="A1037" s="202" t="s">
        <v>1355</v>
      </c>
      <c r="B1037" s="209" t="s">
        <v>1321</v>
      </c>
      <c r="C1037" s="209" t="s">
        <v>824</v>
      </c>
      <c r="D1037" s="226">
        <f>D1038</f>
        <v>0</v>
      </c>
      <c r="E1037" s="226">
        <f>E1038</f>
        <v>848</v>
      </c>
      <c r="F1037" s="228">
        <f t="shared" si="24"/>
        <v>848</v>
      </c>
    </row>
    <row r="1038" spans="1:6" s="440" customFormat="1" x14ac:dyDescent="0.2">
      <c r="A1038" s="202" t="s">
        <v>823</v>
      </c>
      <c r="B1038" s="209" t="s">
        <v>1321</v>
      </c>
      <c r="C1038" s="209" t="s">
        <v>821</v>
      </c>
      <c r="D1038" s="226">
        <v>0</v>
      </c>
      <c r="E1038" s="226">
        <f>'Функциональная 2020'!H1257</f>
        <v>848</v>
      </c>
      <c r="F1038" s="228">
        <f t="shared" si="24"/>
        <v>848</v>
      </c>
    </row>
    <row r="1039" spans="1:6" x14ac:dyDescent="0.2">
      <c r="A1039" s="95" t="s">
        <v>1374</v>
      </c>
      <c r="B1039" s="95"/>
      <c r="C1039" s="95"/>
      <c r="D1039" s="227">
        <v>11481174.399999999</v>
      </c>
      <c r="E1039" s="227">
        <f>E9+E15+E85+E196+E253+E280+E296+E336+E441+E464+E513+E524+E639+E731+E819+E871+E889+E1005</f>
        <v>11615714.650000002</v>
      </c>
      <c r="F1039" s="229">
        <f t="shared" si="22"/>
        <v>134540.25000000373</v>
      </c>
    </row>
    <row r="1040" spans="1:6" x14ac:dyDescent="0.2">
      <c r="B1040" s="148"/>
      <c r="C1040" s="148"/>
      <c r="D1040" s="148"/>
    </row>
    <row r="1041" spans="1:6" x14ac:dyDescent="0.2">
      <c r="B1041" s="148"/>
      <c r="C1041" s="148"/>
      <c r="D1041" s="148"/>
    </row>
    <row r="1042" spans="1:6" x14ac:dyDescent="0.2">
      <c r="A1042" s="199" t="s">
        <v>757</v>
      </c>
      <c r="B1042" s="212" t="s">
        <v>756</v>
      </c>
      <c r="C1042" s="212"/>
      <c r="D1042" s="205">
        <v>36819.699999999997</v>
      </c>
      <c r="E1042" s="205">
        <f>E1043+E1046+E1053+E1056+E1063</f>
        <v>36819.699999999997</v>
      </c>
      <c r="F1042" s="206">
        <f t="shared" ref="F1042:F1101" si="25">E1042-D1042</f>
        <v>0</v>
      </c>
    </row>
    <row r="1043" spans="1:6" x14ac:dyDescent="0.2">
      <c r="A1043" s="202" t="s">
        <v>770</v>
      </c>
      <c r="B1043" s="209" t="s">
        <v>769</v>
      </c>
      <c r="C1043" s="209"/>
      <c r="D1043" s="226">
        <v>3051.6000000000004</v>
      </c>
      <c r="E1043" s="226">
        <f>E1044</f>
        <v>3051.6000000000004</v>
      </c>
      <c r="F1043" s="228">
        <f t="shared" si="25"/>
        <v>0</v>
      </c>
    </row>
    <row r="1044" spans="1:6" s="109" customFormat="1" ht="22.5" x14ac:dyDescent="0.2">
      <c r="A1044" s="202" t="s">
        <v>1348</v>
      </c>
      <c r="B1044" s="209" t="s">
        <v>769</v>
      </c>
      <c r="C1044" s="209" t="s">
        <v>556</v>
      </c>
      <c r="D1044" s="226">
        <v>3051.6000000000004</v>
      </c>
      <c r="E1044" s="226">
        <f>E1045</f>
        <v>3051.6000000000004</v>
      </c>
      <c r="F1044" s="228">
        <f t="shared" si="25"/>
        <v>0</v>
      </c>
    </row>
    <row r="1045" spans="1:6" x14ac:dyDescent="0.2">
      <c r="A1045" s="202" t="s">
        <v>749</v>
      </c>
      <c r="B1045" s="209" t="s">
        <v>769</v>
      </c>
      <c r="C1045" s="209" t="s">
        <v>745</v>
      </c>
      <c r="D1045" s="226">
        <v>3051.6000000000004</v>
      </c>
      <c r="E1045" s="226">
        <f>'Функциональная 2020'!H23</f>
        <v>3051.6000000000004</v>
      </c>
      <c r="F1045" s="228">
        <f t="shared" si="25"/>
        <v>0</v>
      </c>
    </row>
    <row r="1046" spans="1:6" x14ac:dyDescent="0.2">
      <c r="A1046" s="202" t="s">
        <v>767</v>
      </c>
      <c r="B1046" s="209" t="s">
        <v>765</v>
      </c>
      <c r="C1046" s="209"/>
      <c r="D1046" s="226">
        <v>13784.2</v>
      </c>
      <c r="E1046" s="226">
        <f>E1047+E1049+E1051</f>
        <v>13784.2</v>
      </c>
      <c r="F1046" s="228">
        <f t="shared" si="25"/>
        <v>0</v>
      </c>
    </row>
    <row r="1047" spans="1:6" ht="22.5" x14ac:dyDescent="0.2">
      <c r="A1047" s="202" t="s">
        <v>1348</v>
      </c>
      <c r="B1047" s="209" t="s">
        <v>765</v>
      </c>
      <c r="C1047" s="209" t="s">
        <v>556</v>
      </c>
      <c r="D1047" s="226">
        <v>9455.8000000000011</v>
      </c>
      <c r="E1047" s="226">
        <f>E1048</f>
        <v>9455.8000000000011</v>
      </c>
      <c r="F1047" s="228">
        <f t="shared" si="25"/>
        <v>0</v>
      </c>
    </row>
    <row r="1048" spans="1:6" x14ac:dyDescent="0.2">
      <c r="A1048" s="202" t="s">
        <v>749</v>
      </c>
      <c r="B1048" s="209" t="s">
        <v>765</v>
      </c>
      <c r="C1048" s="209" t="s">
        <v>745</v>
      </c>
      <c r="D1048" s="226">
        <v>9455.8000000000011</v>
      </c>
      <c r="E1048" s="226">
        <f>'Функциональная 2020'!H26</f>
        <v>9455.8000000000011</v>
      </c>
      <c r="F1048" s="228">
        <f t="shared" si="25"/>
        <v>0</v>
      </c>
    </row>
    <row r="1049" spans="1:6" x14ac:dyDescent="0.2">
      <c r="A1049" s="202" t="s">
        <v>1347</v>
      </c>
      <c r="B1049" s="209" t="s">
        <v>765</v>
      </c>
      <c r="C1049" s="209" t="s">
        <v>535</v>
      </c>
      <c r="D1049" s="226">
        <v>4278.3999999999996</v>
      </c>
      <c r="E1049" s="226">
        <f>E1050</f>
        <v>4278.3999999999996</v>
      </c>
      <c r="F1049" s="228">
        <f t="shared" si="25"/>
        <v>0</v>
      </c>
    </row>
    <row r="1050" spans="1:6" x14ac:dyDescent="0.2">
      <c r="A1050" s="202" t="s">
        <v>534</v>
      </c>
      <c r="B1050" s="209" t="s">
        <v>765</v>
      </c>
      <c r="C1050" s="209" t="s">
        <v>529</v>
      </c>
      <c r="D1050" s="226">
        <v>4278.3999999999996</v>
      </c>
      <c r="E1050" s="226">
        <f>'Функциональная 2020'!H28</f>
        <v>4278.3999999999996</v>
      </c>
      <c r="F1050" s="228">
        <f t="shared" si="25"/>
        <v>0</v>
      </c>
    </row>
    <row r="1051" spans="1:6" x14ac:dyDescent="0.2">
      <c r="A1051" s="202" t="s">
        <v>615</v>
      </c>
      <c r="B1051" s="209" t="s">
        <v>765</v>
      </c>
      <c r="C1051" s="209" t="s">
        <v>509</v>
      </c>
      <c r="D1051" s="226">
        <v>50</v>
      </c>
      <c r="E1051" s="226">
        <f>E1052</f>
        <v>50</v>
      </c>
      <c r="F1051" s="228">
        <f t="shared" si="25"/>
        <v>0</v>
      </c>
    </row>
    <row r="1052" spans="1:6" x14ac:dyDescent="0.2">
      <c r="A1052" s="202" t="s">
        <v>614</v>
      </c>
      <c r="B1052" s="209" t="s">
        <v>765</v>
      </c>
      <c r="C1052" s="209" t="s">
        <v>613</v>
      </c>
      <c r="D1052" s="226">
        <v>50</v>
      </c>
      <c r="E1052" s="226">
        <f>'Функциональная 2020'!H30</f>
        <v>50</v>
      </c>
      <c r="F1052" s="228">
        <f t="shared" si="25"/>
        <v>0</v>
      </c>
    </row>
    <row r="1053" spans="1:6" x14ac:dyDescent="0.2">
      <c r="A1053" s="202" t="s">
        <v>755</v>
      </c>
      <c r="B1053" s="209" t="s">
        <v>754</v>
      </c>
      <c r="C1053" s="209"/>
      <c r="D1053" s="226">
        <v>2577</v>
      </c>
      <c r="E1053" s="226">
        <f>E1054</f>
        <v>1552</v>
      </c>
      <c r="F1053" s="228">
        <f t="shared" si="25"/>
        <v>-1025</v>
      </c>
    </row>
    <row r="1054" spans="1:6" ht="22.5" x14ac:dyDescent="0.2">
      <c r="A1054" s="202" t="s">
        <v>1348</v>
      </c>
      <c r="B1054" s="209" t="s">
        <v>754</v>
      </c>
      <c r="C1054" s="209" t="s">
        <v>556</v>
      </c>
      <c r="D1054" s="226">
        <v>2577</v>
      </c>
      <c r="E1054" s="226">
        <f>E1055</f>
        <v>1552</v>
      </c>
      <c r="F1054" s="228">
        <f t="shared" si="25"/>
        <v>-1025</v>
      </c>
    </row>
    <row r="1055" spans="1:6" x14ac:dyDescent="0.2">
      <c r="A1055" s="202" t="s">
        <v>749</v>
      </c>
      <c r="B1055" s="209" t="s">
        <v>754</v>
      </c>
      <c r="C1055" s="209" t="s">
        <v>745</v>
      </c>
      <c r="D1055" s="226">
        <v>2577</v>
      </c>
      <c r="E1055" s="226">
        <f>'Функциональная 2020'!H128</f>
        <v>1552</v>
      </c>
      <c r="F1055" s="228">
        <f t="shared" si="25"/>
        <v>-1025</v>
      </c>
    </row>
    <row r="1056" spans="1:6" x14ac:dyDescent="0.2">
      <c r="A1056" s="202" t="s">
        <v>753</v>
      </c>
      <c r="B1056" s="209" t="s">
        <v>751</v>
      </c>
      <c r="C1056" s="209"/>
      <c r="D1056" s="226">
        <v>15912.2</v>
      </c>
      <c r="E1056" s="226">
        <f>E1057+E1059+E1061</f>
        <v>15912.2</v>
      </c>
      <c r="F1056" s="228">
        <f t="shared" si="25"/>
        <v>0</v>
      </c>
    </row>
    <row r="1057" spans="1:6" ht="22.5" x14ac:dyDescent="0.2">
      <c r="A1057" s="202" t="s">
        <v>1348</v>
      </c>
      <c r="B1057" s="209" t="s">
        <v>751</v>
      </c>
      <c r="C1057" s="209" t="s">
        <v>556</v>
      </c>
      <c r="D1057" s="226">
        <v>13229.800000000001</v>
      </c>
      <c r="E1057" s="226">
        <f>E1058</f>
        <v>13229.800000000001</v>
      </c>
      <c r="F1057" s="228">
        <f t="shared" si="25"/>
        <v>0</v>
      </c>
    </row>
    <row r="1058" spans="1:6" x14ac:dyDescent="0.2">
      <c r="A1058" s="202" t="s">
        <v>749</v>
      </c>
      <c r="B1058" s="209" t="s">
        <v>751</v>
      </c>
      <c r="C1058" s="209" t="s">
        <v>745</v>
      </c>
      <c r="D1058" s="226">
        <v>13229.800000000001</v>
      </c>
      <c r="E1058" s="226">
        <f>'Функциональная 2020'!H131</f>
        <v>13229.800000000001</v>
      </c>
      <c r="F1058" s="228">
        <f t="shared" si="25"/>
        <v>0</v>
      </c>
    </row>
    <row r="1059" spans="1:6" x14ac:dyDescent="0.2">
      <c r="A1059" s="202" t="s">
        <v>1347</v>
      </c>
      <c r="B1059" s="209" t="s">
        <v>751</v>
      </c>
      <c r="C1059" s="209" t="s">
        <v>535</v>
      </c>
      <c r="D1059" s="226">
        <v>2644.4</v>
      </c>
      <c r="E1059" s="226">
        <f>E1060</f>
        <v>2644.4</v>
      </c>
      <c r="F1059" s="228">
        <f t="shared" si="25"/>
        <v>0</v>
      </c>
    </row>
    <row r="1060" spans="1:6" x14ac:dyDescent="0.2">
      <c r="A1060" s="202" t="s">
        <v>534</v>
      </c>
      <c r="B1060" s="209" t="s">
        <v>751</v>
      </c>
      <c r="C1060" s="209" t="s">
        <v>529</v>
      </c>
      <c r="D1060" s="226">
        <v>2644.4</v>
      </c>
      <c r="E1060" s="226">
        <f>'Функциональная 2020'!H133</f>
        <v>2644.4</v>
      </c>
      <c r="F1060" s="228">
        <f t="shared" si="25"/>
        <v>0</v>
      </c>
    </row>
    <row r="1061" spans="1:6" x14ac:dyDescent="0.2">
      <c r="A1061" s="202" t="s">
        <v>615</v>
      </c>
      <c r="B1061" s="209" t="s">
        <v>751</v>
      </c>
      <c r="C1061" s="209" t="s">
        <v>509</v>
      </c>
      <c r="D1061" s="226">
        <v>38</v>
      </c>
      <c r="E1061" s="226">
        <f>E1062</f>
        <v>38</v>
      </c>
      <c r="F1061" s="228">
        <f t="shared" si="25"/>
        <v>0</v>
      </c>
    </row>
    <row r="1062" spans="1:6" x14ac:dyDescent="0.2">
      <c r="A1062" s="202" t="s">
        <v>752</v>
      </c>
      <c r="B1062" s="209" t="s">
        <v>751</v>
      </c>
      <c r="C1062" s="209" t="s">
        <v>750</v>
      </c>
      <c r="D1062" s="226">
        <v>38</v>
      </c>
      <c r="E1062" s="226">
        <f>'Функциональная 2020'!H135</f>
        <v>38</v>
      </c>
      <c r="F1062" s="228">
        <f t="shared" si="25"/>
        <v>0</v>
      </c>
    </row>
    <row r="1063" spans="1:6" x14ac:dyDescent="0.2">
      <c r="A1063" s="202" t="s">
        <v>1342</v>
      </c>
      <c r="B1063" s="209" t="s">
        <v>746</v>
      </c>
      <c r="C1063" s="209"/>
      <c r="D1063" s="226">
        <v>1494.7</v>
      </c>
      <c r="E1063" s="226">
        <f>E1064</f>
        <v>2519.6999999999998</v>
      </c>
      <c r="F1063" s="228">
        <f t="shared" si="25"/>
        <v>1024.9999999999998</v>
      </c>
    </row>
    <row r="1064" spans="1:6" ht="22.5" x14ac:dyDescent="0.2">
      <c r="A1064" s="202" t="s">
        <v>1348</v>
      </c>
      <c r="B1064" s="209" t="s">
        <v>746</v>
      </c>
      <c r="C1064" s="209" t="s">
        <v>556</v>
      </c>
      <c r="D1064" s="226">
        <v>1494.7</v>
      </c>
      <c r="E1064" s="226">
        <f>E1065</f>
        <v>2519.6999999999998</v>
      </c>
      <c r="F1064" s="228">
        <f t="shared" si="25"/>
        <v>1024.9999999999998</v>
      </c>
    </row>
    <row r="1065" spans="1:6" x14ac:dyDescent="0.2">
      <c r="A1065" s="202" t="s">
        <v>749</v>
      </c>
      <c r="B1065" s="209" t="s">
        <v>746</v>
      </c>
      <c r="C1065" s="209" t="s">
        <v>745</v>
      </c>
      <c r="D1065" s="226">
        <v>1494.7</v>
      </c>
      <c r="E1065" s="226">
        <f>'Функциональная 2020'!H138</f>
        <v>2519.6999999999998</v>
      </c>
      <c r="F1065" s="228">
        <f t="shared" si="25"/>
        <v>1024.9999999999998</v>
      </c>
    </row>
    <row r="1066" spans="1:6" x14ac:dyDescent="0.2">
      <c r="A1066" s="199" t="s">
        <v>595</v>
      </c>
      <c r="B1066" s="212" t="s">
        <v>594</v>
      </c>
      <c r="C1066" s="212"/>
      <c r="D1066" s="205">
        <v>106599.79999999997</v>
      </c>
      <c r="E1066" s="205">
        <f>E1067+E1076+E1082+E1089+E1095+E1092+E1079</f>
        <v>92474.599999999991</v>
      </c>
      <c r="F1066" s="206">
        <f t="shared" si="25"/>
        <v>-14125.199999999983</v>
      </c>
    </row>
    <row r="1067" spans="1:6" x14ac:dyDescent="0.2">
      <c r="A1067" s="202" t="s">
        <v>1240</v>
      </c>
      <c r="B1067" s="209" t="s">
        <v>1239</v>
      </c>
      <c r="C1067" s="209"/>
      <c r="D1067" s="226">
        <v>58469.999999999993</v>
      </c>
      <c r="E1067" s="226">
        <f>E1072+E1070+E1068</f>
        <v>43470</v>
      </c>
      <c r="F1067" s="228">
        <f t="shared" si="25"/>
        <v>-14999.999999999993</v>
      </c>
    </row>
    <row r="1068" spans="1:6" s="391" customFormat="1" x14ac:dyDescent="0.2">
      <c r="A1068" s="202" t="s">
        <v>1347</v>
      </c>
      <c r="B1068" s="209" t="s">
        <v>1239</v>
      </c>
      <c r="C1068" s="209">
        <v>200</v>
      </c>
      <c r="D1068" s="226">
        <v>2457.1</v>
      </c>
      <c r="E1068" s="226">
        <f>E1069</f>
        <v>2457.1</v>
      </c>
      <c r="F1068" s="228">
        <f t="shared" si="25"/>
        <v>0</v>
      </c>
    </row>
    <row r="1069" spans="1:6" s="391" customFormat="1" x14ac:dyDescent="0.2">
      <c r="A1069" s="202" t="s">
        <v>534</v>
      </c>
      <c r="B1069" s="209" t="s">
        <v>1239</v>
      </c>
      <c r="C1069" s="209">
        <v>240</v>
      </c>
      <c r="D1069" s="226">
        <v>2457.1</v>
      </c>
      <c r="E1069" s="226">
        <f>'Функциональная 2020'!H236+'Функциональная 2020'!H608</f>
        <v>2457.1</v>
      </c>
      <c r="F1069" s="228">
        <f t="shared" si="25"/>
        <v>0</v>
      </c>
    </row>
    <row r="1070" spans="1:6" s="375" customFormat="1" x14ac:dyDescent="0.2">
      <c r="A1070" s="202" t="s">
        <v>547</v>
      </c>
      <c r="B1070" s="209" t="s">
        <v>1239</v>
      </c>
      <c r="C1070" s="209">
        <v>600</v>
      </c>
      <c r="D1070" s="226">
        <v>841.5</v>
      </c>
      <c r="E1070" s="226">
        <f>E1071</f>
        <v>3513.1</v>
      </c>
      <c r="F1070" s="228">
        <f t="shared" si="25"/>
        <v>2671.6</v>
      </c>
    </row>
    <row r="1071" spans="1:6" s="375" customFormat="1" x14ac:dyDescent="0.2">
      <c r="A1071" s="202" t="s">
        <v>571</v>
      </c>
      <c r="B1071" s="209" t="s">
        <v>1239</v>
      </c>
      <c r="C1071" s="209">
        <v>610</v>
      </c>
      <c r="D1071" s="226">
        <v>841.5</v>
      </c>
      <c r="E1071" s="226">
        <f>'Функциональная 2020'!H610</f>
        <v>3513.1</v>
      </c>
      <c r="F1071" s="228">
        <f t="shared" si="25"/>
        <v>2671.6</v>
      </c>
    </row>
    <row r="1072" spans="1:6" x14ac:dyDescent="0.2">
      <c r="A1072" s="202" t="s">
        <v>615</v>
      </c>
      <c r="B1072" s="209" t="s">
        <v>1239</v>
      </c>
      <c r="C1072" s="209" t="s">
        <v>509</v>
      </c>
      <c r="D1072" s="226">
        <v>55171.399999999994</v>
      </c>
      <c r="E1072" s="226">
        <f>E1075+E1074+E1073</f>
        <v>37499.800000000003</v>
      </c>
      <c r="F1072" s="228">
        <f t="shared" si="25"/>
        <v>-17671.599999999991</v>
      </c>
    </row>
    <row r="1073" spans="1:6" s="300" customFormat="1" ht="22.5" x14ac:dyDescent="0.2">
      <c r="A1073" s="202" t="s">
        <v>1346</v>
      </c>
      <c r="B1073" s="209" t="s">
        <v>1239</v>
      </c>
      <c r="C1073" s="209">
        <v>810</v>
      </c>
      <c r="D1073" s="226">
        <v>6149.2999999999993</v>
      </c>
      <c r="E1073" s="226">
        <f>'Функциональная 2020'!H612+'Функциональная 2020'!H238</f>
        <v>6945.4</v>
      </c>
      <c r="F1073" s="228">
        <f t="shared" si="25"/>
        <v>796.10000000000036</v>
      </c>
    </row>
    <row r="1074" spans="1:6" s="300" customFormat="1" x14ac:dyDescent="0.2">
      <c r="A1074" s="202" t="s">
        <v>1412</v>
      </c>
      <c r="B1074" s="209" t="s">
        <v>1239</v>
      </c>
      <c r="C1074" s="209">
        <v>830</v>
      </c>
      <c r="D1074" s="226">
        <v>950</v>
      </c>
      <c r="E1074" s="226">
        <f>'Функциональная 2020'!H239</f>
        <v>2385.6999999999998</v>
      </c>
      <c r="F1074" s="228">
        <f t="shared" si="25"/>
        <v>1435.6999999999998</v>
      </c>
    </row>
    <row r="1075" spans="1:6" x14ac:dyDescent="0.2">
      <c r="A1075" s="202" t="s">
        <v>1237</v>
      </c>
      <c r="B1075" s="209" t="s">
        <v>1239</v>
      </c>
      <c r="C1075" s="209" t="s">
        <v>1235</v>
      </c>
      <c r="D1075" s="226">
        <v>48072.1</v>
      </c>
      <c r="E1075" s="226">
        <f>'Функциональная 2020'!H143</f>
        <v>28168.700000000004</v>
      </c>
      <c r="F1075" s="228">
        <f t="shared" si="25"/>
        <v>-19903.399999999994</v>
      </c>
    </row>
    <row r="1076" spans="1:6" x14ac:dyDescent="0.2">
      <c r="A1076" s="202" t="s">
        <v>1238</v>
      </c>
      <c r="B1076" s="209" t="s">
        <v>1236</v>
      </c>
      <c r="C1076" s="209"/>
      <c r="D1076" s="226">
        <v>1000</v>
      </c>
      <c r="E1076" s="226">
        <f>E1077</f>
        <v>1000</v>
      </c>
      <c r="F1076" s="228">
        <f t="shared" si="25"/>
        <v>0</v>
      </c>
    </row>
    <row r="1077" spans="1:6" x14ac:dyDescent="0.2">
      <c r="A1077" s="202" t="s">
        <v>615</v>
      </c>
      <c r="B1077" s="209" t="s">
        <v>1236</v>
      </c>
      <c r="C1077" s="209" t="s">
        <v>509</v>
      </c>
      <c r="D1077" s="226">
        <v>1000</v>
      </c>
      <c r="E1077" s="226">
        <f>E1078</f>
        <v>1000</v>
      </c>
      <c r="F1077" s="228">
        <f t="shared" si="25"/>
        <v>0</v>
      </c>
    </row>
    <row r="1078" spans="1:6" x14ac:dyDescent="0.2">
      <c r="A1078" s="202" t="s">
        <v>1237</v>
      </c>
      <c r="B1078" s="209" t="s">
        <v>1236</v>
      </c>
      <c r="C1078" s="209" t="s">
        <v>1235</v>
      </c>
      <c r="D1078" s="226">
        <v>1000</v>
      </c>
      <c r="E1078" s="226">
        <f>'Функциональная 2020'!H146</f>
        <v>1000</v>
      </c>
      <c r="F1078" s="228">
        <f t="shared" si="25"/>
        <v>0</v>
      </c>
    </row>
    <row r="1079" spans="1:6" s="302" customFormat="1" x14ac:dyDescent="0.2">
      <c r="A1079" s="202" t="s">
        <v>1413</v>
      </c>
      <c r="B1079" s="209" t="s">
        <v>1414</v>
      </c>
      <c r="C1079" s="209"/>
      <c r="D1079" s="226">
        <v>548.20000000000005</v>
      </c>
      <c r="E1079" s="226">
        <f>E1080</f>
        <v>3463.7</v>
      </c>
      <c r="F1079" s="228">
        <f t="shared" si="25"/>
        <v>2915.5</v>
      </c>
    </row>
    <row r="1080" spans="1:6" s="302" customFormat="1" x14ac:dyDescent="0.2">
      <c r="A1080" s="202" t="s">
        <v>615</v>
      </c>
      <c r="B1080" s="209" t="s">
        <v>1414</v>
      </c>
      <c r="C1080" s="209">
        <v>800</v>
      </c>
      <c r="D1080" s="226">
        <v>548.20000000000005</v>
      </c>
      <c r="E1080" s="226">
        <f>E1081</f>
        <v>3463.7</v>
      </c>
      <c r="F1080" s="228">
        <f t="shared" si="25"/>
        <v>2915.5</v>
      </c>
    </row>
    <row r="1081" spans="1:6" s="302" customFormat="1" x14ac:dyDescent="0.2">
      <c r="A1081" s="202" t="s">
        <v>1412</v>
      </c>
      <c r="B1081" s="209" t="s">
        <v>1414</v>
      </c>
      <c r="C1081" s="209">
        <v>830</v>
      </c>
      <c r="D1081" s="226">
        <v>548.20000000000005</v>
      </c>
      <c r="E1081" s="226">
        <f>'Функциональная 2020'!H242</f>
        <v>3463.7</v>
      </c>
      <c r="F1081" s="228">
        <f t="shared" si="25"/>
        <v>2915.5</v>
      </c>
    </row>
    <row r="1082" spans="1:6" x14ac:dyDescent="0.2">
      <c r="A1082" s="202" t="s">
        <v>871</v>
      </c>
      <c r="B1082" s="209" t="s">
        <v>870</v>
      </c>
      <c r="C1082" s="209"/>
      <c r="D1082" s="226">
        <v>4579.7</v>
      </c>
      <c r="E1082" s="226">
        <f>E1083+E1085+E1087</f>
        <v>4429.7</v>
      </c>
      <c r="F1082" s="228">
        <f t="shared" si="25"/>
        <v>-150</v>
      </c>
    </row>
    <row r="1083" spans="1:6" x14ac:dyDescent="0.2">
      <c r="A1083" s="202" t="s">
        <v>1347</v>
      </c>
      <c r="B1083" s="209" t="s">
        <v>870</v>
      </c>
      <c r="C1083" s="209" t="s">
        <v>535</v>
      </c>
      <c r="D1083" s="226">
        <v>2815.2</v>
      </c>
      <c r="E1083" s="226">
        <f>E1084</f>
        <v>2665.2</v>
      </c>
      <c r="F1083" s="228">
        <f t="shared" si="25"/>
        <v>-150</v>
      </c>
    </row>
    <row r="1084" spans="1:6" x14ac:dyDescent="0.2">
      <c r="A1084" s="202" t="s">
        <v>534</v>
      </c>
      <c r="B1084" s="209" t="s">
        <v>870</v>
      </c>
      <c r="C1084" s="209" t="s">
        <v>529</v>
      </c>
      <c r="D1084" s="226">
        <v>2815.2</v>
      </c>
      <c r="E1084" s="226">
        <f>'Функциональная 2020'!H1160</f>
        <v>2665.2</v>
      </c>
      <c r="F1084" s="228">
        <f t="shared" si="25"/>
        <v>-150</v>
      </c>
    </row>
    <row r="1085" spans="1:6" x14ac:dyDescent="0.2">
      <c r="A1085" s="202" t="s">
        <v>553</v>
      </c>
      <c r="B1085" s="209" t="s">
        <v>870</v>
      </c>
      <c r="C1085" s="209" t="s">
        <v>552</v>
      </c>
      <c r="D1085" s="226">
        <v>1048.8</v>
      </c>
      <c r="E1085" s="226">
        <f>E1086</f>
        <v>1048.8</v>
      </c>
      <c r="F1085" s="228">
        <f t="shared" si="25"/>
        <v>0</v>
      </c>
    </row>
    <row r="1086" spans="1:6" x14ac:dyDescent="0.2">
      <c r="A1086" s="202" t="s">
        <v>936</v>
      </c>
      <c r="B1086" s="209" t="s">
        <v>870</v>
      </c>
      <c r="C1086" s="209" t="s">
        <v>934</v>
      </c>
      <c r="D1086" s="226">
        <v>1048.8</v>
      </c>
      <c r="E1086" s="226">
        <f>'Функциональная 2020'!H113</f>
        <v>1048.8</v>
      </c>
      <c r="F1086" s="228">
        <f t="shared" si="25"/>
        <v>0</v>
      </c>
    </row>
    <row r="1087" spans="1:6" x14ac:dyDescent="0.2">
      <c r="A1087" s="202" t="s">
        <v>615</v>
      </c>
      <c r="B1087" s="209" t="s">
        <v>870</v>
      </c>
      <c r="C1087" s="209" t="s">
        <v>509</v>
      </c>
      <c r="D1087" s="226">
        <v>715.7</v>
      </c>
      <c r="E1087" s="226">
        <f>E1088</f>
        <v>715.7</v>
      </c>
      <c r="F1087" s="228">
        <f t="shared" si="25"/>
        <v>0</v>
      </c>
    </row>
    <row r="1088" spans="1:6" x14ac:dyDescent="0.2">
      <c r="A1088" s="202" t="s">
        <v>752</v>
      </c>
      <c r="B1088" s="209" t="s">
        <v>870</v>
      </c>
      <c r="C1088" s="209" t="s">
        <v>750</v>
      </c>
      <c r="D1088" s="226">
        <v>715.7</v>
      </c>
      <c r="E1088" s="226">
        <f>'Функциональная 2020'!H245</f>
        <v>715.7</v>
      </c>
      <c r="F1088" s="228">
        <f t="shared" si="25"/>
        <v>0</v>
      </c>
    </row>
    <row r="1089" spans="1:6" x14ac:dyDescent="0.2">
      <c r="A1089" s="202" t="s">
        <v>843</v>
      </c>
      <c r="B1089" s="209" t="s">
        <v>842</v>
      </c>
      <c r="C1089" s="209"/>
      <c r="D1089" s="226">
        <v>9909</v>
      </c>
      <c r="E1089" s="226">
        <f>E1090</f>
        <v>9909</v>
      </c>
      <c r="F1089" s="228">
        <f t="shared" si="25"/>
        <v>0</v>
      </c>
    </row>
    <row r="1090" spans="1:6" x14ac:dyDescent="0.2">
      <c r="A1090" s="202" t="s">
        <v>553</v>
      </c>
      <c r="B1090" s="209" t="s">
        <v>842</v>
      </c>
      <c r="C1090" s="209" t="s">
        <v>552</v>
      </c>
      <c r="D1090" s="226">
        <v>9909</v>
      </c>
      <c r="E1090" s="226">
        <f>E1091</f>
        <v>9909</v>
      </c>
      <c r="F1090" s="228">
        <f t="shared" si="25"/>
        <v>0</v>
      </c>
    </row>
    <row r="1091" spans="1:6" x14ac:dyDescent="0.2">
      <c r="A1091" s="202" t="s">
        <v>659</v>
      </c>
      <c r="B1091" s="209" t="s">
        <v>842</v>
      </c>
      <c r="C1091" s="209" t="s">
        <v>655</v>
      </c>
      <c r="D1091" s="226">
        <v>9909</v>
      </c>
      <c r="E1091" s="226">
        <f>'Функциональная 2020'!H1193</f>
        <v>9909</v>
      </c>
      <c r="F1091" s="228">
        <f t="shared" si="25"/>
        <v>0</v>
      </c>
    </row>
    <row r="1092" spans="1:6" s="294" customFormat="1" x14ac:dyDescent="0.2">
      <c r="A1092" s="202" t="s">
        <v>1404</v>
      </c>
      <c r="B1092" s="209" t="s">
        <v>1405</v>
      </c>
      <c r="C1092" s="209"/>
      <c r="D1092" s="226">
        <v>25000</v>
      </c>
      <c r="E1092" s="226">
        <f>E1093</f>
        <v>25000</v>
      </c>
      <c r="F1092" s="228">
        <f t="shared" si="25"/>
        <v>0</v>
      </c>
    </row>
    <row r="1093" spans="1:6" s="294" customFormat="1" x14ac:dyDescent="0.2">
      <c r="A1093" s="202" t="s">
        <v>547</v>
      </c>
      <c r="B1093" s="209" t="s">
        <v>1405</v>
      </c>
      <c r="C1093" s="209">
        <v>600</v>
      </c>
      <c r="D1093" s="226">
        <v>25000</v>
      </c>
      <c r="E1093" s="226">
        <f>E1094</f>
        <v>25000</v>
      </c>
      <c r="F1093" s="228">
        <f t="shared" si="25"/>
        <v>0</v>
      </c>
    </row>
    <row r="1094" spans="1:6" s="294" customFormat="1" x14ac:dyDescent="0.2">
      <c r="A1094" s="202" t="s">
        <v>705</v>
      </c>
      <c r="B1094" s="209" t="s">
        <v>1405</v>
      </c>
      <c r="C1094" s="209">
        <v>630</v>
      </c>
      <c r="D1094" s="226">
        <v>25000</v>
      </c>
      <c r="E1094" s="226">
        <f>'Функциональная 2020'!H248</f>
        <v>25000</v>
      </c>
      <c r="F1094" s="228">
        <f t="shared" si="25"/>
        <v>0</v>
      </c>
    </row>
    <row r="1095" spans="1:6" x14ac:dyDescent="0.2">
      <c r="A1095" s="202" t="s">
        <v>593</v>
      </c>
      <c r="B1095" s="209" t="s">
        <v>591</v>
      </c>
      <c r="C1095" s="209"/>
      <c r="D1095" s="226">
        <v>7092.9</v>
      </c>
      <c r="E1095" s="226">
        <f>E1096+E1098</f>
        <v>5202.2</v>
      </c>
      <c r="F1095" s="228">
        <f t="shared" si="25"/>
        <v>-1890.6999999999998</v>
      </c>
    </row>
    <row r="1096" spans="1:6" x14ac:dyDescent="0.2">
      <c r="A1096" s="202" t="s">
        <v>1347</v>
      </c>
      <c r="B1096" s="209" t="s">
        <v>591</v>
      </c>
      <c r="C1096" s="209" t="s">
        <v>535</v>
      </c>
      <c r="D1096" s="226">
        <v>5592.9</v>
      </c>
      <c r="E1096" s="226">
        <f>E1097</f>
        <v>5202.2</v>
      </c>
      <c r="F1096" s="228">
        <f t="shared" si="25"/>
        <v>-390.69999999999982</v>
      </c>
    </row>
    <row r="1097" spans="1:6" x14ac:dyDescent="0.2">
      <c r="A1097" s="202" t="s">
        <v>534</v>
      </c>
      <c r="B1097" s="209" t="s">
        <v>591</v>
      </c>
      <c r="C1097" s="209" t="s">
        <v>529</v>
      </c>
      <c r="D1097" s="226">
        <v>5592.9</v>
      </c>
      <c r="E1097" s="226">
        <f>'Функциональная 2020'!H251</f>
        <v>5202.2</v>
      </c>
      <c r="F1097" s="228">
        <f t="shared" si="25"/>
        <v>-390.69999999999982</v>
      </c>
    </row>
    <row r="1098" spans="1:6" x14ac:dyDescent="0.2">
      <c r="A1098" s="202" t="s">
        <v>553</v>
      </c>
      <c r="B1098" s="209" t="s">
        <v>591</v>
      </c>
      <c r="C1098" s="209" t="s">
        <v>552</v>
      </c>
      <c r="D1098" s="226">
        <v>1500</v>
      </c>
      <c r="E1098" s="226">
        <f>E1099</f>
        <v>0</v>
      </c>
      <c r="F1098" s="228">
        <f t="shared" si="25"/>
        <v>-1500</v>
      </c>
    </row>
    <row r="1099" spans="1:6" x14ac:dyDescent="0.2">
      <c r="A1099" s="202" t="s">
        <v>841</v>
      </c>
      <c r="B1099" s="209" t="s">
        <v>591</v>
      </c>
      <c r="C1099" s="209" t="s">
        <v>840</v>
      </c>
      <c r="D1099" s="226">
        <v>1500</v>
      </c>
      <c r="E1099" s="226">
        <f>'Функциональная 2020'!H1196</f>
        <v>0</v>
      </c>
      <c r="F1099" s="228">
        <f t="shared" si="25"/>
        <v>-1500</v>
      </c>
    </row>
    <row r="1100" spans="1:6" s="208" customFormat="1" x14ac:dyDescent="0.2">
      <c r="A1100" s="95" t="s">
        <v>1375</v>
      </c>
      <c r="B1100" s="209"/>
      <c r="C1100" s="209"/>
      <c r="D1100" s="227">
        <v>143419.49999999997</v>
      </c>
      <c r="E1100" s="227">
        <f>E1042+E1066</f>
        <v>129294.29999999999</v>
      </c>
      <c r="F1100" s="229">
        <f t="shared" si="25"/>
        <v>-14125.199999999983</v>
      </c>
    </row>
    <row r="1101" spans="1:6" x14ac:dyDescent="0.2">
      <c r="A1101" s="95" t="s">
        <v>528</v>
      </c>
      <c r="B1101" s="212"/>
      <c r="C1101" s="212"/>
      <c r="D1101" s="227">
        <v>11624593.899999999</v>
      </c>
      <c r="E1101" s="227">
        <f>E1100+E1039</f>
        <v>11745008.950000003</v>
      </c>
      <c r="F1101" s="229">
        <f t="shared" si="25"/>
        <v>120415.05000000447</v>
      </c>
    </row>
    <row r="1103" spans="1:6" x14ac:dyDescent="0.2">
      <c r="F1103" s="99"/>
    </row>
  </sheetData>
  <mergeCells count="5">
    <mergeCell ref="A6:C6"/>
    <mergeCell ref="A5:F5"/>
    <mergeCell ref="C1:F1"/>
    <mergeCell ref="B2:F2"/>
    <mergeCell ref="A3:F3"/>
  </mergeCells>
  <pageMargins left="0.78740157480314965" right="0.39370078740157483" top="0.78740157480314965" bottom="0.78740157480314965" header="0" footer="0"/>
  <pageSetup paperSize="9" scale="57" firstPageNumber="124" fitToHeight="0" orientation="portrait" useFirstPageNumber="1" r:id="rId1"/>
  <headerFooter>
    <oddFooter>Страница &amp;P</oddFooter>
    <evenHeader>&amp;LФинансовое управление Администрации городского округа Мытищи</evenHeader>
    <evenFooter>&amp;L 30.10.2018 15:46:58&amp;R&amp;P/&amp;N</evenFooter>
    <firstHeader>&amp;LФинансовое управление Администрации городского округа Мытищи</firstHeader>
    <firstFooter>&amp;L 30.10.2018 15:46:58&amp;R&amp;P/&amp;N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0"/>
  <sheetViews>
    <sheetView topLeftCell="D1" zoomScale="130" zoomScaleNormal="130" workbookViewId="0">
      <selection activeCell="A3" sqref="A3:I3"/>
    </sheetView>
  </sheetViews>
  <sheetFormatPr defaultColWidth="9.140625" defaultRowHeight="12.75" x14ac:dyDescent="0.2"/>
  <cols>
    <col min="1" max="1" width="89.42578125" style="150" customWidth="1"/>
    <col min="2" max="2" width="15.5703125" style="74" customWidth="1"/>
    <col min="3" max="3" width="5.7109375" style="74" customWidth="1"/>
    <col min="4" max="4" width="14.7109375" style="150" customWidth="1"/>
    <col min="5" max="6" width="14.7109375" style="239" customWidth="1"/>
    <col min="7" max="7" width="14.85546875" style="150" customWidth="1"/>
    <col min="8" max="8" width="13.85546875" style="150" customWidth="1"/>
    <col min="9" max="9" width="11.140625" style="150" customWidth="1"/>
    <col min="10" max="16384" width="9.140625" style="150"/>
  </cols>
  <sheetData>
    <row r="1" spans="1:10" x14ac:dyDescent="0.2">
      <c r="A1" s="238"/>
      <c r="D1" s="560" t="s">
        <v>1338</v>
      </c>
      <c r="E1" s="560"/>
      <c r="F1" s="560"/>
      <c r="G1" s="569"/>
      <c r="H1" s="463"/>
      <c r="I1" s="463"/>
      <c r="J1" s="240"/>
    </row>
    <row r="2" spans="1:10" ht="15.75" customHeight="1" x14ac:dyDescent="0.2">
      <c r="A2" s="560" t="s">
        <v>1</v>
      </c>
      <c r="B2" s="568"/>
      <c r="C2" s="568"/>
      <c r="D2" s="568"/>
      <c r="E2" s="568"/>
      <c r="F2" s="568"/>
      <c r="G2" s="568"/>
      <c r="H2" s="463"/>
      <c r="I2" s="463"/>
      <c r="J2" s="110"/>
    </row>
    <row r="3" spans="1:10" x14ac:dyDescent="0.2">
      <c r="A3" s="562" t="s">
        <v>1741</v>
      </c>
      <c r="B3" s="567"/>
      <c r="C3" s="567"/>
      <c r="D3" s="567"/>
      <c r="E3" s="567"/>
      <c r="F3" s="567"/>
      <c r="G3" s="567"/>
      <c r="H3" s="463"/>
      <c r="I3" s="463"/>
      <c r="J3" s="111"/>
    </row>
    <row r="4" spans="1:10" x14ac:dyDescent="0.2">
      <c r="A4" s="149"/>
    </row>
    <row r="5" spans="1:10" ht="15.2" customHeight="1" x14ac:dyDescent="0.2">
      <c r="A5" s="460" t="s">
        <v>1339</v>
      </c>
      <c r="B5" s="460"/>
      <c r="C5" s="460"/>
      <c r="D5" s="460"/>
      <c r="E5" s="460"/>
      <c r="F5" s="460"/>
      <c r="G5" s="460"/>
      <c r="H5" s="463"/>
      <c r="I5" s="463"/>
    </row>
    <row r="6" spans="1:10" ht="15.75" customHeight="1" x14ac:dyDescent="0.2">
      <c r="A6" s="566"/>
      <c r="B6" s="566"/>
      <c r="C6" s="566"/>
      <c r="D6" s="566"/>
      <c r="E6" s="566"/>
      <c r="F6" s="566"/>
      <c r="G6" s="566"/>
      <c r="H6" s="463"/>
      <c r="I6" s="463"/>
    </row>
    <row r="7" spans="1:10" ht="42.95" customHeight="1" x14ac:dyDescent="0.2">
      <c r="A7" s="566"/>
      <c r="B7" s="566"/>
      <c r="C7" s="566"/>
      <c r="D7" s="566"/>
      <c r="E7" s="566"/>
      <c r="F7" s="566"/>
      <c r="G7" s="566"/>
      <c r="H7" s="463"/>
      <c r="I7" s="463"/>
    </row>
    <row r="8" spans="1:10" x14ac:dyDescent="0.2">
      <c r="A8" s="471" t="s">
        <v>1337</v>
      </c>
      <c r="B8" s="471"/>
      <c r="C8" s="471"/>
      <c r="D8" s="471"/>
      <c r="E8" s="471"/>
      <c r="F8" s="471"/>
      <c r="G8" s="471"/>
      <c r="H8" s="472"/>
      <c r="I8" s="472"/>
    </row>
    <row r="9" spans="1:10" s="239" customFormat="1" x14ac:dyDescent="0.2">
      <c r="A9" s="532" t="s">
        <v>1276</v>
      </c>
      <c r="B9" s="532" t="s">
        <v>1272</v>
      </c>
      <c r="C9" s="532" t="s">
        <v>1271</v>
      </c>
      <c r="D9" s="564" t="s">
        <v>28</v>
      </c>
      <c r="E9" s="565"/>
      <c r="F9" s="540"/>
      <c r="G9" s="564" t="s">
        <v>62</v>
      </c>
      <c r="H9" s="565"/>
      <c r="I9" s="540"/>
    </row>
    <row r="10" spans="1:10" ht="25.35" customHeight="1" x14ac:dyDescent="0.2">
      <c r="A10" s="563"/>
      <c r="B10" s="563"/>
      <c r="C10" s="563"/>
      <c r="D10" s="275" t="s">
        <v>1376</v>
      </c>
      <c r="E10" s="275" t="s">
        <v>1373</v>
      </c>
      <c r="F10" s="280" t="s">
        <v>1372</v>
      </c>
      <c r="G10" s="237" t="s">
        <v>4</v>
      </c>
      <c r="H10" s="237" t="s">
        <v>1373</v>
      </c>
      <c r="I10" s="237" t="s">
        <v>1372</v>
      </c>
    </row>
    <row r="11" spans="1:10" x14ac:dyDescent="0.2">
      <c r="A11" s="274">
        <v>1</v>
      </c>
      <c r="B11" s="274">
        <v>2</v>
      </c>
      <c r="C11" s="274">
        <v>3</v>
      </c>
      <c r="D11" s="195">
        <v>4</v>
      </c>
      <c r="E11" s="195">
        <v>5</v>
      </c>
      <c r="F11" s="195">
        <v>6</v>
      </c>
      <c r="G11" s="276">
        <v>7</v>
      </c>
      <c r="H11" s="276">
        <v>8</v>
      </c>
      <c r="I11" s="274">
        <v>9</v>
      </c>
    </row>
    <row r="12" spans="1:10" x14ac:dyDescent="0.2">
      <c r="A12" s="199" t="s">
        <v>863</v>
      </c>
      <c r="B12" s="212" t="s">
        <v>862</v>
      </c>
      <c r="C12" s="212"/>
      <c r="D12" s="263">
        <v>4860</v>
      </c>
      <c r="E12" s="263">
        <v>4860</v>
      </c>
      <c r="F12" s="263">
        <f>E12-D12</f>
        <v>0</v>
      </c>
      <c r="G12" s="205">
        <v>4860</v>
      </c>
      <c r="H12" s="205">
        <v>4860</v>
      </c>
      <c r="I12" s="263">
        <f>H12-G12</f>
        <v>0</v>
      </c>
    </row>
    <row r="13" spans="1:10" x14ac:dyDescent="0.2">
      <c r="A13" s="199" t="s">
        <v>861</v>
      </c>
      <c r="B13" s="212" t="s">
        <v>860</v>
      </c>
      <c r="C13" s="212"/>
      <c r="D13" s="263">
        <v>4860</v>
      </c>
      <c r="E13" s="263">
        <v>4860</v>
      </c>
      <c r="F13" s="263">
        <f t="shared" ref="F13:F73" si="0">E13-D13</f>
        <v>0</v>
      </c>
      <c r="G13" s="205">
        <v>4860</v>
      </c>
      <c r="H13" s="205">
        <v>4860</v>
      </c>
      <c r="I13" s="263">
        <f t="shared" ref="I13:I73" si="1">H13-G13</f>
        <v>0</v>
      </c>
    </row>
    <row r="14" spans="1:10" x14ac:dyDescent="0.2">
      <c r="A14" s="199" t="s">
        <v>859</v>
      </c>
      <c r="B14" s="212" t="s">
        <v>858</v>
      </c>
      <c r="C14" s="212"/>
      <c r="D14" s="263">
        <v>4860</v>
      </c>
      <c r="E14" s="263">
        <v>4860</v>
      </c>
      <c r="F14" s="263">
        <f t="shared" si="0"/>
        <v>0</v>
      </c>
      <c r="G14" s="205">
        <v>4860</v>
      </c>
      <c r="H14" s="205">
        <v>4860</v>
      </c>
      <c r="I14" s="263">
        <f t="shared" si="1"/>
        <v>0</v>
      </c>
    </row>
    <row r="15" spans="1:10" ht="22.5" x14ac:dyDescent="0.2">
      <c r="A15" s="202" t="s">
        <v>857</v>
      </c>
      <c r="B15" s="209" t="s">
        <v>856</v>
      </c>
      <c r="C15" s="209"/>
      <c r="D15" s="265">
        <v>4860</v>
      </c>
      <c r="E15" s="265">
        <v>4860</v>
      </c>
      <c r="F15" s="265">
        <f t="shared" si="0"/>
        <v>0</v>
      </c>
      <c r="G15" s="226">
        <v>4860</v>
      </c>
      <c r="H15" s="226">
        <v>4860</v>
      </c>
      <c r="I15" s="265">
        <f t="shared" si="1"/>
        <v>0</v>
      </c>
    </row>
    <row r="16" spans="1:10" x14ac:dyDescent="0.2">
      <c r="A16" s="202" t="s">
        <v>553</v>
      </c>
      <c r="B16" s="209" t="s">
        <v>856</v>
      </c>
      <c r="C16" s="209" t="s">
        <v>552</v>
      </c>
      <c r="D16" s="265">
        <v>4860</v>
      </c>
      <c r="E16" s="265">
        <v>4860</v>
      </c>
      <c r="F16" s="265">
        <f t="shared" si="0"/>
        <v>0</v>
      </c>
      <c r="G16" s="226">
        <v>4860</v>
      </c>
      <c r="H16" s="226">
        <v>4860</v>
      </c>
      <c r="I16" s="265">
        <f t="shared" si="1"/>
        <v>0</v>
      </c>
    </row>
    <row r="17" spans="1:9" x14ac:dyDescent="0.2">
      <c r="A17" s="202" t="s">
        <v>659</v>
      </c>
      <c r="B17" s="209" t="s">
        <v>856</v>
      </c>
      <c r="C17" s="209" t="s">
        <v>655</v>
      </c>
      <c r="D17" s="265">
        <v>4860</v>
      </c>
      <c r="E17" s="265">
        <v>4860</v>
      </c>
      <c r="F17" s="265">
        <f t="shared" si="0"/>
        <v>0</v>
      </c>
      <c r="G17" s="226">
        <v>4860</v>
      </c>
      <c r="H17" s="226">
        <v>4860</v>
      </c>
      <c r="I17" s="265">
        <f t="shared" si="1"/>
        <v>0</v>
      </c>
    </row>
    <row r="18" spans="1:9" x14ac:dyDescent="0.2">
      <c r="A18" s="199" t="s">
        <v>653</v>
      </c>
      <c r="B18" s="212" t="s">
        <v>652</v>
      </c>
      <c r="C18" s="212"/>
      <c r="D18" s="263">
        <v>515345.7</v>
      </c>
      <c r="E18" s="263">
        <f>E19+E24+E33+E62+E74</f>
        <v>515345.7</v>
      </c>
      <c r="F18" s="263">
        <f t="shared" si="0"/>
        <v>0</v>
      </c>
      <c r="G18" s="205">
        <v>515119.8</v>
      </c>
      <c r="H18" s="205">
        <f>H19+H24+H33+H62+H74</f>
        <v>515119.8</v>
      </c>
      <c r="I18" s="282">
        <f t="shared" si="1"/>
        <v>0</v>
      </c>
    </row>
    <row r="19" spans="1:9" x14ac:dyDescent="0.2">
      <c r="A19" s="199" t="s">
        <v>651</v>
      </c>
      <c r="B19" s="212" t="s">
        <v>650</v>
      </c>
      <c r="C19" s="212"/>
      <c r="D19" s="263">
        <v>26119.8</v>
      </c>
      <c r="E19" s="263">
        <v>26119.8</v>
      </c>
      <c r="F19" s="263">
        <f t="shared" si="0"/>
        <v>0</v>
      </c>
      <c r="G19" s="205">
        <v>26119.8</v>
      </c>
      <c r="H19" s="205">
        <v>26119.8</v>
      </c>
      <c r="I19" s="263">
        <f t="shared" si="1"/>
        <v>0</v>
      </c>
    </row>
    <row r="20" spans="1:9" x14ac:dyDescent="0.2">
      <c r="A20" s="199" t="s">
        <v>649</v>
      </c>
      <c r="B20" s="212" t="s">
        <v>648</v>
      </c>
      <c r="C20" s="212"/>
      <c r="D20" s="263">
        <v>26119.8</v>
      </c>
      <c r="E20" s="263">
        <v>26119.8</v>
      </c>
      <c r="F20" s="263">
        <f t="shared" si="0"/>
        <v>0</v>
      </c>
      <c r="G20" s="205">
        <v>26119.8</v>
      </c>
      <c r="H20" s="205">
        <v>26119.8</v>
      </c>
      <c r="I20" s="263">
        <f t="shared" si="1"/>
        <v>0</v>
      </c>
    </row>
    <row r="21" spans="1:9" x14ac:dyDescent="0.2">
      <c r="A21" s="202" t="s">
        <v>647</v>
      </c>
      <c r="B21" s="209" t="s">
        <v>646</v>
      </c>
      <c r="C21" s="209"/>
      <c r="D21" s="265">
        <v>26119.8</v>
      </c>
      <c r="E21" s="265">
        <v>26119.8</v>
      </c>
      <c r="F21" s="265">
        <f t="shared" si="0"/>
        <v>0</v>
      </c>
      <c r="G21" s="226">
        <v>26119.8</v>
      </c>
      <c r="H21" s="226">
        <v>26119.8</v>
      </c>
      <c r="I21" s="265">
        <f t="shared" si="1"/>
        <v>0</v>
      </c>
    </row>
    <row r="22" spans="1:9" x14ac:dyDescent="0.2">
      <c r="A22" s="202" t="s">
        <v>547</v>
      </c>
      <c r="B22" s="209" t="s">
        <v>646</v>
      </c>
      <c r="C22" s="209" t="s">
        <v>519</v>
      </c>
      <c r="D22" s="265">
        <v>26119.8</v>
      </c>
      <c r="E22" s="265">
        <v>26119.8</v>
      </c>
      <c r="F22" s="265">
        <f t="shared" si="0"/>
        <v>0</v>
      </c>
      <c r="G22" s="226">
        <v>26119.8</v>
      </c>
      <c r="H22" s="226">
        <v>26119.8</v>
      </c>
      <c r="I22" s="265">
        <f t="shared" si="1"/>
        <v>0</v>
      </c>
    </row>
    <row r="23" spans="1:9" x14ac:dyDescent="0.2">
      <c r="A23" s="202" t="s">
        <v>571</v>
      </c>
      <c r="B23" s="209" t="s">
        <v>646</v>
      </c>
      <c r="C23" s="209" t="s">
        <v>522</v>
      </c>
      <c r="D23" s="265">
        <v>26119.8</v>
      </c>
      <c r="E23" s="265">
        <v>26119.8</v>
      </c>
      <c r="F23" s="265">
        <f t="shared" si="0"/>
        <v>0</v>
      </c>
      <c r="G23" s="226">
        <v>26119.8</v>
      </c>
      <c r="H23" s="226">
        <v>26119.8</v>
      </c>
      <c r="I23" s="265">
        <f t="shared" si="1"/>
        <v>0</v>
      </c>
    </row>
    <row r="24" spans="1:9" x14ac:dyDescent="0.2">
      <c r="A24" s="199" t="s">
        <v>645</v>
      </c>
      <c r="B24" s="212" t="s">
        <v>644</v>
      </c>
      <c r="C24" s="212"/>
      <c r="D24" s="263">
        <v>90054.399999999994</v>
      </c>
      <c r="E24" s="263">
        <f>E25</f>
        <v>90054.399999999994</v>
      </c>
      <c r="F24" s="263">
        <f t="shared" si="0"/>
        <v>0</v>
      </c>
      <c r="G24" s="205">
        <v>90054.399999999994</v>
      </c>
      <c r="H24" s="205">
        <f>H25</f>
        <v>90054.399999999994</v>
      </c>
      <c r="I24" s="263">
        <f t="shared" si="1"/>
        <v>0</v>
      </c>
    </row>
    <row r="25" spans="1:9" ht="22.5" x14ac:dyDescent="0.2">
      <c r="A25" s="199" t="s">
        <v>643</v>
      </c>
      <c r="B25" s="212" t="s">
        <v>642</v>
      </c>
      <c r="C25" s="212"/>
      <c r="D25" s="263">
        <v>90054.399999999994</v>
      </c>
      <c r="E25" s="263">
        <f>E26+E29</f>
        <v>90054.399999999994</v>
      </c>
      <c r="F25" s="263">
        <f t="shared" si="0"/>
        <v>0</v>
      </c>
      <c r="G25" s="205">
        <v>90054.399999999994</v>
      </c>
      <c r="H25" s="205">
        <f>H26+H29</f>
        <v>90054.399999999994</v>
      </c>
      <c r="I25" s="263">
        <f t="shared" si="1"/>
        <v>0</v>
      </c>
    </row>
    <row r="26" spans="1:9" ht="22.5" x14ac:dyDescent="0.2">
      <c r="A26" s="202" t="s">
        <v>881</v>
      </c>
      <c r="B26" s="209" t="s">
        <v>880</v>
      </c>
      <c r="C26" s="209"/>
      <c r="D26" s="265">
        <v>3107.4</v>
      </c>
      <c r="E26" s="265">
        <v>3107.4</v>
      </c>
      <c r="F26" s="265">
        <f t="shared" si="0"/>
        <v>0</v>
      </c>
      <c r="G26" s="226">
        <v>3107.4</v>
      </c>
      <c r="H26" s="226">
        <v>3107.4</v>
      </c>
      <c r="I26" s="265">
        <f t="shared" si="1"/>
        <v>0</v>
      </c>
    </row>
    <row r="27" spans="1:9" x14ac:dyDescent="0.2">
      <c r="A27" s="202" t="s">
        <v>1347</v>
      </c>
      <c r="B27" s="209" t="s">
        <v>880</v>
      </c>
      <c r="C27" s="209" t="s">
        <v>535</v>
      </c>
      <c r="D27" s="265">
        <v>3107.4</v>
      </c>
      <c r="E27" s="265">
        <v>3107.4</v>
      </c>
      <c r="F27" s="265">
        <f t="shared" si="0"/>
        <v>0</v>
      </c>
      <c r="G27" s="226">
        <v>3107.4</v>
      </c>
      <c r="H27" s="226">
        <v>3107.4</v>
      </c>
      <c r="I27" s="265">
        <f t="shared" si="1"/>
        <v>0</v>
      </c>
    </row>
    <row r="28" spans="1:9" x14ac:dyDescent="0.2">
      <c r="A28" s="202" t="s">
        <v>534</v>
      </c>
      <c r="B28" s="209" t="s">
        <v>880</v>
      </c>
      <c r="C28" s="209" t="s">
        <v>529</v>
      </c>
      <c r="D28" s="265">
        <v>3107.4</v>
      </c>
      <c r="E28" s="265">
        <v>3107.4</v>
      </c>
      <c r="F28" s="265">
        <f t="shared" si="0"/>
        <v>0</v>
      </c>
      <c r="G28" s="226">
        <v>3107.4</v>
      </c>
      <c r="H28" s="226">
        <v>3107.4</v>
      </c>
      <c r="I28" s="265">
        <f t="shared" si="1"/>
        <v>0</v>
      </c>
    </row>
    <row r="29" spans="1:9" x14ac:dyDescent="0.2">
      <c r="A29" s="202" t="s">
        <v>641</v>
      </c>
      <c r="B29" s="209" t="s">
        <v>640</v>
      </c>
      <c r="C29" s="209"/>
      <c r="D29" s="265">
        <v>86947</v>
      </c>
      <c r="E29" s="265">
        <f>E30</f>
        <v>86947</v>
      </c>
      <c r="F29" s="265">
        <f t="shared" si="0"/>
        <v>0</v>
      </c>
      <c r="G29" s="226">
        <v>86947</v>
      </c>
      <c r="H29" s="226">
        <f>H30</f>
        <v>86947</v>
      </c>
      <c r="I29" s="265">
        <f t="shared" si="1"/>
        <v>0</v>
      </c>
    </row>
    <row r="30" spans="1:9" x14ac:dyDescent="0.2">
      <c r="A30" s="202" t="s">
        <v>547</v>
      </c>
      <c r="B30" s="209" t="s">
        <v>640</v>
      </c>
      <c r="C30" s="209" t="s">
        <v>519</v>
      </c>
      <c r="D30" s="265">
        <v>86947</v>
      </c>
      <c r="E30" s="265">
        <f>E31+E32</f>
        <v>86947</v>
      </c>
      <c r="F30" s="265">
        <f t="shared" si="0"/>
        <v>0</v>
      </c>
      <c r="G30" s="226">
        <v>86947</v>
      </c>
      <c r="H30" s="226">
        <f>H31+H32</f>
        <v>86947</v>
      </c>
      <c r="I30" s="265">
        <f t="shared" si="1"/>
        <v>0</v>
      </c>
    </row>
    <row r="31" spans="1:9" x14ac:dyDescent="0.2">
      <c r="A31" s="202" t="s">
        <v>571</v>
      </c>
      <c r="B31" s="209" t="s">
        <v>640</v>
      </c>
      <c r="C31" s="209" t="s">
        <v>522</v>
      </c>
      <c r="D31" s="265">
        <v>1174.3999999999996</v>
      </c>
      <c r="E31" s="265">
        <f>'Функциональная 2021-2022'!H956</f>
        <v>1174.3999999999996</v>
      </c>
      <c r="F31" s="281">
        <f t="shared" si="0"/>
        <v>0</v>
      </c>
      <c r="G31" s="226">
        <v>1174.3999999999996</v>
      </c>
      <c r="H31" s="226">
        <f>'Функциональная 2021-2022'!N956</f>
        <v>1174.3999999999996</v>
      </c>
      <c r="I31" s="281">
        <f t="shared" si="1"/>
        <v>0</v>
      </c>
    </row>
    <row r="32" spans="1:9" x14ac:dyDescent="0.2">
      <c r="A32" s="202" t="s">
        <v>546</v>
      </c>
      <c r="B32" s="209" t="s">
        <v>640</v>
      </c>
      <c r="C32" s="209" t="s">
        <v>544</v>
      </c>
      <c r="D32" s="265">
        <v>85772.6</v>
      </c>
      <c r="E32" s="265">
        <f>'Функциональная 2021-2022'!H957</f>
        <v>85772.6</v>
      </c>
      <c r="F32" s="265">
        <f t="shared" si="0"/>
        <v>0</v>
      </c>
      <c r="G32" s="226">
        <v>85772.6</v>
      </c>
      <c r="H32" s="226">
        <f>'Функциональная 2021-2022'!N957</f>
        <v>85772.6</v>
      </c>
      <c r="I32" s="265">
        <f t="shared" si="1"/>
        <v>0</v>
      </c>
    </row>
    <row r="33" spans="1:9" ht="22.5" x14ac:dyDescent="0.2">
      <c r="A33" s="199" t="s">
        <v>639</v>
      </c>
      <c r="B33" s="212" t="s">
        <v>638</v>
      </c>
      <c r="C33" s="212"/>
      <c r="D33" s="263">
        <v>390109.5</v>
      </c>
      <c r="E33" s="263">
        <f>E34+E49+E55</f>
        <v>390109.5</v>
      </c>
      <c r="F33" s="263">
        <f t="shared" si="0"/>
        <v>0</v>
      </c>
      <c r="G33" s="205">
        <v>389869.6</v>
      </c>
      <c r="H33" s="205">
        <f>H34+H49+H55</f>
        <v>389869.6</v>
      </c>
      <c r="I33" s="282">
        <f t="shared" si="1"/>
        <v>0</v>
      </c>
    </row>
    <row r="34" spans="1:9" x14ac:dyDescent="0.2">
      <c r="A34" s="199" t="s">
        <v>637</v>
      </c>
      <c r="B34" s="212" t="s">
        <v>636</v>
      </c>
      <c r="C34" s="212"/>
      <c r="D34" s="263">
        <v>131742.9</v>
      </c>
      <c r="E34" s="263">
        <f>E35+E43+E46</f>
        <v>131742.9</v>
      </c>
      <c r="F34" s="263">
        <f t="shared" si="0"/>
        <v>0</v>
      </c>
      <c r="G34" s="205">
        <v>131503</v>
      </c>
      <c r="H34" s="205">
        <f>H35+H43+H46</f>
        <v>131503</v>
      </c>
      <c r="I34" s="282">
        <f t="shared" si="1"/>
        <v>0</v>
      </c>
    </row>
    <row r="35" spans="1:9" x14ac:dyDescent="0.2">
      <c r="A35" s="202" t="s">
        <v>622</v>
      </c>
      <c r="B35" s="209" t="s">
        <v>635</v>
      </c>
      <c r="C35" s="209"/>
      <c r="D35" s="265">
        <v>15545.6</v>
      </c>
      <c r="E35" s="265">
        <f>E36+E38+E40</f>
        <v>15545.6</v>
      </c>
      <c r="F35" s="265">
        <f t="shared" si="0"/>
        <v>0</v>
      </c>
      <c r="G35" s="226">
        <v>15545.6</v>
      </c>
      <c r="H35" s="226">
        <f>H36+H38+H40</f>
        <v>15545.6</v>
      </c>
      <c r="I35" s="265">
        <f t="shared" si="1"/>
        <v>0</v>
      </c>
    </row>
    <row r="36" spans="1:9" x14ac:dyDescent="0.2">
      <c r="A36" s="202" t="s">
        <v>1347</v>
      </c>
      <c r="B36" s="209" t="s">
        <v>635</v>
      </c>
      <c r="C36" s="209" t="s">
        <v>535</v>
      </c>
      <c r="D36" s="265">
        <v>78.3</v>
      </c>
      <c r="E36" s="265">
        <v>78.3</v>
      </c>
      <c r="F36" s="265">
        <f t="shared" si="0"/>
        <v>0</v>
      </c>
      <c r="G36" s="226">
        <v>78.3</v>
      </c>
      <c r="H36" s="226">
        <v>78.3</v>
      </c>
      <c r="I36" s="265">
        <f t="shared" si="1"/>
        <v>0</v>
      </c>
    </row>
    <row r="37" spans="1:9" x14ac:dyDescent="0.2">
      <c r="A37" s="202" t="s">
        <v>534</v>
      </c>
      <c r="B37" s="209" t="s">
        <v>635</v>
      </c>
      <c r="C37" s="209" t="s">
        <v>529</v>
      </c>
      <c r="D37" s="265">
        <v>78.3</v>
      </c>
      <c r="E37" s="265">
        <v>78.3</v>
      </c>
      <c r="F37" s="265">
        <f t="shared" si="0"/>
        <v>0</v>
      </c>
      <c r="G37" s="226">
        <v>78.3</v>
      </c>
      <c r="H37" s="226">
        <v>78.3</v>
      </c>
      <c r="I37" s="265">
        <f t="shared" si="1"/>
        <v>0</v>
      </c>
    </row>
    <row r="38" spans="1:9" x14ac:dyDescent="0.2">
      <c r="A38" s="202" t="s">
        <v>553</v>
      </c>
      <c r="B38" s="209" t="s">
        <v>635</v>
      </c>
      <c r="C38" s="209" t="s">
        <v>552</v>
      </c>
      <c r="D38" s="265">
        <v>517.29999999999995</v>
      </c>
      <c r="E38" s="265">
        <v>517.29999999999995</v>
      </c>
      <c r="F38" s="265">
        <f t="shared" si="0"/>
        <v>0</v>
      </c>
      <c r="G38" s="226">
        <v>517.29999999999995</v>
      </c>
      <c r="H38" s="226">
        <v>517.29999999999995</v>
      </c>
      <c r="I38" s="265">
        <f t="shared" si="1"/>
        <v>0</v>
      </c>
    </row>
    <row r="39" spans="1:9" x14ac:dyDescent="0.2">
      <c r="A39" s="202" t="s">
        <v>621</v>
      </c>
      <c r="B39" s="209" t="s">
        <v>635</v>
      </c>
      <c r="C39" s="209" t="s">
        <v>619</v>
      </c>
      <c r="D39" s="265">
        <v>517.29999999999995</v>
      </c>
      <c r="E39" s="265">
        <v>517.29999999999995</v>
      </c>
      <c r="F39" s="265">
        <f t="shared" si="0"/>
        <v>0</v>
      </c>
      <c r="G39" s="226">
        <v>517.29999999999995</v>
      </c>
      <c r="H39" s="226">
        <v>517.29999999999995</v>
      </c>
      <c r="I39" s="265">
        <f t="shared" si="1"/>
        <v>0</v>
      </c>
    </row>
    <row r="40" spans="1:9" x14ac:dyDescent="0.2">
      <c r="A40" s="202" t="s">
        <v>547</v>
      </c>
      <c r="B40" s="209" t="s">
        <v>635</v>
      </c>
      <c r="C40" s="209" t="s">
        <v>519</v>
      </c>
      <c r="D40" s="265">
        <v>14950</v>
      </c>
      <c r="E40" s="265">
        <f>E41+E42</f>
        <v>14950</v>
      </c>
      <c r="F40" s="265">
        <f>E40-D40</f>
        <v>0</v>
      </c>
      <c r="G40" s="226">
        <v>14950</v>
      </c>
      <c r="H40" s="226">
        <f>H41+H42</f>
        <v>14950</v>
      </c>
      <c r="I40" s="265">
        <f t="shared" si="1"/>
        <v>0</v>
      </c>
    </row>
    <row r="41" spans="1:9" x14ac:dyDescent="0.2">
      <c r="A41" s="202" t="s">
        <v>571</v>
      </c>
      <c r="B41" s="209" t="s">
        <v>635</v>
      </c>
      <c r="C41" s="209" t="s">
        <v>522</v>
      </c>
      <c r="D41" s="265">
        <v>11600</v>
      </c>
      <c r="E41" s="265">
        <f>'Функциональная 2021-2022'!H962</f>
        <v>11600</v>
      </c>
      <c r="F41" s="265">
        <f t="shared" si="0"/>
        <v>0</v>
      </c>
      <c r="G41" s="226">
        <v>11600</v>
      </c>
      <c r="H41" s="226">
        <f>'Функциональная 2021-2022'!N962</f>
        <v>11600</v>
      </c>
      <c r="I41" s="265">
        <f t="shared" si="1"/>
        <v>0</v>
      </c>
    </row>
    <row r="42" spans="1:9" x14ac:dyDescent="0.2">
      <c r="A42" s="202" t="s">
        <v>546</v>
      </c>
      <c r="B42" s="209" t="s">
        <v>635</v>
      </c>
      <c r="C42" s="209" t="s">
        <v>544</v>
      </c>
      <c r="D42" s="265">
        <v>3350</v>
      </c>
      <c r="E42" s="265">
        <f>'Функциональная 2021-2022'!H963+'Функциональная 2021-2022'!H298</f>
        <v>3350</v>
      </c>
      <c r="F42" s="281">
        <f t="shared" si="0"/>
        <v>0</v>
      </c>
      <c r="G42" s="226">
        <v>3350</v>
      </c>
      <c r="H42" s="226">
        <f>'Функциональная 2021-2022'!N963+'Функциональная 2021-2022'!N298</f>
        <v>3350</v>
      </c>
      <c r="I42" s="281">
        <f t="shared" si="1"/>
        <v>0</v>
      </c>
    </row>
    <row r="43" spans="1:9" ht="22.5" x14ac:dyDescent="0.2">
      <c r="A43" s="202" t="s">
        <v>634</v>
      </c>
      <c r="B43" s="209" t="s">
        <v>633</v>
      </c>
      <c r="C43" s="209"/>
      <c r="D43" s="265">
        <v>109479.5</v>
      </c>
      <c r="E43" s="265">
        <v>109479.5</v>
      </c>
      <c r="F43" s="265">
        <f t="shared" si="0"/>
        <v>0</v>
      </c>
      <c r="G43" s="226">
        <v>109479.5</v>
      </c>
      <c r="H43" s="226">
        <v>109479.5</v>
      </c>
      <c r="I43" s="265">
        <f t="shared" si="1"/>
        <v>0</v>
      </c>
    </row>
    <row r="44" spans="1:9" x14ac:dyDescent="0.2">
      <c r="A44" s="202" t="s">
        <v>547</v>
      </c>
      <c r="B44" s="209" t="s">
        <v>633</v>
      </c>
      <c r="C44" s="209" t="s">
        <v>519</v>
      </c>
      <c r="D44" s="265">
        <v>109479.5</v>
      </c>
      <c r="E44" s="265">
        <v>109479.5</v>
      </c>
      <c r="F44" s="265">
        <f t="shared" si="0"/>
        <v>0</v>
      </c>
      <c r="G44" s="226">
        <v>109479.5</v>
      </c>
      <c r="H44" s="226">
        <v>109479.5</v>
      </c>
      <c r="I44" s="265">
        <f t="shared" si="1"/>
        <v>0</v>
      </c>
    </row>
    <row r="45" spans="1:9" x14ac:dyDescent="0.2">
      <c r="A45" s="202" t="s">
        <v>571</v>
      </c>
      <c r="B45" s="209" t="s">
        <v>633</v>
      </c>
      <c r="C45" s="209" t="s">
        <v>522</v>
      </c>
      <c r="D45" s="265">
        <v>109479.5</v>
      </c>
      <c r="E45" s="265">
        <v>109479.5</v>
      </c>
      <c r="F45" s="265">
        <f t="shared" si="0"/>
        <v>0</v>
      </c>
      <c r="G45" s="226">
        <v>109479.5</v>
      </c>
      <c r="H45" s="226">
        <v>109479.5</v>
      </c>
      <c r="I45" s="265">
        <f t="shared" si="1"/>
        <v>0</v>
      </c>
    </row>
    <row r="46" spans="1:9" ht="22.5" x14ac:dyDescent="0.2">
      <c r="A46" s="202" t="s">
        <v>632</v>
      </c>
      <c r="B46" s="209" t="s">
        <v>631</v>
      </c>
      <c r="C46" s="209"/>
      <c r="D46" s="265">
        <v>6717.8</v>
      </c>
      <c r="E46" s="265">
        <f>E47</f>
        <v>6717.8</v>
      </c>
      <c r="F46" s="281">
        <f t="shared" si="0"/>
        <v>0</v>
      </c>
      <c r="G46" s="226">
        <v>6477.9</v>
      </c>
      <c r="H46" s="226">
        <f>H47</f>
        <v>6477.9</v>
      </c>
      <c r="I46" s="265">
        <f t="shared" si="1"/>
        <v>0</v>
      </c>
    </row>
    <row r="47" spans="1:9" x14ac:dyDescent="0.2">
      <c r="A47" s="202" t="s">
        <v>547</v>
      </c>
      <c r="B47" s="209" t="s">
        <v>631</v>
      </c>
      <c r="C47" s="209" t="s">
        <v>519</v>
      </c>
      <c r="D47" s="265">
        <v>6717.8</v>
      </c>
      <c r="E47" s="265">
        <f>E48</f>
        <v>6717.8</v>
      </c>
      <c r="F47" s="281">
        <f t="shared" si="0"/>
        <v>0</v>
      </c>
      <c r="G47" s="226">
        <v>6477.9</v>
      </c>
      <c r="H47" s="226">
        <f>H48</f>
        <v>6477.9</v>
      </c>
      <c r="I47" s="265">
        <f t="shared" si="1"/>
        <v>0</v>
      </c>
    </row>
    <row r="48" spans="1:9" x14ac:dyDescent="0.2">
      <c r="A48" s="202" t="s">
        <v>571</v>
      </c>
      <c r="B48" s="209" t="s">
        <v>631</v>
      </c>
      <c r="C48" s="209" t="s">
        <v>522</v>
      </c>
      <c r="D48" s="265">
        <v>6717.8</v>
      </c>
      <c r="E48" s="265">
        <f>'Функциональная 2021-2022'!H969</f>
        <v>6717.8</v>
      </c>
      <c r="F48" s="281">
        <f t="shared" si="0"/>
        <v>0</v>
      </c>
      <c r="G48" s="226">
        <v>6477.9</v>
      </c>
      <c r="H48" s="226">
        <f>'Функциональная 2021-2022'!N969</f>
        <v>6477.9</v>
      </c>
      <c r="I48" s="265">
        <f t="shared" si="1"/>
        <v>0</v>
      </c>
    </row>
    <row r="49" spans="1:9" ht="22.5" x14ac:dyDescent="0.2">
      <c r="A49" s="199" t="s">
        <v>630</v>
      </c>
      <c r="B49" s="212" t="s">
        <v>629</v>
      </c>
      <c r="C49" s="212"/>
      <c r="D49" s="263">
        <v>290</v>
      </c>
      <c r="E49" s="263">
        <v>290</v>
      </c>
      <c r="F49" s="263">
        <f t="shared" si="0"/>
        <v>0</v>
      </c>
      <c r="G49" s="205">
        <v>290</v>
      </c>
      <c r="H49" s="205">
        <v>290</v>
      </c>
      <c r="I49" s="263">
        <f t="shared" si="1"/>
        <v>0</v>
      </c>
    </row>
    <row r="50" spans="1:9" x14ac:dyDescent="0.2">
      <c r="A50" s="202" t="s">
        <v>628</v>
      </c>
      <c r="B50" s="209" t="s">
        <v>627</v>
      </c>
      <c r="C50" s="209"/>
      <c r="D50" s="265">
        <v>290</v>
      </c>
      <c r="E50" s="265">
        <v>290</v>
      </c>
      <c r="F50" s="265">
        <f t="shared" si="0"/>
        <v>0</v>
      </c>
      <c r="G50" s="226">
        <v>290</v>
      </c>
      <c r="H50" s="226">
        <v>290</v>
      </c>
      <c r="I50" s="265">
        <f t="shared" si="1"/>
        <v>0</v>
      </c>
    </row>
    <row r="51" spans="1:9" x14ac:dyDescent="0.2">
      <c r="A51" s="202" t="s">
        <v>1347</v>
      </c>
      <c r="B51" s="209" t="s">
        <v>627</v>
      </c>
      <c r="C51" s="209" t="s">
        <v>535</v>
      </c>
      <c r="D51" s="265">
        <v>25</v>
      </c>
      <c r="E51" s="265">
        <v>25</v>
      </c>
      <c r="F51" s="265">
        <f t="shared" si="0"/>
        <v>0</v>
      </c>
      <c r="G51" s="226">
        <v>25</v>
      </c>
      <c r="H51" s="226">
        <v>25</v>
      </c>
      <c r="I51" s="265">
        <f t="shared" si="1"/>
        <v>0</v>
      </c>
    </row>
    <row r="52" spans="1:9" x14ac:dyDescent="0.2">
      <c r="A52" s="202" t="s">
        <v>534</v>
      </c>
      <c r="B52" s="209" t="s">
        <v>627</v>
      </c>
      <c r="C52" s="209" t="s">
        <v>529</v>
      </c>
      <c r="D52" s="265">
        <v>25</v>
      </c>
      <c r="E52" s="265">
        <v>25</v>
      </c>
      <c r="F52" s="265">
        <f t="shared" si="0"/>
        <v>0</v>
      </c>
      <c r="G52" s="226">
        <v>25</v>
      </c>
      <c r="H52" s="226">
        <v>25</v>
      </c>
      <c r="I52" s="265">
        <f t="shared" si="1"/>
        <v>0</v>
      </c>
    </row>
    <row r="53" spans="1:9" x14ac:dyDescent="0.2">
      <c r="A53" s="202" t="s">
        <v>553</v>
      </c>
      <c r="B53" s="209" t="s">
        <v>627</v>
      </c>
      <c r="C53" s="209" t="s">
        <v>552</v>
      </c>
      <c r="D53" s="265">
        <v>265</v>
      </c>
      <c r="E53" s="265">
        <v>265</v>
      </c>
      <c r="F53" s="265">
        <f t="shared" si="0"/>
        <v>0</v>
      </c>
      <c r="G53" s="226">
        <v>265</v>
      </c>
      <c r="H53" s="226">
        <v>265</v>
      </c>
      <c r="I53" s="265">
        <f t="shared" si="1"/>
        <v>0</v>
      </c>
    </row>
    <row r="54" spans="1:9" x14ac:dyDescent="0.2">
      <c r="A54" s="202" t="s">
        <v>621</v>
      </c>
      <c r="B54" s="209" t="s">
        <v>627</v>
      </c>
      <c r="C54" s="209" t="s">
        <v>619</v>
      </c>
      <c r="D54" s="265">
        <v>265</v>
      </c>
      <c r="E54" s="265">
        <v>265</v>
      </c>
      <c r="F54" s="265">
        <f t="shared" si="0"/>
        <v>0</v>
      </c>
      <c r="G54" s="226">
        <v>265</v>
      </c>
      <c r="H54" s="226">
        <v>265</v>
      </c>
      <c r="I54" s="265">
        <f t="shared" si="1"/>
        <v>0</v>
      </c>
    </row>
    <row r="55" spans="1:9" x14ac:dyDescent="0.2">
      <c r="A55" s="199" t="s">
        <v>1357</v>
      </c>
      <c r="B55" s="212" t="s">
        <v>1358</v>
      </c>
      <c r="C55" s="212"/>
      <c r="D55" s="263">
        <v>258076.6</v>
      </c>
      <c r="E55" s="263">
        <v>258076.6</v>
      </c>
      <c r="F55" s="263">
        <f t="shared" si="0"/>
        <v>0</v>
      </c>
      <c r="G55" s="205">
        <v>258076.6</v>
      </c>
      <c r="H55" s="205">
        <v>258076.6</v>
      </c>
      <c r="I55" s="263">
        <f t="shared" si="1"/>
        <v>0</v>
      </c>
    </row>
    <row r="56" spans="1:9" ht="22.5" x14ac:dyDescent="0.2">
      <c r="A56" s="202" t="s">
        <v>625</v>
      </c>
      <c r="B56" s="209" t="s">
        <v>1359</v>
      </c>
      <c r="C56" s="209"/>
      <c r="D56" s="265">
        <v>258076.6</v>
      </c>
      <c r="E56" s="265">
        <v>258076.6</v>
      </c>
      <c r="F56" s="265">
        <f t="shared" si="0"/>
        <v>0</v>
      </c>
      <c r="G56" s="226">
        <v>258076.6</v>
      </c>
      <c r="H56" s="226">
        <v>258076.6</v>
      </c>
      <c r="I56" s="265">
        <f t="shared" si="1"/>
        <v>0</v>
      </c>
    </row>
    <row r="57" spans="1:9" x14ac:dyDescent="0.2">
      <c r="A57" s="202" t="s">
        <v>1347</v>
      </c>
      <c r="B57" s="209" t="s">
        <v>1359</v>
      </c>
      <c r="C57" s="209" t="s">
        <v>535</v>
      </c>
      <c r="D57" s="265">
        <v>3542.6</v>
      </c>
      <c r="E57" s="265">
        <v>3542.6</v>
      </c>
      <c r="F57" s="265">
        <f t="shared" si="0"/>
        <v>0</v>
      </c>
      <c r="G57" s="226">
        <v>3542.6</v>
      </c>
      <c r="H57" s="226">
        <v>3542.6</v>
      </c>
      <c r="I57" s="265">
        <f t="shared" si="1"/>
        <v>0</v>
      </c>
    </row>
    <row r="58" spans="1:9" x14ac:dyDescent="0.2">
      <c r="A58" s="202" t="s">
        <v>534</v>
      </c>
      <c r="B58" s="209" t="s">
        <v>1359</v>
      </c>
      <c r="C58" s="209" t="s">
        <v>529</v>
      </c>
      <c r="D58" s="265">
        <v>3542.6</v>
      </c>
      <c r="E58" s="265">
        <v>3542.6</v>
      </c>
      <c r="F58" s="265">
        <f t="shared" si="0"/>
        <v>0</v>
      </c>
      <c r="G58" s="226">
        <v>3542.6</v>
      </c>
      <c r="H58" s="226">
        <v>3542.6</v>
      </c>
      <c r="I58" s="265">
        <f t="shared" si="1"/>
        <v>0</v>
      </c>
    </row>
    <row r="59" spans="1:9" x14ac:dyDescent="0.2">
      <c r="A59" s="202" t="s">
        <v>547</v>
      </c>
      <c r="B59" s="209" t="s">
        <v>1359</v>
      </c>
      <c r="C59" s="209" t="s">
        <v>519</v>
      </c>
      <c r="D59" s="265">
        <v>254534</v>
      </c>
      <c r="E59" s="265">
        <v>254534</v>
      </c>
      <c r="F59" s="265">
        <f t="shared" si="0"/>
        <v>0</v>
      </c>
      <c r="G59" s="226">
        <v>254534</v>
      </c>
      <c r="H59" s="226">
        <v>254534</v>
      </c>
      <c r="I59" s="265">
        <f t="shared" si="1"/>
        <v>0</v>
      </c>
    </row>
    <row r="60" spans="1:9" x14ac:dyDescent="0.2">
      <c r="A60" s="202" t="s">
        <v>571</v>
      </c>
      <c r="B60" s="209" t="s">
        <v>1359</v>
      </c>
      <c r="C60" s="209" t="s">
        <v>522</v>
      </c>
      <c r="D60" s="265">
        <v>178063</v>
      </c>
      <c r="E60" s="265">
        <v>178063</v>
      </c>
      <c r="F60" s="265">
        <f t="shared" si="0"/>
        <v>0</v>
      </c>
      <c r="G60" s="226">
        <v>178063</v>
      </c>
      <c r="H60" s="226">
        <v>178063</v>
      </c>
      <c r="I60" s="265">
        <f t="shared" si="1"/>
        <v>0</v>
      </c>
    </row>
    <row r="61" spans="1:9" x14ac:dyDescent="0.2">
      <c r="A61" s="202" t="s">
        <v>546</v>
      </c>
      <c r="B61" s="209" t="s">
        <v>1359</v>
      </c>
      <c r="C61" s="209" t="s">
        <v>544</v>
      </c>
      <c r="D61" s="265">
        <v>76471</v>
      </c>
      <c r="E61" s="265">
        <v>76471</v>
      </c>
      <c r="F61" s="265">
        <f t="shared" si="0"/>
        <v>0</v>
      </c>
      <c r="G61" s="226">
        <v>76471</v>
      </c>
      <c r="H61" s="226">
        <v>76471</v>
      </c>
      <c r="I61" s="265">
        <f t="shared" si="1"/>
        <v>0</v>
      </c>
    </row>
    <row r="62" spans="1:9" x14ac:dyDescent="0.2">
      <c r="A62" s="199" t="s">
        <v>1267</v>
      </c>
      <c r="B62" s="212" t="s">
        <v>1266</v>
      </c>
      <c r="C62" s="212"/>
      <c r="D62" s="263">
        <v>4752</v>
      </c>
      <c r="E62" s="263">
        <v>4752</v>
      </c>
      <c r="F62" s="263">
        <f t="shared" si="0"/>
        <v>0</v>
      </c>
      <c r="G62" s="205">
        <v>4766</v>
      </c>
      <c r="H62" s="205">
        <v>4766</v>
      </c>
      <c r="I62" s="263">
        <f t="shared" si="1"/>
        <v>0</v>
      </c>
    </row>
    <row r="63" spans="1:9" ht="22.5" x14ac:dyDescent="0.2">
      <c r="A63" s="199" t="s">
        <v>1265</v>
      </c>
      <c r="B63" s="212" t="s">
        <v>1264</v>
      </c>
      <c r="C63" s="212"/>
      <c r="D63" s="263">
        <v>400</v>
      </c>
      <c r="E63" s="263">
        <v>400</v>
      </c>
      <c r="F63" s="263">
        <f t="shared" si="0"/>
        <v>0</v>
      </c>
      <c r="G63" s="205">
        <v>400</v>
      </c>
      <c r="H63" s="205">
        <v>400</v>
      </c>
      <c r="I63" s="263">
        <f t="shared" si="1"/>
        <v>0</v>
      </c>
    </row>
    <row r="64" spans="1:9" x14ac:dyDescent="0.2">
      <c r="A64" s="202" t="s">
        <v>1263</v>
      </c>
      <c r="B64" s="209" t="s">
        <v>1262</v>
      </c>
      <c r="C64" s="209"/>
      <c r="D64" s="265">
        <v>400</v>
      </c>
      <c r="E64" s="265">
        <v>400</v>
      </c>
      <c r="F64" s="265">
        <f t="shared" si="0"/>
        <v>0</v>
      </c>
      <c r="G64" s="226">
        <v>400</v>
      </c>
      <c r="H64" s="226">
        <v>400</v>
      </c>
      <c r="I64" s="265">
        <f t="shared" si="1"/>
        <v>0</v>
      </c>
    </row>
    <row r="65" spans="1:9" x14ac:dyDescent="0.2">
      <c r="A65" s="202" t="s">
        <v>1347</v>
      </c>
      <c r="B65" s="209" t="s">
        <v>1262</v>
      </c>
      <c r="C65" s="209" t="s">
        <v>535</v>
      </c>
      <c r="D65" s="265">
        <v>400</v>
      </c>
      <c r="E65" s="265">
        <v>400</v>
      </c>
      <c r="F65" s="265">
        <f t="shared" si="0"/>
        <v>0</v>
      </c>
      <c r="G65" s="226">
        <v>400</v>
      </c>
      <c r="H65" s="226">
        <v>400</v>
      </c>
      <c r="I65" s="265">
        <f t="shared" si="1"/>
        <v>0</v>
      </c>
    </row>
    <row r="66" spans="1:9" x14ac:dyDescent="0.2">
      <c r="A66" s="202" t="s">
        <v>534</v>
      </c>
      <c r="B66" s="209" t="s">
        <v>1262</v>
      </c>
      <c r="C66" s="209" t="s">
        <v>529</v>
      </c>
      <c r="D66" s="265">
        <v>400</v>
      </c>
      <c r="E66" s="265">
        <v>400</v>
      </c>
      <c r="F66" s="265">
        <f t="shared" si="0"/>
        <v>0</v>
      </c>
      <c r="G66" s="226">
        <v>400</v>
      </c>
      <c r="H66" s="226">
        <v>400</v>
      </c>
      <c r="I66" s="265">
        <f t="shared" si="1"/>
        <v>0</v>
      </c>
    </row>
    <row r="67" spans="1:9" ht="33.75" x14ac:dyDescent="0.2">
      <c r="A67" s="199" t="s">
        <v>1261</v>
      </c>
      <c r="B67" s="212" t="s">
        <v>1260</v>
      </c>
      <c r="C67" s="212"/>
      <c r="D67" s="263">
        <v>4352</v>
      </c>
      <c r="E67" s="263">
        <v>4352</v>
      </c>
      <c r="F67" s="263">
        <f t="shared" si="0"/>
        <v>0</v>
      </c>
      <c r="G67" s="205">
        <v>4366</v>
      </c>
      <c r="H67" s="205">
        <v>4366</v>
      </c>
      <c r="I67" s="263">
        <f t="shared" si="1"/>
        <v>0</v>
      </c>
    </row>
    <row r="68" spans="1:9" ht="33.75" x14ac:dyDescent="0.2">
      <c r="A68" s="202" t="s">
        <v>1259</v>
      </c>
      <c r="B68" s="209" t="s">
        <v>1258</v>
      </c>
      <c r="C68" s="209"/>
      <c r="D68" s="265">
        <v>4277</v>
      </c>
      <c r="E68" s="265">
        <v>4277</v>
      </c>
      <c r="F68" s="265">
        <f t="shared" si="0"/>
        <v>0</v>
      </c>
      <c r="G68" s="226">
        <v>4291</v>
      </c>
      <c r="H68" s="226">
        <v>4291</v>
      </c>
      <c r="I68" s="265">
        <f t="shared" si="1"/>
        <v>0</v>
      </c>
    </row>
    <row r="69" spans="1:9" ht="22.5" x14ac:dyDescent="0.2">
      <c r="A69" s="202" t="s">
        <v>1348</v>
      </c>
      <c r="B69" s="209" t="s">
        <v>1258</v>
      </c>
      <c r="C69" s="209" t="s">
        <v>556</v>
      </c>
      <c r="D69" s="265">
        <v>4277</v>
      </c>
      <c r="E69" s="265">
        <v>4277</v>
      </c>
      <c r="F69" s="265">
        <f t="shared" si="0"/>
        <v>0</v>
      </c>
      <c r="G69" s="226">
        <v>4291</v>
      </c>
      <c r="H69" s="226">
        <v>4291</v>
      </c>
      <c r="I69" s="265">
        <f t="shared" si="1"/>
        <v>0</v>
      </c>
    </row>
    <row r="70" spans="1:9" x14ac:dyDescent="0.2">
      <c r="A70" s="202" t="s">
        <v>749</v>
      </c>
      <c r="B70" s="209" t="s">
        <v>1258</v>
      </c>
      <c r="C70" s="209" t="s">
        <v>745</v>
      </c>
      <c r="D70" s="265">
        <v>4277</v>
      </c>
      <c r="E70" s="265">
        <v>4277</v>
      </c>
      <c r="F70" s="265">
        <f t="shared" si="0"/>
        <v>0</v>
      </c>
      <c r="G70" s="226">
        <v>4291</v>
      </c>
      <c r="H70" s="226">
        <v>4291</v>
      </c>
      <c r="I70" s="265">
        <f t="shared" si="1"/>
        <v>0</v>
      </c>
    </row>
    <row r="71" spans="1:9" ht="33.75" x14ac:dyDescent="0.2">
      <c r="A71" s="202" t="s">
        <v>1257</v>
      </c>
      <c r="B71" s="209" t="s">
        <v>1256</v>
      </c>
      <c r="C71" s="209"/>
      <c r="D71" s="265">
        <v>75</v>
      </c>
      <c r="E71" s="265">
        <v>75</v>
      </c>
      <c r="F71" s="265">
        <f t="shared" si="0"/>
        <v>0</v>
      </c>
      <c r="G71" s="226">
        <v>75</v>
      </c>
      <c r="H71" s="226">
        <v>75</v>
      </c>
      <c r="I71" s="265">
        <f t="shared" si="1"/>
        <v>0</v>
      </c>
    </row>
    <row r="72" spans="1:9" x14ac:dyDescent="0.2">
      <c r="A72" s="202" t="s">
        <v>1347</v>
      </c>
      <c r="B72" s="209" t="s">
        <v>1256</v>
      </c>
      <c r="C72" s="209" t="s">
        <v>535</v>
      </c>
      <c r="D72" s="265">
        <v>75</v>
      </c>
      <c r="E72" s="265">
        <v>75</v>
      </c>
      <c r="F72" s="265">
        <f t="shared" si="0"/>
        <v>0</v>
      </c>
      <c r="G72" s="226">
        <v>75</v>
      </c>
      <c r="H72" s="226">
        <v>75</v>
      </c>
      <c r="I72" s="265">
        <f t="shared" si="1"/>
        <v>0</v>
      </c>
    </row>
    <row r="73" spans="1:9" x14ac:dyDescent="0.2">
      <c r="A73" s="202" t="s">
        <v>534</v>
      </c>
      <c r="B73" s="209" t="s">
        <v>1256</v>
      </c>
      <c r="C73" s="209" t="s">
        <v>529</v>
      </c>
      <c r="D73" s="265">
        <v>75</v>
      </c>
      <c r="E73" s="265">
        <v>75</v>
      </c>
      <c r="F73" s="265">
        <f t="shared" si="0"/>
        <v>0</v>
      </c>
      <c r="G73" s="226">
        <v>75</v>
      </c>
      <c r="H73" s="226">
        <v>75</v>
      </c>
      <c r="I73" s="265">
        <f t="shared" si="1"/>
        <v>0</v>
      </c>
    </row>
    <row r="74" spans="1:9" x14ac:dyDescent="0.2">
      <c r="A74" s="199" t="s">
        <v>602</v>
      </c>
      <c r="B74" s="212" t="s">
        <v>624</v>
      </c>
      <c r="C74" s="212"/>
      <c r="D74" s="263">
        <v>4310</v>
      </c>
      <c r="E74" s="263">
        <f>E75</f>
        <v>4310</v>
      </c>
      <c r="F74" s="282">
        <f t="shared" ref="F74:F148" si="2">E74-D74</f>
        <v>0</v>
      </c>
      <c r="G74" s="205">
        <v>4310</v>
      </c>
      <c r="H74" s="205">
        <f>H75</f>
        <v>4310</v>
      </c>
      <c r="I74" s="282">
        <f t="shared" ref="I74:I148" si="3">H74-G74</f>
        <v>0</v>
      </c>
    </row>
    <row r="75" spans="1:9" ht="22.5" x14ac:dyDescent="0.2">
      <c r="A75" s="199" t="s">
        <v>600</v>
      </c>
      <c r="B75" s="212" t="s">
        <v>623</v>
      </c>
      <c r="C75" s="212"/>
      <c r="D75" s="263">
        <v>4310</v>
      </c>
      <c r="E75" s="263">
        <f>E76</f>
        <v>4310</v>
      </c>
      <c r="F75" s="282">
        <f t="shared" si="2"/>
        <v>0</v>
      </c>
      <c r="G75" s="205">
        <v>4310</v>
      </c>
      <c r="H75" s="205">
        <f>H76</f>
        <v>4310</v>
      </c>
      <c r="I75" s="282">
        <f t="shared" si="3"/>
        <v>0</v>
      </c>
    </row>
    <row r="76" spans="1:9" x14ac:dyDescent="0.2">
      <c r="A76" s="202" t="s">
        <v>622</v>
      </c>
      <c r="B76" s="209" t="s">
        <v>620</v>
      </c>
      <c r="C76" s="209"/>
      <c r="D76" s="265">
        <v>4310</v>
      </c>
      <c r="E76" s="265">
        <f>E77+E79</f>
        <v>4310</v>
      </c>
      <c r="F76" s="281">
        <f t="shared" si="2"/>
        <v>0</v>
      </c>
      <c r="G76" s="226">
        <v>4310</v>
      </c>
      <c r="H76" s="226">
        <f>H77+H79</f>
        <v>4310</v>
      </c>
      <c r="I76" s="281">
        <f t="shared" si="3"/>
        <v>0</v>
      </c>
    </row>
    <row r="77" spans="1:9" x14ac:dyDescent="0.2">
      <c r="A77" s="202" t="s">
        <v>1347</v>
      </c>
      <c r="B77" s="209" t="s">
        <v>620</v>
      </c>
      <c r="C77" s="209" t="s">
        <v>535</v>
      </c>
      <c r="D77" s="265">
        <v>1950</v>
      </c>
      <c r="E77" s="265">
        <f>E78</f>
        <v>1950</v>
      </c>
      <c r="F77" s="281">
        <f t="shared" si="2"/>
        <v>0</v>
      </c>
      <c r="G77" s="226">
        <v>1950</v>
      </c>
      <c r="H77" s="226">
        <f>H78</f>
        <v>1950</v>
      </c>
      <c r="I77" s="281">
        <f t="shared" si="3"/>
        <v>0</v>
      </c>
    </row>
    <row r="78" spans="1:9" x14ac:dyDescent="0.2">
      <c r="A78" s="202" t="s">
        <v>534</v>
      </c>
      <c r="B78" s="209" t="s">
        <v>620</v>
      </c>
      <c r="C78" s="209" t="s">
        <v>529</v>
      </c>
      <c r="D78" s="265">
        <v>1950</v>
      </c>
      <c r="E78" s="265">
        <f>'Функциональная 2021-2022'!H987</f>
        <v>1950</v>
      </c>
      <c r="F78" s="281">
        <f t="shared" si="2"/>
        <v>0</v>
      </c>
      <c r="G78" s="226">
        <v>1950</v>
      </c>
      <c r="H78" s="226">
        <f>'Функциональная 2021-2022'!N987</f>
        <v>1950</v>
      </c>
      <c r="I78" s="281">
        <f t="shared" si="3"/>
        <v>0</v>
      </c>
    </row>
    <row r="79" spans="1:9" x14ac:dyDescent="0.2">
      <c r="A79" s="202" t="s">
        <v>553</v>
      </c>
      <c r="B79" s="209" t="s">
        <v>620</v>
      </c>
      <c r="C79" s="209" t="s">
        <v>552</v>
      </c>
      <c r="D79" s="265">
        <v>2360</v>
      </c>
      <c r="E79" s="265">
        <v>2360</v>
      </c>
      <c r="F79" s="265">
        <f t="shared" si="2"/>
        <v>0</v>
      </c>
      <c r="G79" s="226">
        <v>2360</v>
      </c>
      <c r="H79" s="226">
        <v>2360</v>
      </c>
      <c r="I79" s="265">
        <f t="shared" si="3"/>
        <v>0</v>
      </c>
    </row>
    <row r="80" spans="1:9" x14ac:dyDescent="0.2">
      <c r="A80" s="202" t="s">
        <v>621</v>
      </c>
      <c r="B80" s="209" t="s">
        <v>620</v>
      </c>
      <c r="C80" s="209" t="s">
        <v>619</v>
      </c>
      <c r="D80" s="265">
        <v>2360</v>
      </c>
      <c r="E80" s="265">
        <v>2360</v>
      </c>
      <c r="F80" s="265">
        <f t="shared" si="2"/>
        <v>0</v>
      </c>
      <c r="G80" s="226">
        <v>2360</v>
      </c>
      <c r="H80" s="226">
        <v>2360</v>
      </c>
      <c r="I80" s="265">
        <f t="shared" si="3"/>
        <v>0</v>
      </c>
    </row>
    <row r="81" spans="1:9" x14ac:dyDescent="0.2">
      <c r="A81" s="199" t="s">
        <v>666</v>
      </c>
      <c r="B81" s="212" t="s">
        <v>665</v>
      </c>
      <c r="C81" s="212"/>
      <c r="D81" s="263">
        <v>5733048.7999999998</v>
      </c>
      <c r="E81" s="263">
        <f>E82+E106+E165+E185</f>
        <v>5898044.7999999998</v>
      </c>
      <c r="F81" s="282">
        <f t="shared" si="2"/>
        <v>164996</v>
      </c>
      <c r="G81" s="205">
        <v>5627974.9999999991</v>
      </c>
      <c r="H81" s="205">
        <f>H82+H106+H165+H185</f>
        <v>5792970.9999999991</v>
      </c>
      <c r="I81" s="282">
        <f t="shared" si="3"/>
        <v>164996</v>
      </c>
    </row>
    <row r="82" spans="1:9" x14ac:dyDescent="0.2">
      <c r="A82" s="199" t="s">
        <v>664</v>
      </c>
      <c r="B82" s="212" t="s">
        <v>663</v>
      </c>
      <c r="C82" s="212"/>
      <c r="D82" s="263">
        <v>2114457.4</v>
      </c>
      <c r="E82" s="263">
        <v>2114457.4</v>
      </c>
      <c r="F82" s="263">
        <f t="shared" si="2"/>
        <v>0</v>
      </c>
      <c r="G82" s="205">
        <v>2112586.1</v>
      </c>
      <c r="H82" s="205">
        <f>H83</f>
        <v>2112586.1</v>
      </c>
      <c r="I82" s="282">
        <f t="shared" si="3"/>
        <v>0</v>
      </c>
    </row>
    <row r="83" spans="1:9" ht="22.5" x14ac:dyDescent="0.2">
      <c r="A83" s="199" t="s">
        <v>662</v>
      </c>
      <c r="B83" s="212" t="s">
        <v>661</v>
      </c>
      <c r="C83" s="212"/>
      <c r="D83" s="263">
        <v>2114457.4</v>
      </c>
      <c r="E83" s="263">
        <f>E84+E88+E92+E95+E102</f>
        <v>2114457.4</v>
      </c>
      <c r="F83" s="263">
        <f t="shared" si="2"/>
        <v>0</v>
      </c>
      <c r="G83" s="205">
        <v>2112586.1</v>
      </c>
      <c r="H83" s="205">
        <f>H84+H88+H92+H95+H102</f>
        <v>2112586.1</v>
      </c>
      <c r="I83" s="282">
        <f t="shared" si="3"/>
        <v>0</v>
      </c>
    </row>
    <row r="84" spans="1:9" ht="22.5" x14ac:dyDescent="0.2">
      <c r="A84" s="202" t="s">
        <v>727</v>
      </c>
      <c r="B84" s="209" t="s">
        <v>726</v>
      </c>
      <c r="C84" s="209"/>
      <c r="D84" s="265">
        <v>425821.8</v>
      </c>
      <c r="E84" s="265">
        <v>425821.8</v>
      </c>
      <c r="F84" s="265">
        <f t="shared" si="2"/>
        <v>0</v>
      </c>
      <c r="G84" s="226">
        <v>423950.50000000006</v>
      </c>
      <c r="H84" s="226">
        <f>H85</f>
        <v>423950.50000000006</v>
      </c>
      <c r="I84" s="281">
        <f t="shared" si="3"/>
        <v>0</v>
      </c>
    </row>
    <row r="85" spans="1:9" x14ac:dyDescent="0.2">
      <c r="A85" s="202" t="s">
        <v>547</v>
      </c>
      <c r="B85" s="209" t="s">
        <v>726</v>
      </c>
      <c r="C85" s="209" t="s">
        <v>519</v>
      </c>
      <c r="D85" s="265">
        <v>425821.8</v>
      </c>
      <c r="E85" s="265">
        <v>425821.8</v>
      </c>
      <c r="F85" s="265">
        <f t="shared" si="2"/>
        <v>0</v>
      </c>
      <c r="G85" s="226">
        <v>423950.50000000006</v>
      </c>
      <c r="H85" s="226">
        <f>H86+H87</f>
        <v>423950.50000000006</v>
      </c>
      <c r="I85" s="281">
        <f t="shared" si="3"/>
        <v>0</v>
      </c>
    </row>
    <row r="86" spans="1:9" x14ac:dyDescent="0.2">
      <c r="A86" s="202" t="s">
        <v>571</v>
      </c>
      <c r="B86" s="209" t="s">
        <v>726</v>
      </c>
      <c r="C86" s="209" t="s">
        <v>522</v>
      </c>
      <c r="D86" s="265">
        <v>370180.9</v>
      </c>
      <c r="E86" s="265">
        <v>370180.9</v>
      </c>
      <c r="F86" s="265">
        <f t="shared" si="2"/>
        <v>0</v>
      </c>
      <c r="G86" s="226">
        <v>368309.60000000003</v>
      </c>
      <c r="H86" s="226">
        <f>'Функциональная 2021-2022'!N754</f>
        <v>368309.60000000003</v>
      </c>
      <c r="I86" s="281">
        <f t="shared" si="3"/>
        <v>0</v>
      </c>
    </row>
    <row r="87" spans="1:9" x14ac:dyDescent="0.2">
      <c r="A87" s="202" t="s">
        <v>546</v>
      </c>
      <c r="B87" s="209" t="s">
        <v>726</v>
      </c>
      <c r="C87" s="209" t="s">
        <v>544</v>
      </c>
      <c r="D87" s="265">
        <v>55640.9</v>
      </c>
      <c r="E87" s="265">
        <v>55640.9</v>
      </c>
      <c r="F87" s="265">
        <f t="shared" si="2"/>
        <v>0</v>
      </c>
      <c r="G87" s="226">
        <v>55640.9</v>
      </c>
      <c r="H87" s="226">
        <v>55640.9</v>
      </c>
      <c r="I87" s="265">
        <f t="shared" si="3"/>
        <v>0</v>
      </c>
    </row>
    <row r="88" spans="1:9" ht="45" x14ac:dyDescent="0.2">
      <c r="A88" s="202" t="s">
        <v>725</v>
      </c>
      <c r="B88" s="209" t="s">
        <v>724</v>
      </c>
      <c r="C88" s="209"/>
      <c r="D88" s="265">
        <v>1501775</v>
      </c>
      <c r="E88" s="265">
        <f>E89</f>
        <v>1501775</v>
      </c>
      <c r="F88" s="265">
        <f t="shared" si="2"/>
        <v>0</v>
      </c>
      <c r="G88" s="226">
        <v>1501775</v>
      </c>
      <c r="H88" s="226">
        <f>H89</f>
        <v>1501775</v>
      </c>
      <c r="I88" s="265">
        <f t="shared" si="3"/>
        <v>0</v>
      </c>
    </row>
    <row r="89" spans="1:9" x14ac:dyDescent="0.2">
      <c r="A89" s="202" t="s">
        <v>547</v>
      </c>
      <c r="B89" s="209" t="s">
        <v>724</v>
      </c>
      <c r="C89" s="209" t="s">
        <v>519</v>
      </c>
      <c r="D89" s="265">
        <v>1501775</v>
      </c>
      <c r="E89" s="265">
        <f>E90+E91</f>
        <v>1501775</v>
      </c>
      <c r="F89" s="265">
        <f t="shared" si="2"/>
        <v>0</v>
      </c>
      <c r="G89" s="226">
        <v>1501775</v>
      </c>
      <c r="H89" s="226">
        <f>H90+H91</f>
        <v>1501775</v>
      </c>
      <c r="I89" s="265">
        <f t="shared" si="3"/>
        <v>0</v>
      </c>
    </row>
    <row r="90" spans="1:9" x14ac:dyDescent="0.2">
      <c r="A90" s="202" t="s">
        <v>571</v>
      </c>
      <c r="B90" s="209" t="s">
        <v>724</v>
      </c>
      <c r="C90" s="209" t="s">
        <v>522</v>
      </c>
      <c r="D90" s="265">
        <v>1314562</v>
      </c>
      <c r="E90" s="265">
        <f>'Функциональная 2021-2022'!H758</f>
        <v>1314562</v>
      </c>
      <c r="F90" s="265">
        <f t="shared" si="2"/>
        <v>0</v>
      </c>
      <c r="G90" s="226">
        <v>1314562</v>
      </c>
      <c r="H90" s="226">
        <f>'Функциональная 2021-2022'!N758</f>
        <v>1314562</v>
      </c>
      <c r="I90" s="265">
        <f t="shared" si="3"/>
        <v>0</v>
      </c>
    </row>
    <row r="91" spans="1:9" x14ac:dyDescent="0.2">
      <c r="A91" s="202" t="s">
        <v>546</v>
      </c>
      <c r="B91" s="209" t="s">
        <v>724</v>
      </c>
      <c r="C91" s="209" t="s">
        <v>544</v>
      </c>
      <c r="D91" s="265">
        <v>187213</v>
      </c>
      <c r="E91" s="265">
        <f>'Функциональная 2021-2022'!H759</f>
        <v>187213</v>
      </c>
      <c r="F91" s="281">
        <f t="shared" si="2"/>
        <v>0</v>
      </c>
      <c r="G91" s="226">
        <v>187213</v>
      </c>
      <c r="H91" s="226">
        <f>'Функциональная 2021-2022'!N759</f>
        <v>187213</v>
      </c>
      <c r="I91" s="281">
        <f t="shared" si="3"/>
        <v>0</v>
      </c>
    </row>
    <row r="92" spans="1:9" ht="45" x14ac:dyDescent="0.2">
      <c r="A92" s="202" t="s">
        <v>723</v>
      </c>
      <c r="B92" s="209" t="s">
        <v>722</v>
      </c>
      <c r="C92" s="209"/>
      <c r="D92" s="265">
        <v>29989</v>
      </c>
      <c r="E92" s="265">
        <v>29989</v>
      </c>
      <c r="F92" s="265">
        <f t="shared" si="2"/>
        <v>0</v>
      </c>
      <c r="G92" s="226">
        <v>29989</v>
      </c>
      <c r="H92" s="226">
        <v>29989</v>
      </c>
      <c r="I92" s="265">
        <f t="shared" si="3"/>
        <v>0</v>
      </c>
    </row>
    <row r="93" spans="1:9" x14ac:dyDescent="0.2">
      <c r="A93" s="202" t="s">
        <v>547</v>
      </c>
      <c r="B93" s="209" t="s">
        <v>722</v>
      </c>
      <c r="C93" s="209" t="s">
        <v>519</v>
      </c>
      <c r="D93" s="265">
        <v>29989</v>
      </c>
      <c r="E93" s="265">
        <v>29989</v>
      </c>
      <c r="F93" s="265">
        <f t="shared" si="2"/>
        <v>0</v>
      </c>
      <c r="G93" s="226">
        <v>29989</v>
      </c>
      <c r="H93" s="226">
        <v>29989</v>
      </c>
      <c r="I93" s="265">
        <f t="shared" si="3"/>
        <v>0</v>
      </c>
    </row>
    <row r="94" spans="1:9" x14ac:dyDescent="0.2">
      <c r="A94" s="202" t="s">
        <v>705</v>
      </c>
      <c r="B94" s="209" t="s">
        <v>722</v>
      </c>
      <c r="C94" s="209" t="s">
        <v>703</v>
      </c>
      <c r="D94" s="265">
        <v>29989</v>
      </c>
      <c r="E94" s="265">
        <v>29989</v>
      </c>
      <c r="F94" s="265">
        <f t="shared" si="2"/>
        <v>0</v>
      </c>
      <c r="G94" s="226">
        <v>29989</v>
      </c>
      <c r="H94" s="226">
        <v>29989</v>
      </c>
      <c r="I94" s="265">
        <f t="shared" si="3"/>
        <v>0</v>
      </c>
    </row>
    <row r="95" spans="1:9" ht="33.75" x14ac:dyDescent="0.2">
      <c r="A95" s="202" t="s">
        <v>660</v>
      </c>
      <c r="B95" s="209" t="s">
        <v>656</v>
      </c>
      <c r="C95" s="209"/>
      <c r="D95" s="265">
        <v>111276</v>
      </c>
      <c r="E95" s="265">
        <v>111276</v>
      </c>
      <c r="F95" s="265">
        <f t="shared" si="2"/>
        <v>0</v>
      </c>
      <c r="G95" s="226">
        <v>111276</v>
      </c>
      <c r="H95" s="226">
        <v>111276</v>
      </c>
      <c r="I95" s="265">
        <f t="shared" si="3"/>
        <v>0</v>
      </c>
    </row>
    <row r="96" spans="1:9" ht="22.5" x14ac:dyDescent="0.2">
      <c r="A96" s="202" t="s">
        <v>1348</v>
      </c>
      <c r="B96" s="209" t="s">
        <v>656</v>
      </c>
      <c r="C96" s="209" t="s">
        <v>556</v>
      </c>
      <c r="D96" s="265">
        <v>4653</v>
      </c>
      <c r="E96" s="265">
        <v>4653</v>
      </c>
      <c r="F96" s="265">
        <f t="shared" si="2"/>
        <v>0</v>
      </c>
      <c r="G96" s="226">
        <v>4653</v>
      </c>
      <c r="H96" s="226">
        <v>4653</v>
      </c>
      <c r="I96" s="265">
        <f t="shared" si="3"/>
        <v>0</v>
      </c>
    </row>
    <row r="97" spans="1:9" x14ac:dyDescent="0.2">
      <c r="A97" s="202" t="s">
        <v>555</v>
      </c>
      <c r="B97" s="209" t="s">
        <v>656</v>
      </c>
      <c r="C97" s="209" t="s">
        <v>554</v>
      </c>
      <c r="D97" s="265">
        <v>4653</v>
      </c>
      <c r="E97" s="265">
        <v>4653</v>
      </c>
      <c r="F97" s="265">
        <f t="shared" si="2"/>
        <v>0</v>
      </c>
      <c r="G97" s="226">
        <v>4653</v>
      </c>
      <c r="H97" s="226">
        <v>4653</v>
      </c>
      <c r="I97" s="265">
        <f t="shared" si="3"/>
        <v>0</v>
      </c>
    </row>
    <row r="98" spans="1:9" x14ac:dyDescent="0.2">
      <c r="A98" s="202" t="s">
        <v>1347</v>
      </c>
      <c r="B98" s="209" t="s">
        <v>656</v>
      </c>
      <c r="C98" s="209" t="s">
        <v>535</v>
      </c>
      <c r="D98" s="265">
        <v>1056</v>
      </c>
      <c r="E98" s="265">
        <v>1056</v>
      </c>
      <c r="F98" s="265">
        <f t="shared" si="2"/>
        <v>0</v>
      </c>
      <c r="G98" s="226">
        <v>1056</v>
      </c>
      <c r="H98" s="226">
        <v>1056</v>
      </c>
      <c r="I98" s="265">
        <f t="shared" si="3"/>
        <v>0</v>
      </c>
    </row>
    <row r="99" spans="1:9" x14ac:dyDescent="0.2">
      <c r="A99" s="202" t="s">
        <v>534</v>
      </c>
      <c r="B99" s="209" t="s">
        <v>656</v>
      </c>
      <c r="C99" s="209" t="s">
        <v>529</v>
      </c>
      <c r="D99" s="265">
        <v>1056</v>
      </c>
      <c r="E99" s="265">
        <v>1056</v>
      </c>
      <c r="F99" s="265">
        <f t="shared" si="2"/>
        <v>0</v>
      </c>
      <c r="G99" s="226">
        <v>1056</v>
      </c>
      <c r="H99" s="226">
        <v>1056</v>
      </c>
      <c r="I99" s="265">
        <f t="shared" si="3"/>
        <v>0</v>
      </c>
    </row>
    <row r="100" spans="1:9" x14ac:dyDescent="0.2">
      <c r="A100" s="202" t="s">
        <v>553</v>
      </c>
      <c r="B100" s="209" t="s">
        <v>656</v>
      </c>
      <c r="C100" s="209" t="s">
        <v>552</v>
      </c>
      <c r="D100" s="265">
        <v>105567</v>
      </c>
      <c r="E100" s="265">
        <v>105567</v>
      </c>
      <c r="F100" s="265">
        <f t="shared" si="2"/>
        <v>0</v>
      </c>
      <c r="G100" s="226">
        <v>105567</v>
      </c>
      <c r="H100" s="226">
        <v>105567</v>
      </c>
      <c r="I100" s="265">
        <f t="shared" si="3"/>
        <v>0</v>
      </c>
    </row>
    <row r="101" spans="1:9" x14ac:dyDescent="0.2">
      <c r="A101" s="202" t="s">
        <v>659</v>
      </c>
      <c r="B101" s="209" t="s">
        <v>656</v>
      </c>
      <c r="C101" s="209" t="s">
        <v>655</v>
      </c>
      <c r="D101" s="265">
        <v>105567</v>
      </c>
      <c r="E101" s="265">
        <v>105567</v>
      </c>
      <c r="F101" s="265">
        <f t="shared" si="2"/>
        <v>0</v>
      </c>
      <c r="G101" s="226">
        <v>105567</v>
      </c>
      <c r="H101" s="226">
        <v>105567</v>
      </c>
      <c r="I101" s="265">
        <f t="shared" si="3"/>
        <v>0</v>
      </c>
    </row>
    <row r="102" spans="1:9" ht="56.25" x14ac:dyDescent="0.2">
      <c r="A102" s="202" t="s">
        <v>721</v>
      </c>
      <c r="B102" s="209" t="s">
        <v>720</v>
      </c>
      <c r="C102" s="209"/>
      <c r="D102" s="265">
        <v>45595.6</v>
      </c>
      <c r="E102" s="265">
        <v>45595.6</v>
      </c>
      <c r="F102" s="265">
        <f t="shared" si="2"/>
        <v>0</v>
      </c>
      <c r="G102" s="226">
        <v>45595.6</v>
      </c>
      <c r="H102" s="226">
        <v>45595.6</v>
      </c>
      <c r="I102" s="265">
        <f t="shared" si="3"/>
        <v>0</v>
      </c>
    </row>
    <row r="103" spans="1:9" x14ac:dyDescent="0.2">
      <c r="A103" s="202" t="s">
        <v>547</v>
      </c>
      <c r="B103" s="209" t="s">
        <v>720</v>
      </c>
      <c r="C103" s="209" t="s">
        <v>519</v>
      </c>
      <c r="D103" s="265">
        <v>45595.6</v>
      </c>
      <c r="E103" s="265">
        <v>45595.6</v>
      </c>
      <c r="F103" s="265">
        <f t="shared" si="2"/>
        <v>0</v>
      </c>
      <c r="G103" s="226">
        <v>45595.6</v>
      </c>
      <c r="H103" s="226">
        <v>45595.6</v>
      </c>
      <c r="I103" s="265">
        <f t="shared" si="3"/>
        <v>0</v>
      </c>
    </row>
    <row r="104" spans="1:9" x14ac:dyDescent="0.2">
      <c r="A104" s="202" t="s">
        <v>571</v>
      </c>
      <c r="B104" s="209" t="s">
        <v>720</v>
      </c>
      <c r="C104" s="209" t="s">
        <v>522</v>
      </c>
      <c r="D104" s="265">
        <v>40178</v>
      </c>
      <c r="E104" s="265">
        <v>40178</v>
      </c>
      <c r="F104" s="265">
        <f t="shared" si="2"/>
        <v>0</v>
      </c>
      <c r="G104" s="226">
        <v>40178</v>
      </c>
      <c r="H104" s="226">
        <v>40178</v>
      </c>
      <c r="I104" s="265">
        <f t="shared" si="3"/>
        <v>0</v>
      </c>
    </row>
    <row r="105" spans="1:9" x14ac:dyDescent="0.2">
      <c r="A105" s="202" t="s">
        <v>546</v>
      </c>
      <c r="B105" s="209" t="s">
        <v>720</v>
      </c>
      <c r="C105" s="209" t="s">
        <v>544</v>
      </c>
      <c r="D105" s="265">
        <v>5417.6</v>
      </c>
      <c r="E105" s="265">
        <v>5417.6</v>
      </c>
      <c r="F105" s="265">
        <f t="shared" si="2"/>
        <v>0</v>
      </c>
      <c r="G105" s="226">
        <v>5417.6</v>
      </c>
      <c r="H105" s="226">
        <v>5417.6</v>
      </c>
      <c r="I105" s="265">
        <f t="shared" si="3"/>
        <v>0</v>
      </c>
    </row>
    <row r="106" spans="1:9" x14ac:dyDescent="0.2">
      <c r="A106" s="199" t="s">
        <v>688</v>
      </c>
      <c r="B106" s="212" t="s">
        <v>687</v>
      </c>
      <c r="C106" s="212"/>
      <c r="D106" s="263">
        <v>3268896.5999999996</v>
      </c>
      <c r="E106" s="263">
        <f>E107+E125+E129+E155</f>
        <v>3433892.5999999996</v>
      </c>
      <c r="F106" s="282">
        <f t="shared" si="2"/>
        <v>164996</v>
      </c>
      <c r="G106" s="205">
        <v>3146236.5999999996</v>
      </c>
      <c r="H106" s="205">
        <f>H107+H125+H129+H155</f>
        <v>3311232.5999999996</v>
      </c>
      <c r="I106" s="282">
        <f t="shared" si="3"/>
        <v>164996</v>
      </c>
    </row>
    <row r="107" spans="1:9" x14ac:dyDescent="0.2">
      <c r="A107" s="199" t="s">
        <v>686</v>
      </c>
      <c r="B107" s="212" t="s">
        <v>685</v>
      </c>
      <c r="C107" s="212"/>
      <c r="D107" s="263">
        <v>2975003.3</v>
      </c>
      <c r="E107" s="263">
        <f>E108+E118+E122+E114</f>
        <v>3069372.3</v>
      </c>
      <c r="F107" s="282">
        <f t="shared" si="2"/>
        <v>94369</v>
      </c>
      <c r="G107" s="205">
        <v>2975003.3</v>
      </c>
      <c r="H107" s="205">
        <f>H108+H118+H122+H114</f>
        <v>3069372.3</v>
      </c>
      <c r="I107" s="282">
        <f t="shared" si="3"/>
        <v>94369</v>
      </c>
    </row>
    <row r="108" spans="1:9" ht="22.5" x14ac:dyDescent="0.2">
      <c r="A108" s="202" t="s">
        <v>684</v>
      </c>
      <c r="B108" s="209" t="s">
        <v>683</v>
      </c>
      <c r="C108" s="209"/>
      <c r="D108" s="265">
        <v>517996.3</v>
      </c>
      <c r="E108" s="265">
        <v>517996.3</v>
      </c>
      <c r="F108" s="265">
        <f t="shared" si="2"/>
        <v>0</v>
      </c>
      <c r="G108" s="226">
        <v>517996.3</v>
      </c>
      <c r="H108" s="226">
        <v>517996.3</v>
      </c>
      <c r="I108" s="265">
        <f t="shared" si="3"/>
        <v>0</v>
      </c>
    </row>
    <row r="109" spans="1:9" x14ac:dyDescent="0.2">
      <c r="A109" s="202" t="s">
        <v>1347</v>
      </c>
      <c r="B109" s="209" t="s">
        <v>683</v>
      </c>
      <c r="C109" s="209" t="s">
        <v>535</v>
      </c>
      <c r="D109" s="265">
        <v>2809.3</v>
      </c>
      <c r="E109" s="265">
        <v>2809.3</v>
      </c>
      <c r="F109" s="265">
        <f t="shared" si="2"/>
        <v>0</v>
      </c>
      <c r="G109" s="226">
        <v>2809.3</v>
      </c>
      <c r="H109" s="226">
        <v>2809.3</v>
      </c>
      <c r="I109" s="265">
        <f t="shared" si="3"/>
        <v>0</v>
      </c>
    </row>
    <row r="110" spans="1:9" x14ac:dyDescent="0.2">
      <c r="A110" s="202" t="s">
        <v>534</v>
      </c>
      <c r="B110" s="209" t="s">
        <v>683</v>
      </c>
      <c r="C110" s="209" t="s">
        <v>529</v>
      </c>
      <c r="D110" s="265">
        <v>2809.3</v>
      </c>
      <c r="E110" s="265">
        <v>2809.3</v>
      </c>
      <c r="F110" s="265">
        <f t="shared" si="2"/>
        <v>0</v>
      </c>
      <c r="G110" s="226">
        <v>2809.3</v>
      </c>
      <c r="H110" s="226">
        <v>2809.3</v>
      </c>
      <c r="I110" s="265">
        <f t="shared" si="3"/>
        <v>0</v>
      </c>
    </row>
    <row r="111" spans="1:9" x14ac:dyDescent="0.2">
      <c r="A111" s="202" t="s">
        <v>547</v>
      </c>
      <c r="B111" s="209" t="s">
        <v>683</v>
      </c>
      <c r="C111" s="209" t="s">
        <v>519</v>
      </c>
      <c r="D111" s="265">
        <v>515187</v>
      </c>
      <c r="E111" s="265">
        <v>515187</v>
      </c>
      <c r="F111" s="265">
        <f t="shared" si="2"/>
        <v>0</v>
      </c>
      <c r="G111" s="226">
        <v>515187</v>
      </c>
      <c r="H111" s="226">
        <v>515187</v>
      </c>
      <c r="I111" s="265">
        <f t="shared" si="3"/>
        <v>0</v>
      </c>
    </row>
    <row r="112" spans="1:9" x14ac:dyDescent="0.2">
      <c r="A112" s="202" t="s">
        <v>571</v>
      </c>
      <c r="B112" s="209" t="s">
        <v>683</v>
      </c>
      <c r="C112" s="209" t="s">
        <v>522</v>
      </c>
      <c r="D112" s="265">
        <v>448053.6</v>
      </c>
      <c r="E112" s="265">
        <v>448053.6</v>
      </c>
      <c r="F112" s="265">
        <f t="shared" si="2"/>
        <v>0</v>
      </c>
      <c r="G112" s="226">
        <v>448053.6</v>
      </c>
      <c r="H112" s="226">
        <v>448053.6</v>
      </c>
      <c r="I112" s="265">
        <f t="shared" si="3"/>
        <v>0</v>
      </c>
    </row>
    <row r="113" spans="1:9" x14ac:dyDescent="0.2">
      <c r="A113" s="202" t="s">
        <v>546</v>
      </c>
      <c r="B113" s="209" t="s">
        <v>683</v>
      </c>
      <c r="C113" s="209" t="s">
        <v>544</v>
      </c>
      <c r="D113" s="265">
        <v>67133.399999999994</v>
      </c>
      <c r="E113" s="265">
        <v>67133.399999999994</v>
      </c>
      <c r="F113" s="265">
        <f t="shared" si="2"/>
        <v>0</v>
      </c>
      <c r="G113" s="226">
        <v>67133.399999999994</v>
      </c>
      <c r="H113" s="226">
        <v>67133.399999999994</v>
      </c>
      <c r="I113" s="265">
        <f t="shared" si="3"/>
        <v>0</v>
      </c>
    </row>
    <row r="114" spans="1:9" s="410" customFormat="1" ht="78.75" x14ac:dyDescent="0.2">
      <c r="A114" s="202" t="s">
        <v>1602</v>
      </c>
      <c r="B114" s="209" t="s">
        <v>1603</v>
      </c>
      <c r="C114" s="209"/>
      <c r="D114" s="265">
        <f>D115</f>
        <v>0</v>
      </c>
      <c r="E114" s="265">
        <f>E115</f>
        <v>94369</v>
      </c>
      <c r="F114" s="265">
        <f t="shared" si="2"/>
        <v>94369</v>
      </c>
      <c r="G114" s="226">
        <f t="shared" ref="G114:H114" si="4">G115</f>
        <v>0</v>
      </c>
      <c r="H114" s="226">
        <f t="shared" si="4"/>
        <v>94369</v>
      </c>
      <c r="I114" s="265">
        <f t="shared" si="3"/>
        <v>94369</v>
      </c>
    </row>
    <row r="115" spans="1:9" s="410" customFormat="1" x14ac:dyDescent="0.2">
      <c r="A115" s="202" t="s">
        <v>547</v>
      </c>
      <c r="B115" s="209" t="s">
        <v>1603</v>
      </c>
      <c r="C115" s="209" t="s">
        <v>519</v>
      </c>
      <c r="D115" s="265">
        <f>D116+D117</f>
        <v>0</v>
      </c>
      <c r="E115" s="265">
        <f>E116+E117</f>
        <v>94369</v>
      </c>
      <c r="F115" s="265">
        <f t="shared" si="2"/>
        <v>94369</v>
      </c>
      <c r="G115" s="226">
        <f t="shared" ref="G115:H115" si="5">G116+G117</f>
        <v>0</v>
      </c>
      <c r="H115" s="226">
        <f t="shared" si="5"/>
        <v>94369</v>
      </c>
      <c r="I115" s="265">
        <f t="shared" si="3"/>
        <v>94369</v>
      </c>
    </row>
    <row r="116" spans="1:9" s="410" customFormat="1" x14ac:dyDescent="0.2">
      <c r="A116" s="202" t="s">
        <v>571</v>
      </c>
      <c r="B116" s="209" t="s">
        <v>1603</v>
      </c>
      <c r="C116" s="209" t="s">
        <v>522</v>
      </c>
      <c r="D116" s="265">
        <v>0</v>
      </c>
      <c r="E116" s="265">
        <f>'Функциональная 2021-2022'!H795</f>
        <v>85620</v>
      </c>
      <c r="F116" s="265">
        <f t="shared" si="2"/>
        <v>85620</v>
      </c>
      <c r="G116" s="226">
        <v>0</v>
      </c>
      <c r="H116" s="226">
        <f>'Функциональная 2021-2022'!N795</f>
        <v>85620</v>
      </c>
      <c r="I116" s="265">
        <f t="shared" si="3"/>
        <v>85620</v>
      </c>
    </row>
    <row r="117" spans="1:9" s="410" customFormat="1" x14ac:dyDescent="0.2">
      <c r="A117" s="202" t="s">
        <v>546</v>
      </c>
      <c r="B117" s="209" t="s">
        <v>1603</v>
      </c>
      <c r="C117" s="209" t="s">
        <v>544</v>
      </c>
      <c r="D117" s="265">
        <v>0</v>
      </c>
      <c r="E117" s="265">
        <f>'Функциональная 2021-2022'!H796</f>
        <v>8749</v>
      </c>
      <c r="F117" s="265">
        <f t="shared" si="2"/>
        <v>8749</v>
      </c>
      <c r="G117" s="226">
        <v>0</v>
      </c>
      <c r="H117" s="226">
        <f>'Функциональная 2021-2022'!P796</f>
        <v>8749</v>
      </c>
      <c r="I117" s="265">
        <f t="shared" si="3"/>
        <v>8749</v>
      </c>
    </row>
    <row r="118" spans="1:9" ht="67.5" x14ac:dyDescent="0.2">
      <c r="A118" s="202" t="s">
        <v>716</v>
      </c>
      <c r="B118" s="209" t="s">
        <v>715</v>
      </c>
      <c r="C118" s="209"/>
      <c r="D118" s="265">
        <v>2296132</v>
      </c>
      <c r="E118" s="265">
        <f>E119</f>
        <v>2296132</v>
      </c>
      <c r="F118" s="281">
        <f t="shared" si="2"/>
        <v>0</v>
      </c>
      <c r="G118" s="226">
        <v>2296132</v>
      </c>
      <c r="H118" s="226">
        <f>H119</f>
        <v>2296132</v>
      </c>
      <c r="I118" s="281">
        <f t="shared" si="3"/>
        <v>0</v>
      </c>
    </row>
    <row r="119" spans="1:9" x14ac:dyDescent="0.2">
      <c r="A119" s="202" t="s">
        <v>547</v>
      </c>
      <c r="B119" s="209" t="s">
        <v>715</v>
      </c>
      <c r="C119" s="209" t="s">
        <v>519</v>
      </c>
      <c r="D119" s="265">
        <v>2296132</v>
      </c>
      <c r="E119" s="265">
        <f>E120+E121</f>
        <v>2296132</v>
      </c>
      <c r="F119" s="281">
        <f t="shared" si="2"/>
        <v>0</v>
      </c>
      <c r="G119" s="226">
        <v>2296132</v>
      </c>
      <c r="H119" s="226">
        <f>H120+H121</f>
        <v>2296132</v>
      </c>
      <c r="I119" s="281">
        <f t="shared" si="3"/>
        <v>0</v>
      </c>
    </row>
    <row r="120" spans="1:9" x14ac:dyDescent="0.2">
      <c r="A120" s="202" t="s">
        <v>571</v>
      </c>
      <c r="B120" s="209" t="s">
        <v>715</v>
      </c>
      <c r="C120" s="209" t="s">
        <v>522</v>
      </c>
      <c r="D120" s="265">
        <v>2094688</v>
      </c>
      <c r="E120" s="265">
        <f>'Функциональная 2021-2022'!H799</f>
        <v>2094688</v>
      </c>
      <c r="F120" s="281">
        <f t="shared" si="2"/>
        <v>0</v>
      </c>
      <c r="G120" s="226">
        <v>2094688</v>
      </c>
      <c r="H120" s="226">
        <f>'Функциональная 2021-2022'!N799</f>
        <v>2094688</v>
      </c>
      <c r="I120" s="281">
        <f t="shared" si="3"/>
        <v>0</v>
      </c>
    </row>
    <row r="121" spans="1:9" s="296" customFormat="1" x14ac:dyDescent="0.2">
      <c r="A121" s="202" t="s">
        <v>546</v>
      </c>
      <c r="B121" s="209" t="s">
        <v>715</v>
      </c>
      <c r="C121" s="209" t="s">
        <v>544</v>
      </c>
      <c r="D121" s="265">
        <v>201444</v>
      </c>
      <c r="E121" s="265">
        <f>'Функциональная 2021-2022'!H800</f>
        <v>201444</v>
      </c>
      <c r="F121" s="281">
        <f t="shared" si="2"/>
        <v>0</v>
      </c>
      <c r="G121" s="226">
        <v>201444</v>
      </c>
      <c r="H121" s="226">
        <f>'Функциональная 2021-2022'!N800</f>
        <v>201444</v>
      </c>
      <c r="I121" s="281">
        <f t="shared" si="3"/>
        <v>0</v>
      </c>
    </row>
    <row r="122" spans="1:9" ht="56.25" x14ac:dyDescent="0.2">
      <c r="A122" s="202" t="s">
        <v>714</v>
      </c>
      <c r="B122" s="209" t="s">
        <v>713</v>
      </c>
      <c r="C122" s="209"/>
      <c r="D122" s="265">
        <v>160875</v>
      </c>
      <c r="E122" s="265">
        <f>E123</f>
        <v>160875</v>
      </c>
      <c r="F122" s="281">
        <f t="shared" si="2"/>
        <v>0</v>
      </c>
      <c r="G122" s="226">
        <v>160875</v>
      </c>
      <c r="H122" s="226">
        <f>H123</f>
        <v>160875</v>
      </c>
      <c r="I122" s="281">
        <f t="shared" si="3"/>
        <v>0</v>
      </c>
    </row>
    <row r="123" spans="1:9" x14ac:dyDescent="0.2">
      <c r="A123" s="202" t="s">
        <v>547</v>
      </c>
      <c r="B123" s="209" t="s">
        <v>713</v>
      </c>
      <c r="C123" s="209" t="s">
        <v>519</v>
      </c>
      <c r="D123" s="265">
        <v>160875</v>
      </c>
      <c r="E123" s="265">
        <f>E124</f>
        <v>160875</v>
      </c>
      <c r="F123" s="281">
        <f t="shared" si="2"/>
        <v>0</v>
      </c>
      <c r="G123" s="226">
        <v>160875</v>
      </c>
      <c r="H123" s="226">
        <f>H124</f>
        <v>160875</v>
      </c>
      <c r="I123" s="281">
        <f t="shared" si="3"/>
        <v>0</v>
      </c>
    </row>
    <row r="124" spans="1:9" x14ac:dyDescent="0.2">
      <c r="A124" s="202" t="s">
        <v>705</v>
      </c>
      <c r="B124" s="209" t="s">
        <v>713</v>
      </c>
      <c r="C124" s="209" t="s">
        <v>703</v>
      </c>
      <c r="D124" s="265">
        <v>160875</v>
      </c>
      <c r="E124" s="265">
        <f>'Функциональная 2021-2022'!H803</f>
        <v>160875</v>
      </c>
      <c r="F124" s="281">
        <f t="shared" si="2"/>
        <v>0</v>
      </c>
      <c r="G124" s="226">
        <v>160875</v>
      </c>
      <c r="H124" s="226">
        <f>'Функциональная 2021-2022'!N803</f>
        <v>160875</v>
      </c>
      <c r="I124" s="281">
        <f t="shared" si="3"/>
        <v>0</v>
      </c>
    </row>
    <row r="125" spans="1:9" ht="22.5" x14ac:dyDescent="0.2">
      <c r="A125" s="199" t="s">
        <v>712</v>
      </c>
      <c r="B125" s="212" t="s">
        <v>711</v>
      </c>
      <c r="C125" s="212"/>
      <c r="D125" s="263">
        <v>8310</v>
      </c>
      <c r="E125" s="263">
        <v>8310</v>
      </c>
      <c r="F125" s="263">
        <f t="shared" si="2"/>
        <v>0</v>
      </c>
      <c r="G125" s="205">
        <v>9026</v>
      </c>
      <c r="H125" s="205">
        <v>9026</v>
      </c>
      <c r="I125" s="263">
        <f t="shared" si="3"/>
        <v>0</v>
      </c>
    </row>
    <row r="126" spans="1:9" ht="33.75" x14ac:dyDescent="0.2">
      <c r="A126" s="202" t="s">
        <v>710</v>
      </c>
      <c r="B126" s="209" t="s">
        <v>709</v>
      </c>
      <c r="C126" s="209"/>
      <c r="D126" s="265">
        <v>8310</v>
      </c>
      <c r="E126" s="265">
        <v>8310</v>
      </c>
      <c r="F126" s="265">
        <f t="shared" si="2"/>
        <v>0</v>
      </c>
      <c r="G126" s="226">
        <v>9026</v>
      </c>
      <c r="H126" s="226">
        <v>9026</v>
      </c>
      <c r="I126" s="265">
        <f t="shared" si="3"/>
        <v>0</v>
      </c>
    </row>
    <row r="127" spans="1:9" x14ac:dyDescent="0.2">
      <c r="A127" s="202" t="s">
        <v>547</v>
      </c>
      <c r="B127" s="209" t="s">
        <v>709</v>
      </c>
      <c r="C127" s="209" t="s">
        <v>519</v>
      </c>
      <c r="D127" s="265">
        <v>8310</v>
      </c>
      <c r="E127" s="265">
        <v>8310</v>
      </c>
      <c r="F127" s="265">
        <f t="shared" si="2"/>
        <v>0</v>
      </c>
      <c r="G127" s="226">
        <v>9026</v>
      </c>
      <c r="H127" s="226">
        <v>9026</v>
      </c>
      <c r="I127" s="265">
        <f t="shared" si="3"/>
        <v>0</v>
      </c>
    </row>
    <row r="128" spans="1:9" x14ac:dyDescent="0.2">
      <c r="A128" s="202" t="s">
        <v>571</v>
      </c>
      <c r="B128" s="209" t="s">
        <v>709</v>
      </c>
      <c r="C128" s="209" t="s">
        <v>522</v>
      </c>
      <c r="D128" s="265">
        <v>8310</v>
      </c>
      <c r="E128" s="265">
        <v>8310</v>
      </c>
      <c r="F128" s="265">
        <f t="shared" si="2"/>
        <v>0</v>
      </c>
      <c r="G128" s="226">
        <v>9026</v>
      </c>
      <c r="H128" s="226">
        <v>9026</v>
      </c>
      <c r="I128" s="265">
        <f t="shared" si="3"/>
        <v>0</v>
      </c>
    </row>
    <row r="129" spans="1:9" ht="33.75" x14ac:dyDescent="0.2">
      <c r="A129" s="199" t="s">
        <v>708</v>
      </c>
      <c r="B129" s="212" t="s">
        <v>707</v>
      </c>
      <c r="C129" s="212"/>
      <c r="D129" s="263">
        <v>157899</v>
      </c>
      <c r="E129" s="263">
        <f>E130+E141+E146+E135+E150</f>
        <v>228526</v>
      </c>
      <c r="F129" s="282">
        <f t="shared" si="2"/>
        <v>70627</v>
      </c>
      <c r="G129" s="205">
        <v>157899</v>
      </c>
      <c r="H129" s="205">
        <f>H130+H141+H146+H135+H150</f>
        <v>228526</v>
      </c>
      <c r="I129" s="282">
        <f t="shared" si="3"/>
        <v>70627</v>
      </c>
    </row>
    <row r="130" spans="1:9" ht="22.5" x14ac:dyDescent="0.2">
      <c r="A130" s="202" t="s">
        <v>1255</v>
      </c>
      <c r="B130" s="209" t="s">
        <v>1254</v>
      </c>
      <c r="C130" s="209"/>
      <c r="D130" s="265">
        <v>10805</v>
      </c>
      <c r="E130" s="265">
        <v>10805</v>
      </c>
      <c r="F130" s="265">
        <f t="shared" si="2"/>
        <v>0</v>
      </c>
      <c r="G130" s="226">
        <v>10805</v>
      </c>
      <c r="H130" s="226">
        <v>10805</v>
      </c>
      <c r="I130" s="265">
        <f t="shared" si="3"/>
        <v>0</v>
      </c>
    </row>
    <row r="131" spans="1:9" ht="22.5" x14ac:dyDescent="0.2">
      <c r="A131" s="202" t="s">
        <v>1348</v>
      </c>
      <c r="B131" s="209" t="s">
        <v>1254</v>
      </c>
      <c r="C131" s="209" t="s">
        <v>556</v>
      </c>
      <c r="D131" s="265">
        <v>10627</v>
      </c>
      <c r="E131" s="265">
        <v>10627</v>
      </c>
      <c r="F131" s="265">
        <f t="shared" si="2"/>
        <v>0</v>
      </c>
      <c r="G131" s="226">
        <v>10627</v>
      </c>
      <c r="H131" s="226">
        <v>10627</v>
      </c>
      <c r="I131" s="265">
        <f t="shared" si="3"/>
        <v>0</v>
      </c>
    </row>
    <row r="132" spans="1:9" x14ac:dyDescent="0.2">
      <c r="A132" s="202" t="s">
        <v>749</v>
      </c>
      <c r="B132" s="209" t="s">
        <v>1254</v>
      </c>
      <c r="C132" s="209" t="s">
        <v>745</v>
      </c>
      <c r="D132" s="265">
        <v>10627</v>
      </c>
      <c r="E132" s="265">
        <v>10627</v>
      </c>
      <c r="F132" s="265">
        <f t="shared" si="2"/>
        <v>0</v>
      </c>
      <c r="G132" s="226">
        <v>10627</v>
      </c>
      <c r="H132" s="226">
        <v>10627</v>
      </c>
      <c r="I132" s="265">
        <f t="shared" si="3"/>
        <v>0</v>
      </c>
    </row>
    <row r="133" spans="1:9" x14ac:dyDescent="0.2">
      <c r="A133" s="202" t="s">
        <v>1347</v>
      </c>
      <c r="B133" s="209" t="s">
        <v>1254</v>
      </c>
      <c r="C133" s="209" t="s">
        <v>535</v>
      </c>
      <c r="D133" s="265">
        <v>178</v>
      </c>
      <c r="E133" s="265">
        <v>178</v>
      </c>
      <c r="F133" s="265">
        <f t="shared" si="2"/>
        <v>0</v>
      </c>
      <c r="G133" s="226">
        <v>178</v>
      </c>
      <c r="H133" s="226">
        <v>178</v>
      </c>
      <c r="I133" s="265">
        <f t="shared" si="3"/>
        <v>0</v>
      </c>
    </row>
    <row r="134" spans="1:9" x14ac:dyDescent="0.2">
      <c r="A134" s="202" t="s">
        <v>534</v>
      </c>
      <c r="B134" s="209" t="s">
        <v>1254</v>
      </c>
      <c r="C134" s="209" t="s">
        <v>529</v>
      </c>
      <c r="D134" s="265">
        <v>178</v>
      </c>
      <c r="E134" s="265">
        <v>178</v>
      </c>
      <c r="F134" s="265">
        <f t="shared" si="2"/>
        <v>0</v>
      </c>
      <c r="G134" s="226">
        <v>178</v>
      </c>
      <c r="H134" s="226">
        <v>178</v>
      </c>
      <c r="I134" s="265">
        <f t="shared" si="3"/>
        <v>0</v>
      </c>
    </row>
    <row r="135" spans="1:9" s="414" customFormat="1" ht="67.5" x14ac:dyDescent="0.2">
      <c r="A135" s="202" t="s">
        <v>1609</v>
      </c>
      <c r="B135" s="209" t="s">
        <v>1610</v>
      </c>
      <c r="C135" s="209"/>
      <c r="D135" s="265">
        <v>0</v>
      </c>
      <c r="E135" s="265">
        <f>E136+E138</f>
        <v>112902</v>
      </c>
      <c r="F135" s="265">
        <f t="shared" si="2"/>
        <v>112902</v>
      </c>
      <c r="G135" s="226">
        <f>G136+G138</f>
        <v>0</v>
      </c>
      <c r="H135" s="226">
        <f>H136+H138</f>
        <v>112902</v>
      </c>
      <c r="I135" s="265">
        <f t="shared" si="3"/>
        <v>112902</v>
      </c>
    </row>
    <row r="136" spans="1:9" s="414" customFormat="1" x14ac:dyDescent="0.2">
      <c r="A136" s="202" t="s">
        <v>553</v>
      </c>
      <c r="B136" s="209" t="s">
        <v>1610</v>
      </c>
      <c r="C136" s="209">
        <v>300</v>
      </c>
      <c r="D136" s="265">
        <v>0</v>
      </c>
      <c r="E136" s="265">
        <f>E137</f>
        <v>93759</v>
      </c>
      <c r="F136" s="265">
        <f t="shared" si="2"/>
        <v>93759</v>
      </c>
      <c r="G136" s="226">
        <v>0</v>
      </c>
      <c r="H136" s="226">
        <f>H137</f>
        <v>93759</v>
      </c>
      <c r="I136" s="265">
        <f t="shared" si="3"/>
        <v>93759</v>
      </c>
    </row>
    <row r="137" spans="1:9" s="414" customFormat="1" x14ac:dyDescent="0.2">
      <c r="A137" s="202" t="s">
        <v>832</v>
      </c>
      <c r="B137" s="209" t="s">
        <v>1610</v>
      </c>
      <c r="C137" s="209">
        <v>320</v>
      </c>
      <c r="D137" s="265">
        <v>0</v>
      </c>
      <c r="E137" s="265">
        <f>'Функциональная 2021-2022'!H811</f>
        <v>93759</v>
      </c>
      <c r="F137" s="265">
        <f t="shared" si="2"/>
        <v>93759</v>
      </c>
      <c r="G137" s="226">
        <v>0</v>
      </c>
      <c r="H137" s="226">
        <f>'Функциональная 2021-2022'!N811</f>
        <v>93759</v>
      </c>
      <c r="I137" s="265">
        <f t="shared" si="3"/>
        <v>93759</v>
      </c>
    </row>
    <row r="138" spans="1:9" s="414" customFormat="1" x14ac:dyDescent="0.2">
      <c r="A138" s="202" t="s">
        <v>547</v>
      </c>
      <c r="B138" s="209" t="s">
        <v>1610</v>
      </c>
      <c r="C138" s="209">
        <v>600</v>
      </c>
      <c r="D138" s="265">
        <f>D139+D140</f>
        <v>0</v>
      </c>
      <c r="E138" s="265">
        <f>E139+E140</f>
        <v>19143</v>
      </c>
      <c r="F138" s="265">
        <f t="shared" si="2"/>
        <v>19143</v>
      </c>
      <c r="G138" s="226">
        <v>0</v>
      </c>
      <c r="H138" s="226">
        <f>H139+H140</f>
        <v>19143</v>
      </c>
      <c r="I138" s="265">
        <f t="shared" si="3"/>
        <v>19143</v>
      </c>
    </row>
    <row r="139" spans="1:9" s="414" customFormat="1" x14ac:dyDescent="0.2">
      <c r="A139" s="202" t="s">
        <v>546</v>
      </c>
      <c r="B139" s="209" t="s">
        <v>1610</v>
      </c>
      <c r="C139" s="209">
        <v>620</v>
      </c>
      <c r="D139" s="265">
        <v>0</v>
      </c>
      <c r="E139" s="265">
        <f>'Функциональная 2021-2022'!H813</f>
        <v>10022</v>
      </c>
      <c r="F139" s="265">
        <f t="shared" si="2"/>
        <v>10022</v>
      </c>
      <c r="G139" s="226">
        <v>0</v>
      </c>
      <c r="H139" s="226">
        <f>'Функциональная 2021-2022'!N813</f>
        <v>10022</v>
      </c>
      <c r="I139" s="265">
        <f t="shared" si="3"/>
        <v>10022</v>
      </c>
    </row>
    <row r="140" spans="1:9" s="414" customFormat="1" x14ac:dyDescent="0.2">
      <c r="A140" s="202" t="s">
        <v>705</v>
      </c>
      <c r="B140" s="209" t="s">
        <v>1610</v>
      </c>
      <c r="C140" s="209">
        <v>630</v>
      </c>
      <c r="D140" s="265">
        <v>0</v>
      </c>
      <c r="E140" s="265">
        <f>'Функциональная 2021-2022'!H814</f>
        <v>9121</v>
      </c>
      <c r="F140" s="265">
        <f t="shared" si="2"/>
        <v>9121</v>
      </c>
      <c r="G140" s="226">
        <v>0</v>
      </c>
      <c r="H140" s="226">
        <f>'Функциональная 2021-2022'!N814</f>
        <v>9121</v>
      </c>
      <c r="I140" s="265">
        <f t="shared" si="3"/>
        <v>9121</v>
      </c>
    </row>
    <row r="141" spans="1:9" ht="45" x14ac:dyDescent="0.2">
      <c r="A141" s="202" t="s">
        <v>706</v>
      </c>
      <c r="B141" s="209" t="s">
        <v>704</v>
      </c>
      <c r="C141" s="209"/>
      <c r="D141" s="265">
        <v>146900</v>
      </c>
      <c r="E141" s="265">
        <f>E142</f>
        <v>0</v>
      </c>
      <c r="F141" s="281">
        <f t="shared" si="2"/>
        <v>-146900</v>
      </c>
      <c r="G141" s="226">
        <v>146900</v>
      </c>
      <c r="H141" s="226">
        <f>H142</f>
        <v>0</v>
      </c>
      <c r="I141" s="281">
        <f t="shared" si="3"/>
        <v>-146900</v>
      </c>
    </row>
    <row r="142" spans="1:9" x14ac:dyDescent="0.2">
      <c r="A142" s="202" t="s">
        <v>547</v>
      </c>
      <c r="B142" s="209" t="s">
        <v>704</v>
      </c>
      <c r="C142" s="209" t="s">
        <v>519</v>
      </c>
      <c r="D142" s="265">
        <v>146900</v>
      </c>
      <c r="E142" s="265">
        <f>E143+E144+E145</f>
        <v>0</v>
      </c>
      <c r="F142" s="281">
        <f t="shared" si="2"/>
        <v>-146900</v>
      </c>
      <c r="G142" s="226">
        <v>146900</v>
      </c>
      <c r="H142" s="226">
        <f>H143+H144+H145</f>
        <v>0</v>
      </c>
      <c r="I142" s="281">
        <f t="shared" si="3"/>
        <v>-146900</v>
      </c>
    </row>
    <row r="143" spans="1:9" x14ac:dyDescent="0.2">
      <c r="A143" s="202" t="s">
        <v>571</v>
      </c>
      <c r="B143" s="209" t="s">
        <v>704</v>
      </c>
      <c r="C143" s="209" t="s">
        <v>522</v>
      </c>
      <c r="D143" s="265">
        <v>125210.2</v>
      </c>
      <c r="E143" s="265">
        <f>'Функциональная 2021-2022'!H817</f>
        <v>0</v>
      </c>
      <c r="F143" s="281">
        <f t="shared" si="2"/>
        <v>-125210.2</v>
      </c>
      <c r="G143" s="226">
        <v>125210.2</v>
      </c>
      <c r="H143" s="226">
        <f>'Функциональная 2021-2022'!N817</f>
        <v>0</v>
      </c>
      <c r="I143" s="281">
        <f t="shared" si="3"/>
        <v>-125210.2</v>
      </c>
    </row>
    <row r="144" spans="1:9" x14ac:dyDescent="0.2">
      <c r="A144" s="202" t="s">
        <v>546</v>
      </c>
      <c r="B144" s="209" t="s">
        <v>704</v>
      </c>
      <c r="C144" s="209" t="s">
        <v>544</v>
      </c>
      <c r="D144" s="265">
        <v>13795</v>
      </c>
      <c r="E144" s="265">
        <f>'Функциональная 2021-2022'!H818</f>
        <v>0</v>
      </c>
      <c r="F144" s="281">
        <f t="shared" si="2"/>
        <v>-13795</v>
      </c>
      <c r="G144" s="226">
        <v>13795</v>
      </c>
      <c r="H144" s="226">
        <f>'Функциональная 2021-2022'!N818</f>
        <v>0</v>
      </c>
      <c r="I144" s="281">
        <f t="shared" si="3"/>
        <v>-13795</v>
      </c>
    </row>
    <row r="145" spans="1:9" x14ac:dyDescent="0.2">
      <c r="A145" s="202" t="s">
        <v>705</v>
      </c>
      <c r="B145" s="209" t="s">
        <v>704</v>
      </c>
      <c r="C145" s="209" t="s">
        <v>703</v>
      </c>
      <c r="D145" s="265">
        <v>7894.7</v>
      </c>
      <c r="E145" s="265">
        <f>'Функциональная 2021-2022'!H819</f>
        <v>0</v>
      </c>
      <c r="F145" s="281">
        <f t="shared" si="2"/>
        <v>-7894.7</v>
      </c>
      <c r="G145" s="226">
        <v>7894.7</v>
      </c>
      <c r="H145" s="226">
        <f>'Функциональная 2021-2022'!N819</f>
        <v>0</v>
      </c>
      <c r="I145" s="281">
        <f t="shared" si="3"/>
        <v>-7894.7</v>
      </c>
    </row>
    <row r="146" spans="1:9" ht="22.5" x14ac:dyDescent="0.2">
      <c r="A146" s="202" t="s">
        <v>702</v>
      </c>
      <c r="B146" s="209" t="s">
        <v>701</v>
      </c>
      <c r="C146" s="209"/>
      <c r="D146" s="265">
        <v>194</v>
      </c>
      <c r="E146" s="265">
        <v>194</v>
      </c>
      <c r="F146" s="265">
        <f t="shared" si="2"/>
        <v>0</v>
      </c>
      <c r="G146" s="226">
        <v>194</v>
      </c>
      <c r="H146" s="226">
        <v>194</v>
      </c>
      <c r="I146" s="265">
        <f t="shared" si="3"/>
        <v>0</v>
      </c>
    </row>
    <row r="147" spans="1:9" x14ac:dyDescent="0.2">
      <c r="A147" s="202" t="s">
        <v>547</v>
      </c>
      <c r="B147" s="209" t="s">
        <v>701</v>
      </c>
      <c r="C147" s="209" t="s">
        <v>519</v>
      </c>
      <c r="D147" s="265">
        <v>194</v>
      </c>
      <c r="E147" s="265">
        <v>194</v>
      </c>
      <c r="F147" s="265">
        <f t="shared" si="2"/>
        <v>0</v>
      </c>
      <c r="G147" s="226">
        <v>194</v>
      </c>
      <c r="H147" s="226">
        <v>194</v>
      </c>
      <c r="I147" s="265">
        <f t="shared" si="3"/>
        <v>0</v>
      </c>
    </row>
    <row r="148" spans="1:9" x14ac:dyDescent="0.2">
      <c r="A148" s="202" t="s">
        <v>571</v>
      </c>
      <c r="B148" s="209" t="s">
        <v>701</v>
      </c>
      <c r="C148" s="209" t="s">
        <v>522</v>
      </c>
      <c r="D148" s="265">
        <v>169</v>
      </c>
      <c r="E148" s="265">
        <v>169</v>
      </c>
      <c r="F148" s="265">
        <f t="shared" si="2"/>
        <v>0</v>
      </c>
      <c r="G148" s="226">
        <v>169</v>
      </c>
      <c r="H148" s="226">
        <v>169</v>
      </c>
      <c r="I148" s="265">
        <f t="shared" si="3"/>
        <v>0</v>
      </c>
    </row>
    <row r="149" spans="1:9" x14ac:dyDescent="0.2">
      <c r="A149" s="202" t="s">
        <v>546</v>
      </c>
      <c r="B149" s="209" t="s">
        <v>701</v>
      </c>
      <c r="C149" s="209" t="s">
        <v>544</v>
      </c>
      <c r="D149" s="265">
        <v>25</v>
      </c>
      <c r="E149" s="265">
        <v>25</v>
      </c>
      <c r="F149" s="265">
        <f t="shared" ref="F149:F222" si="6">E149-D149</f>
        <v>0</v>
      </c>
      <c r="G149" s="226">
        <v>25</v>
      </c>
      <c r="H149" s="226">
        <v>25</v>
      </c>
      <c r="I149" s="265">
        <f t="shared" ref="I149:I222" si="7">H149-G149</f>
        <v>0</v>
      </c>
    </row>
    <row r="150" spans="1:9" s="414" customFormat="1" ht="22.5" x14ac:dyDescent="0.2">
      <c r="A150" s="202" t="s">
        <v>1536</v>
      </c>
      <c r="B150" s="209" t="s">
        <v>1537</v>
      </c>
      <c r="C150" s="209"/>
      <c r="D150" s="265">
        <f>D151+D153</f>
        <v>0</v>
      </c>
      <c r="E150" s="265">
        <f>E151+E153</f>
        <v>104625</v>
      </c>
      <c r="F150" s="265">
        <f t="shared" si="6"/>
        <v>104625</v>
      </c>
      <c r="G150" s="226">
        <f t="shared" ref="G150:H150" si="8">G151+G153</f>
        <v>0</v>
      </c>
      <c r="H150" s="226">
        <f t="shared" si="8"/>
        <v>104625</v>
      </c>
      <c r="I150" s="265">
        <f t="shared" si="7"/>
        <v>104625</v>
      </c>
    </row>
    <row r="151" spans="1:9" s="414" customFormat="1" x14ac:dyDescent="0.2">
      <c r="A151" s="202" t="s">
        <v>1347</v>
      </c>
      <c r="B151" s="209" t="s">
        <v>1537</v>
      </c>
      <c r="C151" s="209" t="s">
        <v>535</v>
      </c>
      <c r="D151" s="265">
        <f>D152</f>
        <v>0</v>
      </c>
      <c r="E151" s="265">
        <f>E152</f>
        <v>94232.3</v>
      </c>
      <c r="F151" s="265">
        <f t="shared" si="6"/>
        <v>94232.3</v>
      </c>
      <c r="G151" s="226">
        <f>G152</f>
        <v>0</v>
      </c>
      <c r="H151" s="226">
        <f>H152</f>
        <v>94232.3</v>
      </c>
      <c r="I151" s="265">
        <f t="shared" si="7"/>
        <v>94232.3</v>
      </c>
    </row>
    <row r="152" spans="1:9" s="414" customFormat="1" x14ac:dyDescent="0.2">
      <c r="A152" s="202" t="s">
        <v>534</v>
      </c>
      <c r="B152" s="209" t="s">
        <v>1537</v>
      </c>
      <c r="C152" s="209" t="s">
        <v>529</v>
      </c>
      <c r="D152" s="265">
        <v>0</v>
      </c>
      <c r="E152" s="265">
        <f>'Функциональная 2021-2022'!H826</f>
        <v>94232.3</v>
      </c>
      <c r="F152" s="265">
        <f t="shared" si="6"/>
        <v>94232.3</v>
      </c>
      <c r="G152" s="226">
        <v>0</v>
      </c>
      <c r="H152" s="226">
        <f>'Функциональная 2021-2022'!N826</f>
        <v>94232.3</v>
      </c>
      <c r="I152" s="265">
        <f t="shared" si="7"/>
        <v>94232.3</v>
      </c>
    </row>
    <row r="153" spans="1:9" s="414" customFormat="1" x14ac:dyDescent="0.2">
      <c r="A153" s="202" t="s">
        <v>547</v>
      </c>
      <c r="B153" s="209" t="s">
        <v>1537</v>
      </c>
      <c r="C153" s="209">
        <v>600</v>
      </c>
      <c r="D153" s="265">
        <f>D154</f>
        <v>0</v>
      </c>
      <c r="E153" s="265">
        <f>E154</f>
        <v>10392.700000000001</v>
      </c>
      <c r="F153" s="265">
        <f t="shared" si="6"/>
        <v>10392.700000000001</v>
      </c>
      <c r="G153" s="226">
        <f>G154</f>
        <v>0</v>
      </c>
      <c r="H153" s="226">
        <f>H154</f>
        <v>10392.700000000001</v>
      </c>
      <c r="I153" s="265">
        <f t="shared" si="7"/>
        <v>10392.700000000001</v>
      </c>
    </row>
    <row r="154" spans="1:9" s="414" customFormat="1" x14ac:dyDescent="0.2">
      <c r="A154" s="202" t="s">
        <v>546</v>
      </c>
      <c r="B154" s="209" t="s">
        <v>1537</v>
      </c>
      <c r="C154" s="209">
        <v>620</v>
      </c>
      <c r="D154" s="265">
        <v>0</v>
      </c>
      <c r="E154" s="265">
        <f>'Функциональная 2021-2022'!H828</f>
        <v>10392.700000000001</v>
      </c>
      <c r="F154" s="265">
        <f t="shared" si="6"/>
        <v>10392.700000000001</v>
      </c>
      <c r="G154" s="226">
        <v>0</v>
      </c>
      <c r="H154" s="226">
        <f>'Функциональная 2021-2022'!N828</f>
        <v>10392.700000000001</v>
      </c>
      <c r="I154" s="265">
        <f t="shared" si="7"/>
        <v>10392.700000000001</v>
      </c>
    </row>
    <row r="155" spans="1:9" x14ac:dyDescent="0.2">
      <c r="A155" s="199" t="s">
        <v>900</v>
      </c>
      <c r="B155" s="212" t="s">
        <v>1293</v>
      </c>
      <c r="C155" s="212"/>
      <c r="D155" s="263">
        <v>127684.3</v>
      </c>
      <c r="E155" s="263">
        <f>E156+E162+E159</f>
        <v>127684.3</v>
      </c>
      <c r="F155" s="282">
        <f t="shared" si="6"/>
        <v>0</v>
      </c>
      <c r="G155" s="205">
        <v>4308.3</v>
      </c>
      <c r="H155" s="205">
        <f>H156+H162+H159</f>
        <v>4308.3</v>
      </c>
      <c r="I155" s="282">
        <f t="shared" si="7"/>
        <v>0</v>
      </c>
    </row>
    <row r="156" spans="1:9" ht="33.75" x14ac:dyDescent="0.2">
      <c r="A156" s="202" t="s">
        <v>1326</v>
      </c>
      <c r="B156" s="209" t="s">
        <v>1327</v>
      </c>
      <c r="C156" s="209"/>
      <c r="D156" s="265">
        <v>2310.3000000000002</v>
      </c>
      <c r="E156" s="265">
        <f>E157</f>
        <v>2310.3000000000002</v>
      </c>
      <c r="F156" s="281">
        <f t="shared" si="6"/>
        <v>0</v>
      </c>
      <c r="G156" s="226">
        <v>2308.3000000000002</v>
      </c>
      <c r="H156" s="226">
        <f>H157</f>
        <v>2308.3000000000002</v>
      </c>
      <c r="I156" s="281">
        <f t="shared" si="7"/>
        <v>0</v>
      </c>
    </row>
    <row r="157" spans="1:9" s="304" customFormat="1" x14ac:dyDescent="0.2">
      <c r="A157" s="202" t="s">
        <v>1347</v>
      </c>
      <c r="B157" s="209" t="s">
        <v>1327</v>
      </c>
      <c r="C157" s="209" t="s">
        <v>535</v>
      </c>
      <c r="D157" s="265">
        <v>2310.3000000000002</v>
      </c>
      <c r="E157" s="265">
        <f>E158</f>
        <v>2310.3000000000002</v>
      </c>
      <c r="F157" s="281">
        <f t="shared" si="6"/>
        <v>0</v>
      </c>
      <c r="G157" s="226">
        <v>2308.3000000000002</v>
      </c>
      <c r="H157" s="226">
        <f>H158</f>
        <v>2308.3000000000002</v>
      </c>
      <c r="I157" s="281">
        <f t="shared" si="7"/>
        <v>0</v>
      </c>
    </row>
    <row r="158" spans="1:9" s="304" customFormat="1" x14ac:dyDescent="0.2">
      <c r="A158" s="202" t="s">
        <v>534</v>
      </c>
      <c r="B158" s="209" t="s">
        <v>1327</v>
      </c>
      <c r="C158" s="209" t="s">
        <v>529</v>
      </c>
      <c r="D158" s="265">
        <v>2310.3000000000002</v>
      </c>
      <c r="E158" s="265">
        <f>'Функциональная 2021-2022'!H832</f>
        <v>2310.3000000000002</v>
      </c>
      <c r="F158" s="281">
        <v>0</v>
      </c>
      <c r="G158" s="226">
        <v>2308.3000000000002</v>
      </c>
      <c r="H158" s="226">
        <f>'Функциональная 2021-2022'!N832</f>
        <v>2308.3000000000002</v>
      </c>
      <c r="I158" s="281">
        <f t="shared" si="7"/>
        <v>0</v>
      </c>
    </row>
    <row r="159" spans="1:9" s="300" customFormat="1" ht="22.5" x14ac:dyDescent="0.2">
      <c r="A159" s="202" t="s">
        <v>1411</v>
      </c>
      <c r="B159" s="209" t="s">
        <v>1429</v>
      </c>
      <c r="C159" s="209"/>
      <c r="D159" s="265">
        <v>123374</v>
      </c>
      <c r="E159" s="265">
        <f>E160</f>
        <v>123374</v>
      </c>
      <c r="F159" s="281">
        <f t="shared" si="6"/>
        <v>0</v>
      </c>
      <c r="G159" s="226">
        <v>0</v>
      </c>
      <c r="H159" s="226">
        <f>H160</f>
        <v>0</v>
      </c>
      <c r="I159" s="265">
        <f t="shared" si="7"/>
        <v>0</v>
      </c>
    </row>
    <row r="160" spans="1:9" s="300" customFormat="1" x14ac:dyDescent="0.2">
      <c r="A160" s="202" t="s">
        <v>1347</v>
      </c>
      <c r="B160" s="209" t="s">
        <v>1429</v>
      </c>
      <c r="C160" s="209" t="s">
        <v>535</v>
      </c>
      <c r="D160" s="265">
        <v>123374</v>
      </c>
      <c r="E160" s="265">
        <f>E161</f>
        <v>123374</v>
      </c>
      <c r="F160" s="281">
        <f t="shared" si="6"/>
        <v>0</v>
      </c>
      <c r="G160" s="226">
        <v>0</v>
      </c>
      <c r="H160" s="226">
        <f>H161</f>
        <v>0</v>
      </c>
      <c r="I160" s="265">
        <f t="shared" si="7"/>
        <v>0</v>
      </c>
    </row>
    <row r="161" spans="1:9" s="300" customFormat="1" x14ac:dyDescent="0.2">
      <c r="A161" s="202" t="s">
        <v>534</v>
      </c>
      <c r="B161" s="209" t="s">
        <v>1429</v>
      </c>
      <c r="C161" s="209" t="s">
        <v>529</v>
      </c>
      <c r="D161" s="265">
        <v>123374</v>
      </c>
      <c r="E161" s="265">
        <f>'Функциональная 2021-2022'!H835</f>
        <v>123374</v>
      </c>
      <c r="F161" s="281">
        <f t="shared" si="6"/>
        <v>0</v>
      </c>
      <c r="G161" s="226">
        <v>0</v>
      </c>
      <c r="H161" s="226">
        <f>'Функциональная 2021-2022'!N835</f>
        <v>0</v>
      </c>
      <c r="I161" s="265">
        <f t="shared" si="7"/>
        <v>0</v>
      </c>
    </row>
    <row r="162" spans="1:9" x14ac:dyDescent="0.2">
      <c r="A162" s="202" t="s">
        <v>1328</v>
      </c>
      <c r="B162" s="209" t="s">
        <v>1329</v>
      </c>
      <c r="C162" s="209"/>
      <c r="D162" s="265">
        <v>2000</v>
      </c>
      <c r="E162" s="265">
        <f>E163</f>
        <v>2000</v>
      </c>
      <c r="F162" s="281">
        <f t="shared" si="6"/>
        <v>0</v>
      </c>
      <c r="G162" s="226">
        <v>2000</v>
      </c>
      <c r="H162" s="226">
        <f>H163</f>
        <v>2000</v>
      </c>
      <c r="I162" s="281">
        <f t="shared" si="7"/>
        <v>0</v>
      </c>
    </row>
    <row r="163" spans="1:9" s="304" customFormat="1" x14ac:dyDescent="0.2">
      <c r="A163" s="202" t="s">
        <v>1347</v>
      </c>
      <c r="B163" s="209" t="s">
        <v>1329</v>
      </c>
      <c r="C163" s="209" t="s">
        <v>535</v>
      </c>
      <c r="D163" s="265">
        <v>2000</v>
      </c>
      <c r="E163" s="265">
        <f>E164</f>
        <v>2000</v>
      </c>
      <c r="F163" s="281">
        <f t="shared" si="6"/>
        <v>0</v>
      </c>
      <c r="G163" s="226">
        <v>2000</v>
      </c>
      <c r="H163" s="226">
        <f>H164</f>
        <v>2000</v>
      </c>
      <c r="I163" s="281">
        <f t="shared" si="7"/>
        <v>0</v>
      </c>
    </row>
    <row r="164" spans="1:9" s="304" customFormat="1" x14ac:dyDescent="0.2">
      <c r="A164" s="202" t="s">
        <v>534</v>
      </c>
      <c r="B164" s="209" t="s">
        <v>1329</v>
      </c>
      <c r="C164" s="209" t="s">
        <v>529</v>
      </c>
      <c r="D164" s="265">
        <v>2000</v>
      </c>
      <c r="E164" s="265">
        <f>'Функциональная 2021-2022'!H838</f>
        <v>2000</v>
      </c>
      <c r="F164" s="281">
        <f t="shared" si="6"/>
        <v>0</v>
      </c>
      <c r="G164" s="226">
        <v>2000</v>
      </c>
      <c r="H164" s="226">
        <f>'Функциональная 2021-2022'!N838</f>
        <v>2000</v>
      </c>
      <c r="I164" s="281">
        <f t="shared" si="7"/>
        <v>0</v>
      </c>
    </row>
    <row r="165" spans="1:9" ht="22.5" x14ac:dyDescent="0.2">
      <c r="A165" s="199" t="s">
        <v>699</v>
      </c>
      <c r="B165" s="212" t="s">
        <v>698</v>
      </c>
      <c r="C165" s="212"/>
      <c r="D165" s="263">
        <v>329138</v>
      </c>
      <c r="E165" s="263">
        <f>E166+E171+E181+E176</f>
        <v>329138</v>
      </c>
      <c r="F165" s="282">
        <f t="shared" si="6"/>
        <v>0</v>
      </c>
      <c r="G165" s="205">
        <v>348595.5</v>
      </c>
      <c r="H165" s="205">
        <f>H166+H171+H181+H176</f>
        <v>348595.5</v>
      </c>
      <c r="I165" s="282">
        <f t="shared" si="7"/>
        <v>0</v>
      </c>
    </row>
    <row r="166" spans="1:9" ht="22.5" x14ac:dyDescent="0.2">
      <c r="A166" s="199" t="s">
        <v>697</v>
      </c>
      <c r="B166" s="212" t="s">
        <v>696</v>
      </c>
      <c r="C166" s="212"/>
      <c r="D166" s="263">
        <v>237842.6</v>
      </c>
      <c r="E166" s="263">
        <v>237842.6</v>
      </c>
      <c r="F166" s="263">
        <f t="shared" si="6"/>
        <v>0</v>
      </c>
      <c r="G166" s="205">
        <v>237842.6</v>
      </c>
      <c r="H166" s="205">
        <v>237842.6</v>
      </c>
      <c r="I166" s="263">
        <f t="shared" si="7"/>
        <v>0</v>
      </c>
    </row>
    <row r="167" spans="1:9" ht="22.5" x14ac:dyDescent="0.2">
      <c r="A167" s="202" t="s">
        <v>695</v>
      </c>
      <c r="B167" s="209" t="s">
        <v>694</v>
      </c>
      <c r="C167" s="209"/>
      <c r="D167" s="265">
        <v>237842.6</v>
      </c>
      <c r="E167" s="265">
        <v>237842.6</v>
      </c>
      <c r="F167" s="265">
        <f t="shared" si="6"/>
        <v>0</v>
      </c>
      <c r="G167" s="226">
        <v>237842.6</v>
      </c>
      <c r="H167" s="226">
        <v>237842.6</v>
      </c>
      <c r="I167" s="265">
        <f t="shared" si="7"/>
        <v>0</v>
      </c>
    </row>
    <row r="168" spans="1:9" x14ac:dyDescent="0.2">
      <c r="A168" s="202" t="s">
        <v>547</v>
      </c>
      <c r="B168" s="209" t="s">
        <v>694</v>
      </c>
      <c r="C168" s="209" t="s">
        <v>519</v>
      </c>
      <c r="D168" s="265">
        <v>237842.6</v>
      </c>
      <c r="E168" s="265">
        <v>237842.6</v>
      </c>
      <c r="F168" s="265">
        <f t="shared" si="6"/>
        <v>0</v>
      </c>
      <c r="G168" s="226">
        <v>237842.6</v>
      </c>
      <c r="H168" s="226">
        <v>237842.6</v>
      </c>
      <c r="I168" s="265">
        <f t="shared" si="7"/>
        <v>0</v>
      </c>
    </row>
    <row r="169" spans="1:9" x14ac:dyDescent="0.2">
      <c r="A169" s="202" t="s">
        <v>571</v>
      </c>
      <c r="B169" s="209" t="s">
        <v>694</v>
      </c>
      <c r="C169" s="209" t="s">
        <v>522</v>
      </c>
      <c r="D169" s="265">
        <v>208673.1</v>
      </c>
      <c r="E169" s="265">
        <v>208673.1</v>
      </c>
      <c r="F169" s="265">
        <f t="shared" si="6"/>
        <v>0</v>
      </c>
      <c r="G169" s="226">
        <v>208673.1</v>
      </c>
      <c r="H169" s="226">
        <v>208673.1</v>
      </c>
      <c r="I169" s="265">
        <f t="shared" si="7"/>
        <v>0</v>
      </c>
    </row>
    <row r="170" spans="1:9" x14ac:dyDescent="0.2">
      <c r="A170" s="202" t="s">
        <v>546</v>
      </c>
      <c r="B170" s="209" t="s">
        <v>694</v>
      </c>
      <c r="C170" s="209" t="s">
        <v>544</v>
      </c>
      <c r="D170" s="265">
        <v>29169.5</v>
      </c>
      <c r="E170" s="265">
        <v>29169.5</v>
      </c>
      <c r="F170" s="265">
        <f t="shared" si="6"/>
        <v>0</v>
      </c>
      <c r="G170" s="226">
        <v>29169.5</v>
      </c>
      <c r="H170" s="226">
        <v>29169.5</v>
      </c>
      <c r="I170" s="265">
        <f t="shared" si="7"/>
        <v>0</v>
      </c>
    </row>
    <row r="171" spans="1:9" ht="22.5" x14ac:dyDescent="0.2">
      <c r="A171" s="199" t="s">
        <v>693</v>
      </c>
      <c r="B171" s="212" t="s">
        <v>692</v>
      </c>
      <c r="C171" s="212"/>
      <c r="D171" s="263">
        <v>91295.4</v>
      </c>
      <c r="E171" s="263">
        <f>E172</f>
        <v>0</v>
      </c>
      <c r="F171" s="282">
        <f t="shared" si="6"/>
        <v>-91295.4</v>
      </c>
      <c r="G171" s="205">
        <v>91295.4</v>
      </c>
      <c r="H171" s="205">
        <f>H172</f>
        <v>0</v>
      </c>
      <c r="I171" s="282">
        <f t="shared" si="7"/>
        <v>-91295.4</v>
      </c>
    </row>
    <row r="172" spans="1:9" ht="22.5" x14ac:dyDescent="0.2">
      <c r="A172" s="202" t="s">
        <v>691</v>
      </c>
      <c r="B172" s="209" t="s">
        <v>690</v>
      </c>
      <c r="C172" s="209"/>
      <c r="D172" s="265">
        <v>91295.4</v>
      </c>
      <c r="E172" s="265">
        <f>E173</f>
        <v>0</v>
      </c>
      <c r="F172" s="281">
        <f t="shared" si="6"/>
        <v>-91295.4</v>
      </c>
      <c r="G172" s="226">
        <v>91295.4</v>
      </c>
      <c r="H172" s="226">
        <f>H173</f>
        <v>0</v>
      </c>
      <c r="I172" s="281">
        <f t="shared" si="7"/>
        <v>-91295.4</v>
      </c>
    </row>
    <row r="173" spans="1:9" x14ac:dyDescent="0.2">
      <c r="A173" s="202" t="s">
        <v>547</v>
      </c>
      <c r="B173" s="209" t="s">
        <v>690</v>
      </c>
      <c r="C173" s="209" t="s">
        <v>519</v>
      </c>
      <c r="D173" s="265">
        <v>91295.4</v>
      </c>
      <c r="E173" s="265">
        <f>E174+E175</f>
        <v>0</v>
      </c>
      <c r="F173" s="281">
        <f t="shared" si="6"/>
        <v>-91295.4</v>
      </c>
      <c r="G173" s="226">
        <v>91295.4</v>
      </c>
      <c r="H173" s="226">
        <f>H174+H175</f>
        <v>0</v>
      </c>
      <c r="I173" s="281">
        <f t="shared" si="7"/>
        <v>-91295.4</v>
      </c>
    </row>
    <row r="174" spans="1:9" x14ac:dyDescent="0.2">
      <c r="A174" s="202" t="s">
        <v>571</v>
      </c>
      <c r="B174" s="209" t="s">
        <v>690</v>
      </c>
      <c r="C174" s="209" t="s">
        <v>522</v>
      </c>
      <c r="D174" s="265">
        <v>80836.3</v>
      </c>
      <c r="E174" s="265">
        <f>'Функциональная 2021-2022'!H860</f>
        <v>0</v>
      </c>
      <c r="F174" s="281">
        <f t="shared" si="6"/>
        <v>-80836.3</v>
      </c>
      <c r="G174" s="226">
        <v>80836.3</v>
      </c>
      <c r="H174" s="226">
        <f>'Функциональная 2021-2022'!N860</f>
        <v>0</v>
      </c>
      <c r="I174" s="281">
        <f t="shared" si="7"/>
        <v>-80836.3</v>
      </c>
    </row>
    <row r="175" spans="1:9" x14ac:dyDescent="0.2">
      <c r="A175" s="202" t="s">
        <v>546</v>
      </c>
      <c r="B175" s="209" t="s">
        <v>690</v>
      </c>
      <c r="C175" s="209" t="s">
        <v>544</v>
      </c>
      <c r="D175" s="265">
        <v>10459.1</v>
      </c>
      <c r="E175" s="265">
        <f>'Функциональная 2021-2022'!H861</f>
        <v>0</v>
      </c>
      <c r="F175" s="281">
        <f t="shared" si="6"/>
        <v>-10459.1</v>
      </c>
      <c r="G175" s="226">
        <v>10459.1</v>
      </c>
      <c r="H175" s="226">
        <f>'Функциональная 2021-2022'!N861</f>
        <v>0</v>
      </c>
      <c r="I175" s="281">
        <f t="shared" si="7"/>
        <v>-10459.1</v>
      </c>
    </row>
    <row r="176" spans="1:9" s="444" customFormat="1" ht="22.5" x14ac:dyDescent="0.2">
      <c r="A176" s="199" t="s">
        <v>693</v>
      </c>
      <c r="B176" s="212" t="s">
        <v>1656</v>
      </c>
      <c r="C176" s="212"/>
      <c r="D176" s="263">
        <f>D177</f>
        <v>0</v>
      </c>
      <c r="E176" s="263">
        <f>E177</f>
        <v>91295.400000000009</v>
      </c>
      <c r="F176" s="282">
        <f t="shared" si="6"/>
        <v>91295.400000000009</v>
      </c>
      <c r="G176" s="205">
        <f>G177</f>
        <v>0</v>
      </c>
      <c r="H176" s="205">
        <f>H177</f>
        <v>91295.400000000009</v>
      </c>
      <c r="I176" s="282">
        <f t="shared" si="7"/>
        <v>91295.400000000009</v>
      </c>
    </row>
    <row r="177" spans="1:9" s="444" customFormat="1" ht="22.5" x14ac:dyDescent="0.2">
      <c r="A177" s="202" t="s">
        <v>691</v>
      </c>
      <c r="B177" s="209" t="s">
        <v>1657</v>
      </c>
      <c r="C177" s="209"/>
      <c r="D177" s="265">
        <f>D178</f>
        <v>0</v>
      </c>
      <c r="E177" s="265">
        <f>E178</f>
        <v>91295.400000000009</v>
      </c>
      <c r="F177" s="281">
        <f t="shared" si="6"/>
        <v>91295.400000000009</v>
      </c>
      <c r="G177" s="226">
        <f>G178</f>
        <v>0</v>
      </c>
      <c r="H177" s="226">
        <f>H178</f>
        <v>91295.400000000009</v>
      </c>
      <c r="I177" s="281">
        <f t="shared" si="7"/>
        <v>91295.400000000009</v>
      </c>
    </row>
    <row r="178" spans="1:9" s="444" customFormat="1" x14ac:dyDescent="0.2">
      <c r="A178" s="202" t="s">
        <v>547</v>
      </c>
      <c r="B178" s="209" t="s">
        <v>1657</v>
      </c>
      <c r="C178" s="209" t="s">
        <v>519</v>
      </c>
      <c r="D178" s="265">
        <f>D179+D180</f>
        <v>0</v>
      </c>
      <c r="E178" s="265">
        <f>E179+E180</f>
        <v>91295.400000000009</v>
      </c>
      <c r="F178" s="281">
        <f t="shared" si="6"/>
        <v>91295.400000000009</v>
      </c>
      <c r="G178" s="226">
        <f>G179+G180</f>
        <v>0</v>
      </c>
      <c r="H178" s="226">
        <f>H179+H180</f>
        <v>91295.400000000009</v>
      </c>
      <c r="I178" s="281">
        <f t="shared" si="7"/>
        <v>91295.400000000009</v>
      </c>
    </row>
    <row r="179" spans="1:9" s="444" customFormat="1" x14ac:dyDescent="0.2">
      <c r="A179" s="202" t="s">
        <v>571</v>
      </c>
      <c r="B179" s="209" t="s">
        <v>1657</v>
      </c>
      <c r="C179" s="209" t="s">
        <v>522</v>
      </c>
      <c r="D179" s="265">
        <v>0</v>
      </c>
      <c r="E179" s="265">
        <f>'Функциональная 2021-2022'!H865</f>
        <v>80836.3</v>
      </c>
      <c r="F179" s="281">
        <f t="shared" si="6"/>
        <v>80836.3</v>
      </c>
      <c r="G179" s="226">
        <v>0</v>
      </c>
      <c r="H179" s="226">
        <f>'Функциональная 2021-2022'!N865</f>
        <v>80836.3</v>
      </c>
      <c r="I179" s="281">
        <f t="shared" si="7"/>
        <v>80836.3</v>
      </c>
    </row>
    <row r="180" spans="1:9" s="444" customFormat="1" x14ac:dyDescent="0.2">
      <c r="A180" s="202" t="s">
        <v>546</v>
      </c>
      <c r="B180" s="209" t="s">
        <v>1657</v>
      </c>
      <c r="C180" s="209" t="s">
        <v>544</v>
      </c>
      <c r="D180" s="265">
        <v>0</v>
      </c>
      <c r="E180" s="265">
        <f>'Функциональная 2021-2022'!H866</f>
        <v>10459.1</v>
      </c>
      <c r="F180" s="281">
        <f t="shared" si="6"/>
        <v>10459.1</v>
      </c>
      <c r="G180" s="226">
        <v>0</v>
      </c>
      <c r="H180" s="226">
        <f>'Функциональная 2021-2022'!N866</f>
        <v>10459.1</v>
      </c>
      <c r="I180" s="281">
        <f t="shared" si="7"/>
        <v>10459.1</v>
      </c>
    </row>
    <row r="181" spans="1:9" x14ac:dyDescent="0.2">
      <c r="A181" s="199" t="s">
        <v>626</v>
      </c>
      <c r="B181" s="212" t="s">
        <v>1330</v>
      </c>
      <c r="C181" s="212"/>
      <c r="D181" s="263">
        <v>0</v>
      </c>
      <c r="E181" s="263">
        <f>E182</f>
        <v>0</v>
      </c>
      <c r="F181" s="263">
        <f t="shared" si="6"/>
        <v>0</v>
      </c>
      <c r="G181" s="205">
        <v>19457.5</v>
      </c>
      <c r="H181" s="205">
        <f>H182</f>
        <v>19457.5</v>
      </c>
      <c r="I181" s="263">
        <f t="shared" si="7"/>
        <v>0</v>
      </c>
    </row>
    <row r="182" spans="1:9" s="296" customFormat="1" ht="24" customHeight="1" x14ac:dyDescent="0.2">
      <c r="A182" s="202" t="s">
        <v>1407</v>
      </c>
      <c r="B182" s="209" t="s">
        <v>1430</v>
      </c>
      <c r="C182" s="209"/>
      <c r="D182" s="265">
        <v>0</v>
      </c>
      <c r="E182" s="265">
        <f>E183</f>
        <v>0</v>
      </c>
      <c r="F182" s="265">
        <f t="shared" si="6"/>
        <v>0</v>
      </c>
      <c r="G182" s="226">
        <v>19457.5</v>
      </c>
      <c r="H182" s="226">
        <f t="shared" ref="H182:H183" si="9">H183</f>
        <v>19457.5</v>
      </c>
      <c r="I182" s="281">
        <f t="shared" si="7"/>
        <v>0</v>
      </c>
    </row>
    <row r="183" spans="1:9" s="296" customFormat="1" x14ac:dyDescent="0.2">
      <c r="A183" s="202" t="s">
        <v>547</v>
      </c>
      <c r="B183" s="209" t="s">
        <v>1430</v>
      </c>
      <c r="C183" s="209" t="s">
        <v>519</v>
      </c>
      <c r="D183" s="265">
        <v>0</v>
      </c>
      <c r="E183" s="265">
        <f>E184</f>
        <v>0</v>
      </c>
      <c r="F183" s="265">
        <f t="shared" si="6"/>
        <v>0</v>
      </c>
      <c r="G183" s="226">
        <v>19457.5</v>
      </c>
      <c r="H183" s="226">
        <f t="shared" si="9"/>
        <v>19457.5</v>
      </c>
      <c r="I183" s="281">
        <f t="shared" si="7"/>
        <v>0</v>
      </c>
    </row>
    <row r="184" spans="1:9" s="296" customFormat="1" x14ac:dyDescent="0.2">
      <c r="A184" s="202" t="s">
        <v>571</v>
      </c>
      <c r="B184" s="209" t="s">
        <v>1430</v>
      </c>
      <c r="C184" s="209" t="s">
        <v>522</v>
      </c>
      <c r="D184" s="265">
        <v>0</v>
      </c>
      <c r="E184" s="265">
        <f>'Функциональная 2021-2022'!H870</f>
        <v>0</v>
      </c>
      <c r="F184" s="265">
        <f t="shared" si="6"/>
        <v>0</v>
      </c>
      <c r="G184" s="226">
        <v>19457.5</v>
      </c>
      <c r="H184" s="226">
        <f>'Функциональная 2021-2022'!N870</f>
        <v>19457.5</v>
      </c>
      <c r="I184" s="281">
        <f t="shared" si="7"/>
        <v>0</v>
      </c>
    </row>
    <row r="185" spans="1:9" x14ac:dyDescent="0.2">
      <c r="A185" s="199" t="s">
        <v>682</v>
      </c>
      <c r="B185" s="212" t="s">
        <v>681</v>
      </c>
      <c r="C185" s="212"/>
      <c r="D185" s="263">
        <v>20556.8</v>
      </c>
      <c r="E185" s="263">
        <v>20556.8</v>
      </c>
      <c r="F185" s="263">
        <f t="shared" si="6"/>
        <v>0</v>
      </c>
      <c r="G185" s="205">
        <v>20556.8</v>
      </c>
      <c r="H185" s="205">
        <v>20556.8</v>
      </c>
      <c r="I185" s="263">
        <f t="shared" si="7"/>
        <v>0</v>
      </c>
    </row>
    <row r="186" spans="1:9" ht="22.5" x14ac:dyDescent="0.2">
      <c r="A186" s="199" t="s">
        <v>600</v>
      </c>
      <c r="B186" s="212" t="s">
        <v>680</v>
      </c>
      <c r="C186" s="212"/>
      <c r="D186" s="263">
        <v>20556.8</v>
      </c>
      <c r="E186" s="263">
        <v>20556.8</v>
      </c>
      <c r="F186" s="263">
        <f t="shared" si="6"/>
        <v>0</v>
      </c>
      <c r="G186" s="205">
        <v>20556.8</v>
      </c>
      <c r="H186" s="205">
        <v>20556.8</v>
      </c>
      <c r="I186" s="263">
        <f t="shared" si="7"/>
        <v>0</v>
      </c>
    </row>
    <row r="187" spans="1:9" x14ac:dyDescent="0.2">
      <c r="A187" s="202" t="s">
        <v>679</v>
      </c>
      <c r="B187" s="209" t="s">
        <v>678</v>
      </c>
      <c r="C187" s="209"/>
      <c r="D187" s="265">
        <v>3089</v>
      </c>
      <c r="E187" s="265">
        <v>3089</v>
      </c>
      <c r="F187" s="265">
        <f t="shared" si="6"/>
        <v>0</v>
      </c>
      <c r="G187" s="226">
        <v>3089</v>
      </c>
      <c r="H187" s="226">
        <v>3089</v>
      </c>
      <c r="I187" s="265">
        <f t="shared" si="7"/>
        <v>0</v>
      </c>
    </row>
    <row r="188" spans="1:9" x14ac:dyDescent="0.2">
      <c r="A188" s="202" t="s">
        <v>547</v>
      </c>
      <c r="B188" s="209" t="s">
        <v>678</v>
      </c>
      <c r="C188" s="209" t="s">
        <v>519</v>
      </c>
      <c r="D188" s="265">
        <v>3089</v>
      </c>
      <c r="E188" s="265">
        <v>3089</v>
      </c>
      <c r="F188" s="265">
        <f t="shared" si="6"/>
        <v>0</v>
      </c>
      <c r="G188" s="226">
        <v>3089</v>
      </c>
      <c r="H188" s="226">
        <v>3089</v>
      </c>
      <c r="I188" s="265">
        <f t="shared" si="7"/>
        <v>0</v>
      </c>
    </row>
    <row r="189" spans="1:9" x14ac:dyDescent="0.2">
      <c r="A189" s="202" t="s">
        <v>571</v>
      </c>
      <c r="B189" s="209" t="s">
        <v>678</v>
      </c>
      <c r="C189" s="209" t="s">
        <v>522</v>
      </c>
      <c r="D189" s="265">
        <v>3089</v>
      </c>
      <c r="E189" s="265">
        <v>3089</v>
      </c>
      <c r="F189" s="265">
        <f t="shared" si="6"/>
        <v>0</v>
      </c>
      <c r="G189" s="226">
        <v>3089</v>
      </c>
      <c r="H189" s="226">
        <v>3089</v>
      </c>
      <c r="I189" s="265">
        <f t="shared" si="7"/>
        <v>0</v>
      </c>
    </row>
    <row r="190" spans="1:9" x14ac:dyDescent="0.2">
      <c r="A190" s="202" t="s">
        <v>677</v>
      </c>
      <c r="B190" s="209" t="s">
        <v>676</v>
      </c>
      <c r="C190" s="209"/>
      <c r="D190" s="265">
        <v>17467.8</v>
      </c>
      <c r="E190" s="265">
        <v>17467.8</v>
      </c>
      <c r="F190" s="265">
        <f t="shared" si="6"/>
        <v>0</v>
      </c>
      <c r="G190" s="226">
        <v>17467.8</v>
      </c>
      <c r="H190" s="226">
        <v>17467.8</v>
      </c>
      <c r="I190" s="265">
        <f t="shared" si="7"/>
        <v>0</v>
      </c>
    </row>
    <row r="191" spans="1:9" x14ac:dyDescent="0.2">
      <c r="A191" s="202" t="s">
        <v>547</v>
      </c>
      <c r="B191" s="209" t="s">
        <v>676</v>
      </c>
      <c r="C191" s="209" t="s">
        <v>519</v>
      </c>
      <c r="D191" s="265">
        <v>17467.8</v>
      </c>
      <c r="E191" s="265">
        <v>17467.8</v>
      </c>
      <c r="F191" s="265">
        <f t="shared" si="6"/>
        <v>0</v>
      </c>
      <c r="G191" s="226">
        <v>17467.8</v>
      </c>
      <c r="H191" s="226">
        <v>17467.8</v>
      </c>
      <c r="I191" s="265">
        <f t="shared" si="7"/>
        <v>0</v>
      </c>
    </row>
    <row r="192" spans="1:9" x14ac:dyDescent="0.2">
      <c r="A192" s="202" t="s">
        <v>571</v>
      </c>
      <c r="B192" s="209" t="s">
        <v>676</v>
      </c>
      <c r="C192" s="209" t="s">
        <v>522</v>
      </c>
      <c r="D192" s="265">
        <v>17467.8</v>
      </c>
      <c r="E192" s="265">
        <v>17467.8</v>
      </c>
      <c r="F192" s="265">
        <f t="shared" si="6"/>
        <v>0</v>
      </c>
      <c r="G192" s="226">
        <v>17467.8</v>
      </c>
      <c r="H192" s="226">
        <v>17467.8</v>
      </c>
      <c r="I192" s="265">
        <f t="shared" si="7"/>
        <v>0</v>
      </c>
    </row>
    <row r="193" spans="1:9" x14ac:dyDescent="0.2">
      <c r="A193" s="199" t="s">
        <v>568</v>
      </c>
      <c r="B193" s="212" t="s">
        <v>567</v>
      </c>
      <c r="C193" s="212"/>
      <c r="D193" s="263">
        <v>202299.5</v>
      </c>
      <c r="E193" s="263">
        <f>E194+E218+E244+E251</f>
        <v>202299.5</v>
      </c>
      <c r="F193" s="263">
        <f t="shared" si="6"/>
        <v>0</v>
      </c>
      <c r="G193" s="205">
        <v>240331.6</v>
      </c>
      <c r="H193" s="205">
        <f>H194+H218+H244+H251</f>
        <v>240331.6</v>
      </c>
      <c r="I193" s="263">
        <f t="shared" si="7"/>
        <v>0</v>
      </c>
    </row>
    <row r="194" spans="1:9" x14ac:dyDescent="0.2">
      <c r="A194" s="199" t="s">
        <v>855</v>
      </c>
      <c r="B194" s="212" t="s">
        <v>854</v>
      </c>
      <c r="C194" s="212"/>
      <c r="D194" s="263">
        <v>168095</v>
      </c>
      <c r="E194" s="263">
        <v>168095</v>
      </c>
      <c r="F194" s="263">
        <f t="shared" si="6"/>
        <v>0</v>
      </c>
      <c r="G194" s="205">
        <v>208727.1</v>
      </c>
      <c r="H194" s="205">
        <v>208727.1</v>
      </c>
      <c r="I194" s="263">
        <f t="shared" si="7"/>
        <v>0</v>
      </c>
    </row>
    <row r="195" spans="1:9" ht="33.75" x14ac:dyDescent="0.2">
      <c r="A195" s="199" t="s">
        <v>853</v>
      </c>
      <c r="B195" s="212" t="s">
        <v>852</v>
      </c>
      <c r="C195" s="212"/>
      <c r="D195" s="263">
        <v>140995</v>
      </c>
      <c r="E195" s="263">
        <v>140995</v>
      </c>
      <c r="F195" s="263">
        <f t="shared" si="6"/>
        <v>0</v>
      </c>
      <c r="G195" s="205">
        <v>146469</v>
      </c>
      <c r="H195" s="205">
        <v>146469</v>
      </c>
      <c r="I195" s="263">
        <f t="shared" si="7"/>
        <v>0</v>
      </c>
    </row>
    <row r="196" spans="1:9" x14ac:dyDescent="0.2">
      <c r="A196" s="202" t="s">
        <v>851</v>
      </c>
      <c r="B196" s="209" t="s">
        <v>850</v>
      </c>
      <c r="C196" s="209"/>
      <c r="D196" s="265">
        <v>130337</v>
      </c>
      <c r="E196" s="265">
        <v>130337</v>
      </c>
      <c r="F196" s="265">
        <f t="shared" si="6"/>
        <v>0</v>
      </c>
      <c r="G196" s="226">
        <v>135811</v>
      </c>
      <c r="H196" s="226">
        <v>135811</v>
      </c>
      <c r="I196" s="265">
        <f t="shared" si="7"/>
        <v>0</v>
      </c>
    </row>
    <row r="197" spans="1:9" x14ac:dyDescent="0.2">
      <c r="A197" s="202" t="s">
        <v>1347</v>
      </c>
      <c r="B197" s="209" t="s">
        <v>850</v>
      </c>
      <c r="C197" s="209" t="s">
        <v>535</v>
      </c>
      <c r="D197" s="265">
        <v>974.1</v>
      </c>
      <c r="E197" s="265">
        <v>974.1</v>
      </c>
      <c r="F197" s="265">
        <f t="shared" si="6"/>
        <v>0</v>
      </c>
      <c r="G197" s="226">
        <v>1015.1</v>
      </c>
      <c r="H197" s="226">
        <v>1015.1</v>
      </c>
      <c r="I197" s="265">
        <f t="shared" si="7"/>
        <v>0</v>
      </c>
    </row>
    <row r="198" spans="1:9" x14ac:dyDescent="0.2">
      <c r="A198" s="202" t="s">
        <v>534</v>
      </c>
      <c r="B198" s="209" t="s">
        <v>850</v>
      </c>
      <c r="C198" s="209" t="s">
        <v>529</v>
      </c>
      <c r="D198" s="265">
        <v>974.1</v>
      </c>
      <c r="E198" s="265">
        <v>974.1</v>
      </c>
      <c r="F198" s="265">
        <f t="shared" si="6"/>
        <v>0</v>
      </c>
      <c r="G198" s="226">
        <v>1015.1</v>
      </c>
      <c r="H198" s="226">
        <v>1015.1</v>
      </c>
      <c r="I198" s="265">
        <f t="shared" si="7"/>
        <v>0</v>
      </c>
    </row>
    <row r="199" spans="1:9" x14ac:dyDescent="0.2">
      <c r="A199" s="202" t="s">
        <v>553</v>
      </c>
      <c r="B199" s="209" t="s">
        <v>850</v>
      </c>
      <c r="C199" s="209" t="s">
        <v>552</v>
      </c>
      <c r="D199" s="265">
        <v>129362.9</v>
      </c>
      <c r="E199" s="265">
        <v>129362.9</v>
      </c>
      <c r="F199" s="265">
        <f t="shared" si="6"/>
        <v>0</v>
      </c>
      <c r="G199" s="226">
        <v>134795.9</v>
      </c>
      <c r="H199" s="226">
        <v>134795.9</v>
      </c>
      <c r="I199" s="265">
        <f t="shared" si="7"/>
        <v>0</v>
      </c>
    </row>
    <row r="200" spans="1:9" x14ac:dyDescent="0.2">
      <c r="A200" s="202" t="s">
        <v>832</v>
      </c>
      <c r="B200" s="209" t="s">
        <v>850</v>
      </c>
      <c r="C200" s="209" t="s">
        <v>830</v>
      </c>
      <c r="D200" s="265">
        <v>129362.9</v>
      </c>
      <c r="E200" s="265">
        <v>129362.9</v>
      </c>
      <c r="F200" s="265">
        <f t="shared" si="6"/>
        <v>0</v>
      </c>
      <c r="G200" s="226">
        <v>134795.9</v>
      </c>
      <c r="H200" s="226">
        <v>134795.9</v>
      </c>
      <c r="I200" s="265">
        <f t="shared" si="7"/>
        <v>0</v>
      </c>
    </row>
    <row r="201" spans="1:9" x14ac:dyDescent="0.2">
      <c r="A201" s="202" t="s">
        <v>1253</v>
      </c>
      <c r="B201" s="209" t="s">
        <v>1252</v>
      </c>
      <c r="C201" s="209"/>
      <c r="D201" s="265">
        <v>10658</v>
      </c>
      <c r="E201" s="265">
        <v>10658</v>
      </c>
      <c r="F201" s="265">
        <f t="shared" si="6"/>
        <v>0</v>
      </c>
      <c r="G201" s="226">
        <v>10658</v>
      </c>
      <c r="H201" s="226">
        <v>10658</v>
      </c>
      <c r="I201" s="265">
        <f t="shared" si="7"/>
        <v>0</v>
      </c>
    </row>
    <row r="202" spans="1:9" ht="22.5" x14ac:dyDescent="0.2">
      <c r="A202" s="202" t="s">
        <v>1348</v>
      </c>
      <c r="B202" s="209" t="s">
        <v>1252</v>
      </c>
      <c r="C202" s="209" t="s">
        <v>556</v>
      </c>
      <c r="D202" s="265">
        <v>9543.4</v>
      </c>
      <c r="E202" s="265">
        <v>9543.4</v>
      </c>
      <c r="F202" s="265">
        <f t="shared" si="6"/>
        <v>0</v>
      </c>
      <c r="G202" s="226">
        <v>9543.4</v>
      </c>
      <c r="H202" s="226">
        <v>9543.4</v>
      </c>
      <c r="I202" s="265">
        <f t="shared" si="7"/>
        <v>0</v>
      </c>
    </row>
    <row r="203" spans="1:9" x14ac:dyDescent="0.2">
      <c r="A203" s="202" t="s">
        <v>749</v>
      </c>
      <c r="B203" s="209" t="s">
        <v>1252</v>
      </c>
      <c r="C203" s="209" t="s">
        <v>745</v>
      </c>
      <c r="D203" s="265">
        <v>9543.4</v>
      </c>
      <c r="E203" s="265">
        <v>9543.4</v>
      </c>
      <c r="F203" s="265">
        <f t="shared" si="6"/>
        <v>0</v>
      </c>
      <c r="G203" s="226">
        <v>9543.4</v>
      </c>
      <c r="H203" s="226">
        <v>9543.4</v>
      </c>
      <c r="I203" s="265">
        <f t="shared" si="7"/>
        <v>0</v>
      </c>
    </row>
    <row r="204" spans="1:9" x14ac:dyDescent="0.2">
      <c r="A204" s="202" t="s">
        <v>1347</v>
      </c>
      <c r="B204" s="209" t="s">
        <v>1252</v>
      </c>
      <c r="C204" s="209" t="s">
        <v>535</v>
      </c>
      <c r="D204" s="265">
        <v>1114.5999999999999</v>
      </c>
      <c r="E204" s="265">
        <v>1114.5999999999999</v>
      </c>
      <c r="F204" s="265">
        <f t="shared" si="6"/>
        <v>0</v>
      </c>
      <c r="G204" s="226">
        <v>1114.5999999999999</v>
      </c>
      <c r="H204" s="226">
        <v>1114.5999999999999</v>
      </c>
      <c r="I204" s="265">
        <f t="shared" si="7"/>
        <v>0</v>
      </c>
    </row>
    <row r="205" spans="1:9" x14ac:dyDescent="0.2">
      <c r="A205" s="202" t="s">
        <v>534</v>
      </c>
      <c r="B205" s="209" t="s">
        <v>1252</v>
      </c>
      <c r="C205" s="209" t="s">
        <v>529</v>
      </c>
      <c r="D205" s="265">
        <v>1114.5999999999999</v>
      </c>
      <c r="E205" s="265">
        <v>1114.5999999999999</v>
      </c>
      <c r="F205" s="265">
        <f t="shared" si="6"/>
        <v>0</v>
      </c>
      <c r="G205" s="226">
        <v>1114.5999999999999</v>
      </c>
      <c r="H205" s="226">
        <v>1114.5999999999999</v>
      </c>
      <c r="I205" s="265">
        <f t="shared" si="7"/>
        <v>0</v>
      </c>
    </row>
    <row r="206" spans="1:9" x14ac:dyDescent="0.2">
      <c r="A206" s="199" t="s">
        <v>1312</v>
      </c>
      <c r="B206" s="212" t="s">
        <v>1313</v>
      </c>
      <c r="C206" s="212"/>
      <c r="D206" s="263">
        <v>0</v>
      </c>
      <c r="E206" s="263">
        <v>0</v>
      </c>
      <c r="F206" s="263">
        <f t="shared" si="6"/>
        <v>0</v>
      </c>
      <c r="G206" s="205">
        <v>7280.3</v>
      </c>
      <c r="H206" s="205">
        <v>7280.3</v>
      </c>
      <c r="I206" s="263">
        <f t="shared" si="7"/>
        <v>0</v>
      </c>
    </row>
    <row r="207" spans="1:9" x14ac:dyDescent="0.2">
      <c r="A207" s="202" t="s">
        <v>1314</v>
      </c>
      <c r="B207" s="209" t="s">
        <v>1315</v>
      </c>
      <c r="C207" s="209"/>
      <c r="D207" s="265">
        <v>0</v>
      </c>
      <c r="E207" s="265">
        <v>0</v>
      </c>
      <c r="F207" s="265">
        <f t="shared" si="6"/>
        <v>0</v>
      </c>
      <c r="G207" s="226">
        <v>7280.3</v>
      </c>
      <c r="H207" s="226">
        <v>7280.3</v>
      </c>
      <c r="I207" s="265">
        <f t="shared" si="7"/>
        <v>0</v>
      </c>
    </row>
    <row r="208" spans="1:9" x14ac:dyDescent="0.2">
      <c r="A208" s="202" t="s">
        <v>1347</v>
      </c>
      <c r="B208" s="209" t="s">
        <v>1315</v>
      </c>
      <c r="C208" s="209" t="s">
        <v>535</v>
      </c>
      <c r="D208" s="265">
        <v>0</v>
      </c>
      <c r="E208" s="265">
        <v>0</v>
      </c>
      <c r="F208" s="265">
        <f t="shared" si="6"/>
        <v>0</v>
      </c>
      <c r="G208" s="226">
        <v>7280.3</v>
      </c>
      <c r="H208" s="226">
        <v>7280.3</v>
      </c>
      <c r="I208" s="265">
        <f t="shared" si="7"/>
        <v>0</v>
      </c>
    </row>
    <row r="209" spans="1:9" x14ac:dyDescent="0.2">
      <c r="A209" s="202" t="s">
        <v>534</v>
      </c>
      <c r="B209" s="209" t="s">
        <v>1315</v>
      </c>
      <c r="C209" s="209" t="s">
        <v>529</v>
      </c>
      <c r="D209" s="265">
        <v>0</v>
      </c>
      <c r="E209" s="265">
        <v>0</v>
      </c>
      <c r="F209" s="265">
        <f t="shared" si="6"/>
        <v>0</v>
      </c>
      <c r="G209" s="226">
        <v>7280.3</v>
      </c>
      <c r="H209" s="226">
        <v>7280.3</v>
      </c>
      <c r="I209" s="265">
        <f t="shared" si="7"/>
        <v>0</v>
      </c>
    </row>
    <row r="210" spans="1:9" ht="22.5" x14ac:dyDescent="0.2">
      <c r="A210" s="199" t="s">
        <v>868</v>
      </c>
      <c r="B210" s="212" t="s">
        <v>867</v>
      </c>
      <c r="C210" s="212"/>
      <c r="D210" s="263">
        <v>27100</v>
      </c>
      <c r="E210" s="263">
        <v>27100</v>
      </c>
      <c r="F210" s="263">
        <f t="shared" si="6"/>
        <v>0</v>
      </c>
      <c r="G210" s="205">
        <v>27100</v>
      </c>
      <c r="H210" s="205">
        <v>27100</v>
      </c>
      <c r="I210" s="263">
        <f t="shared" si="7"/>
        <v>0</v>
      </c>
    </row>
    <row r="211" spans="1:9" ht="22.5" x14ac:dyDescent="0.2">
      <c r="A211" s="202" t="s">
        <v>866</v>
      </c>
      <c r="B211" s="209" t="s">
        <v>865</v>
      </c>
      <c r="C211" s="209"/>
      <c r="D211" s="265">
        <v>27100</v>
      </c>
      <c r="E211" s="265">
        <v>27100</v>
      </c>
      <c r="F211" s="265">
        <f t="shared" si="6"/>
        <v>0</v>
      </c>
      <c r="G211" s="226">
        <v>27100</v>
      </c>
      <c r="H211" s="226">
        <v>27100</v>
      </c>
      <c r="I211" s="265">
        <f t="shared" si="7"/>
        <v>0</v>
      </c>
    </row>
    <row r="212" spans="1:9" x14ac:dyDescent="0.2">
      <c r="A212" s="202" t="s">
        <v>553</v>
      </c>
      <c r="B212" s="209" t="s">
        <v>865</v>
      </c>
      <c r="C212" s="209" t="s">
        <v>552</v>
      </c>
      <c r="D212" s="265">
        <v>27100</v>
      </c>
      <c r="E212" s="265">
        <v>27100</v>
      </c>
      <c r="F212" s="265">
        <f t="shared" si="6"/>
        <v>0</v>
      </c>
      <c r="G212" s="226">
        <v>27100</v>
      </c>
      <c r="H212" s="226">
        <v>27100</v>
      </c>
      <c r="I212" s="265">
        <f t="shared" si="7"/>
        <v>0</v>
      </c>
    </row>
    <row r="213" spans="1:9" x14ac:dyDescent="0.2">
      <c r="A213" s="202" t="s">
        <v>832</v>
      </c>
      <c r="B213" s="209" t="s">
        <v>865</v>
      </c>
      <c r="C213" s="209" t="s">
        <v>830</v>
      </c>
      <c r="D213" s="265">
        <v>27100</v>
      </c>
      <c r="E213" s="265">
        <v>27100</v>
      </c>
      <c r="F213" s="265">
        <f t="shared" si="6"/>
        <v>0</v>
      </c>
      <c r="G213" s="226">
        <v>27100</v>
      </c>
      <c r="H213" s="226">
        <v>27100</v>
      </c>
      <c r="I213" s="265">
        <f t="shared" si="7"/>
        <v>0</v>
      </c>
    </row>
    <row r="214" spans="1:9" ht="22.5" x14ac:dyDescent="0.2">
      <c r="A214" s="199" t="s">
        <v>1294</v>
      </c>
      <c r="B214" s="212" t="s">
        <v>1295</v>
      </c>
      <c r="C214" s="212"/>
      <c r="D214" s="263">
        <v>0</v>
      </c>
      <c r="E214" s="263">
        <v>0</v>
      </c>
      <c r="F214" s="263">
        <f t="shared" si="6"/>
        <v>0</v>
      </c>
      <c r="G214" s="205">
        <v>27877.8</v>
      </c>
      <c r="H214" s="205">
        <v>27877.8</v>
      </c>
      <c r="I214" s="263">
        <f t="shared" si="7"/>
        <v>0</v>
      </c>
    </row>
    <row r="215" spans="1:9" x14ac:dyDescent="0.2">
      <c r="A215" s="202" t="s">
        <v>1296</v>
      </c>
      <c r="B215" s="209" t="s">
        <v>1297</v>
      </c>
      <c r="C215" s="209"/>
      <c r="D215" s="265">
        <v>0</v>
      </c>
      <c r="E215" s="265">
        <v>0</v>
      </c>
      <c r="F215" s="265">
        <f t="shared" si="6"/>
        <v>0</v>
      </c>
      <c r="G215" s="226">
        <v>27877.8</v>
      </c>
      <c r="H215" s="226">
        <v>27877.8</v>
      </c>
      <c r="I215" s="265">
        <f t="shared" si="7"/>
        <v>0</v>
      </c>
    </row>
    <row r="216" spans="1:9" x14ac:dyDescent="0.2">
      <c r="A216" s="202" t="s">
        <v>553</v>
      </c>
      <c r="B216" s="209" t="s">
        <v>1297</v>
      </c>
      <c r="C216" s="209" t="s">
        <v>552</v>
      </c>
      <c r="D216" s="265">
        <v>0</v>
      </c>
      <c r="E216" s="265">
        <v>0</v>
      </c>
      <c r="F216" s="265">
        <f t="shared" si="6"/>
        <v>0</v>
      </c>
      <c r="G216" s="226">
        <v>27877.8</v>
      </c>
      <c r="H216" s="226">
        <v>27877.8</v>
      </c>
      <c r="I216" s="265">
        <f t="shared" si="7"/>
        <v>0</v>
      </c>
    </row>
    <row r="217" spans="1:9" x14ac:dyDescent="0.2">
      <c r="A217" s="202" t="s">
        <v>832</v>
      </c>
      <c r="B217" s="209" t="s">
        <v>1297</v>
      </c>
      <c r="C217" s="209" t="s">
        <v>830</v>
      </c>
      <c r="D217" s="265">
        <v>0</v>
      </c>
      <c r="E217" s="265">
        <v>0</v>
      </c>
      <c r="F217" s="265">
        <f t="shared" si="6"/>
        <v>0</v>
      </c>
      <c r="G217" s="226">
        <v>27877.8</v>
      </c>
      <c r="H217" s="226">
        <v>27877.8</v>
      </c>
      <c r="I217" s="265">
        <f t="shared" si="7"/>
        <v>0</v>
      </c>
    </row>
    <row r="218" spans="1:9" x14ac:dyDescent="0.2">
      <c r="A218" s="199" t="s">
        <v>566</v>
      </c>
      <c r="B218" s="212" t="s">
        <v>565</v>
      </c>
      <c r="C218" s="212"/>
      <c r="D218" s="263">
        <v>6625</v>
      </c>
      <c r="E218" s="263">
        <f>E219+E236</f>
        <v>6625</v>
      </c>
      <c r="F218" s="263">
        <f t="shared" si="6"/>
        <v>0</v>
      </c>
      <c r="G218" s="205">
        <v>4025</v>
      </c>
      <c r="H218" s="205">
        <v>4025</v>
      </c>
      <c r="I218" s="263">
        <f t="shared" si="7"/>
        <v>0</v>
      </c>
    </row>
    <row r="219" spans="1:9" ht="24" customHeight="1" x14ac:dyDescent="0.2">
      <c r="A219" s="199" t="s">
        <v>1387</v>
      </c>
      <c r="B219" s="212" t="s">
        <v>578</v>
      </c>
      <c r="C219" s="212"/>
      <c r="D219" s="263">
        <v>6260</v>
      </c>
      <c r="E219" s="263">
        <f>E220+E223+E227+E230+E233</f>
        <v>6260</v>
      </c>
      <c r="F219" s="263">
        <f t="shared" si="6"/>
        <v>0</v>
      </c>
      <c r="G219" s="205">
        <v>3660</v>
      </c>
      <c r="H219" s="205">
        <v>3660</v>
      </c>
      <c r="I219" s="263">
        <f t="shared" si="7"/>
        <v>0</v>
      </c>
    </row>
    <row r="220" spans="1:9" ht="22.5" x14ac:dyDescent="0.2">
      <c r="A220" s="202" t="s">
        <v>914</v>
      </c>
      <c r="B220" s="209" t="s">
        <v>913</v>
      </c>
      <c r="C220" s="209"/>
      <c r="D220" s="265">
        <v>800</v>
      </c>
      <c r="E220" s="265">
        <v>800</v>
      </c>
      <c r="F220" s="265">
        <f t="shared" si="6"/>
        <v>0</v>
      </c>
      <c r="G220" s="226">
        <v>800</v>
      </c>
      <c r="H220" s="226">
        <v>800</v>
      </c>
      <c r="I220" s="265">
        <f t="shared" si="7"/>
        <v>0</v>
      </c>
    </row>
    <row r="221" spans="1:9" x14ac:dyDescent="0.2">
      <c r="A221" s="202" t="s">
        <v>1347</v>
      </c>
      <c r="B221" s="209" t="s">
        <v>913</v>
      </c>
      <c r="C221" s="209" t="s">
        <v>535</v>
      </c>
      <c r="D221" s="265">
        <v>800</v>
      </c>
      <c r="E221" s="265">
        <v>800</v>
      </c>
      <c r="F221" s="265">
        <f t="shared" si="6"/>
        <v>0</v>
      </c>
      <c r="G221" s="226">
        <v>800</v>
      </c>
      <c r="H221" s="226">
        <v>800</v>
      </c>
      <c r="I221" s="265">
        <f t="shared" si="7"/>
        <v>0</v>
      </c>
    </row>
    <row r="222" spans="1:9" x14ac:dyDescent="0.2">
      <c r="A222" s="202" t="s">
        <v>534</v>
      </c>
      <c r="B222" s="209" t="s">
        <v>913</v>
      </c>
      <c r="C222" s="209" t="s">
        <v>529</v>
      </c>
      <c r="D222" s="265">
        <v>800</v>
      </c>
      <c r="E222" s="265">
        <v>800</v>
      </c>
      <c r="F222" s="265">
        <f t="shared" si="6"/>
        <v>0</v>
      </c>
      <c r="G222" s="226">
        <v>800</v>
      </c>
      <c r="H222" s="226">
        <v>800</v>
      </c>
      <c r="I222" s="265">
        <f t="shared" si="7"/>
        <v>0</v>
      </c>
    </row>
    <row r="223" spans="1:9" ht="25.5" customHeight="1" x14ac:dyDescent="0.2">
      <c r="A223" s="202" t="s">
        <v>1388</v>
      </c>
      <c r="B223" s="209" t="s">
        <v>577</v>
      </c>
      <c r="C223" s="209"/>
      <c r="D223" s="265">
        <v>860</v>
      </c>
      <c r="E223" s="265">
        <f>E224</f>
        <v>860</v>
      </c>
      <c r="F223" s="265">
        <f t="shared" ref="F223:F290" si="10">E223-D223</f>
        <v>0</v>
      </c>
      <c r="G223" s="226">
        <v>860</v>
      </c>
      <c r="H223" s="226">
        <f>H224</f>
        <v>860</v>
      </c>
      <c r="I223" s="265">
        <f t="shared" ref="I223:I290" si="11">H223-G223</f>
        <v>0</v>
      </c>
    </row>
    <row r="224" spans="1:9" x14ac:dyDescent="0.2">
      <c r="A224" s="202" t="s">
        <v>547</v>
      </c>
      <c r="B224" s="209" t="s">
        <v>577</v>
      </c>
      <c r="C224" s="209" t="s">
        <v>519</v>
      </c>
      <c r="D224" s="265">
        <v>860</v>
      </c>
      <c r="E224" s="265">
        <f>E225+E226</f>
        <v>860</v>
      </c>
      <c r="F224" s="265">
        <f t="shared" si="10"/>
        <v>0</v>
      </c>
      <c r="G224" s="226">
        <v>860</v>
      </c>
      <c r="H224" s="226">
        <f>H225+H226</f>
        <v>860</v>
      </c>
      <c r="I224" s="265">
        <f t="shared" si="11"/>
        <v>0</v>
      </c>
    </row>
    <row r="225" spans="1:9" x14ac:dyDescent="0.2">
      <c r="A225" s="202" t="s">
        <v>571</v>
      </c>
      <c r="B225" s="209" t="s">
        <v>577</v>
      </c>
      <c r="C225" s="209" t="s">
        <v>522</v>
      </c>
      <c r="D225" s="265">
        <v>110</v>
      </c>
      <c r="E225" s="265">
        <f>410-300</f>
        <v>110</v>
      </c>
      <c r="F225" s="281">
        <f t="shared" si="10"/>
        <v>0</v>
      </c>
      <c r="G225" s="226">
        <v>110</v>
      </c>
      <c r="H225" s="226">
        <f>410-300</f>
        <v>110</v>
      </c>
      <c r="I225" s="281">
        <f t="shared" si="11"/>
        <v>0</v>
      </c>
    </row>
    <row r="226" spans="1:9" x14ac:dyDescent="0.2">
      <c r="A226" s="202" t="s">
        <v>546</v>
      </c>
      <c r="B226" s="209" t="s">
        <v>577</v>
      </c>
      <c r="C226" s="209" t="s">
        <v>544</v>
      </c>
      <c r="D226" s="265">
        <v>750</v>
      </c>
      <c r="E226" s="265">
        <f>450+300</f>
        <v>750</v>
      </c>
      <c r="F226" s="265">
        <f t="shared" si="10"/>
        <v>0</v>
      </c>
      <c r="G226" s="226">
        <v>750</v>
      </c>
      <c r="H226" s="226">
        <f>450+300</f>
        <v>750</v>
      </c>
      <c r="I226" s="265">
        <f t="shared" si="11"/>
        <v>0</v>
      </c>
    </row>
    <row r="227" spans="1:9" ht="38.25" customHeight="1" x14ac:dyDescent="0.2">
      <c r="A227" s="202" t="s">
        <v>1389</v>
      </c>
      <c r="B227" s="209" t="s">
        <v>1119</v>
      </c>
      <c r="C227" s="209"/>
      <c r="D227" s="265">
        <v>500</v>
      </c>
      <c r="E227" s="265">
        <v>500</v>
      </c>
      <c r="F227" s="265">
        <f t="shared" si="10"/>
        <v>0</v>
      </c>
      <c r="G227" s="226">
        <v>500</v>
      </c>
      <c r="H227" s="226">
        <v>500</v>
      </c>
      <c r="I227" s="265">
        <f t="shared" si="11"/>
        <v>0</v>
      </c>
    </row>
    <row r="228" spans="1:9" x14ac:dyDescent="0.2">
      <c r="A228" s="202" t="s">
        <v>547</v>
      </c>
      <c r="B228" s="209" t="s">
        <v>1119</v>
      </c>
      <c r="C228" s="209" t="s">
        <v>519</v>
      </c>
      <c r="D228" s="265">
        <v>500</v>
      </c>
      <c r="E228" s="265">
        <v>500</v>
      </c>
      <c r="F228" s="265">
        <f t="shared" si="10"/>
        <v>0</v>
      </c>
      <c r="G228" s="226">
        <v>500</v>
      </c>
      <c r="H228" s="226">
        <v>500</v>
      </c>
      <c r="I228" s="265">
        <f t="shared" si="11"/>
        <v>0</v>
      </c>
    </row>
    <row r="229" spans="1:9" x14ac:dyDescent="0.2">
      <c r="A229" s="202" t="s">
        <v>571</v>
      </c>
      <c r="B229" s="209" t="s">
        <v>1119</v>
      </c>
      <c r="C229" s="209" t="s">
        <v>522</v>
      </c>
      <c r="D229" s="265">
        <v>500</v>
      </c>
      <c r="E229" s="265">
        <v>500</v>
      </c>
      <c r="F229" s="265">
        <f t="shared" si="10"/>
        <v>0</v>
      </c>
      <c r="G229" s="226">
        <v>500</v>
      </c>
      <c r="H229" s="226">
        <v>500</v>
      </c>
      <c r="I229" s="265">
        <f t="shared" si="11"/>
        <v>0</v>
      </c>
    </row>
    <row r="230" spans="1:9" ht="37.5" customHeight="1" x14ac:dyDescent="0.2">
      <c r="A230" s="202" t="s">
        <v>1390</v>
      </c>
      <c r="B230" s="209" t="s">
        <v>1118</v>
      </c>
      <c r="C230" s="209"/>
      <c r="D230" s="265">
        <v>1500</v>
      </c>
      <c r="E230" s="265">
        <v>1500</v>
      </c>
      <c r="F230" s="265">
        <f t="shared" si="10"/>
        <v>0</v>
      </c>
      <c r="G230" s="226">
        <v>1500</v>
      </c>
      <c r="H230" s="226">
        <v>1500</v>
      </c>
      <c r="I230" s="265">
        <f t="shared" si="11"/>
        <v>0</v>
      </c>
    </row>
    <row r="231" spans="1:9" x14ac:dyDescent="0.2">
      <c r="A231" s="202" t="s">
        <v>1347</v>
      </c>
      <c r="B231" s="209" t="s">
        <v>1118</v>
      </c>
      <c r="C231" s="209" t="s">
        <v>535</v>
      </c>
      <c r="D231" s="265">
        <v>1500</v>
      </c>
      <c r="E231" s="265">
        <v>1500</v>
      </c>
      <c r="F231" s="265">
        <f t="shared" si="10"/>
        <v>0</v>
      </c>
      <c r="G231" s="226">
        <v>1500</v>
      </c>
      <c r="H231" s="226">
        <v>1500</v>
      </c>
      <c r="I231" s="265">
        <f t="shared" si="11"/>
        <v>0</v>
      </c>
    </row>
    <row r="232" spans="1:9" x14ac:dyDescent="0.2">
      <c r="A232" s="202" t="s">
        <v>534</v>
      </c>
      <c r="B232" s="209" t="s">
        <v>1118</v>
      </c>
      <c r="C232" s="209" t="s">
        <v>529</v>
      </c>
      <c r="D232" s="265">
        <v>1500</v>
      </c>
      <c r="E232" s="265">
        <v>1500</v>
      </c>
      <c r="F232" s="265">
        <f t="shared" si="10"/>
        <v>0</v>
      </c>
      <c r="G232" s="226">
        <v>1500</v>
      </c>
      <c r="H232" s="226">
        <v>1500</v>
      </c>
      <c r="I232" s="265">
        <f t="shared" si="11"/>
        <v>0</v>
      </c>
    </row>
    <row r="233" spans="1:9" ht="45" x14ac:dyDescent="0.2">
      <c r="A233" s="202" t="s">
        <v>719</v>
      </c>
      <c r="B233" s="209" t="s">
        <v>718</v>
      </c>
      <c r="C233" s="209"/>
      <c r="D233" s="265">
        <v>2600</v>
      </c>
      <c r="E233" s="265">
        <f>E234</f>
        <v>2600</v>
      </c>
      <c r="F233" s="265">
        <f t="shared" si="10"/>
        <v>0</v>
      </c>
      <c r="G233" s="226">
        <v>0</v>
      </c>
      <c r="H233" s="226">
        <v>0</v>
      </c>
      <c r="I233" s="265">
        <f t="shared" si="11"/>
        <v>0</v>
      </c>
    </row>
    <row r="234" spans="1:9" x14ac:dyDescent="0.2">
      <c r="A234" s="202" t="s">
        <v>547</v>
      </c>
      <c r="B234" s="209" t="s">
        <v>718</v>
      </c>
      <c r="C234" s="209" t="s">
        <v>519</v>
      </c>
      <c r="D234" s="265">
        <v>2600</v>
      </c>
      <c r="E234" s="265">
        <f>E235</f>
        <v>2600</v>
      </c>
      <c r="F234" s="265">
        <f t="shared" si="10"/>
        <v>0</v>
      </c>
      <c r="G234" s="226">
        <v>0</v>
      </c>
      <c r="H234" s="226">
        <v>0</v>
      </c>
      <c r="I234" s="265">
        <f t="shared" si="11"/>
        <v>0</v>
      </c>
    </row>
    <row r="235" spans="1:9" x14ac:dyDescent="0.2">
      <c r="A235" s="202" t="s">
        <v>571</v>
      </c>
      <c r="B235" s="209" t="s">
        <v>718</v>
      </c>
      <c r="C235" s="209" t="s">
        <v>522</v>
      </c>
      <c r="D235" s="265">
        <v>2600</v>
      </c>
      <c r="E235" s="265">
        <f>'Функциональная 2021-2022'!H775</f>
        <v>2600</v>
      </c>
      <c r="F235" s="265">
        <f t="shared" si="10"/>
        <v>0</v>
      </c>
      <c r="G235" s="226">
        <v>0</v>
      </c>
      <c r="H235" s="226">
        <v>0</v>
      </c>
      <c r="I235" s="265">
        <f t="shared" si="11"/>
        <v>0</v>
      </c>
    </row>
    <row r="236" spans="1:9" ht="22.5" x14ac:dyDescent="0.2">
      <c r="A236" s="199" t="s">
        <v>564</v>
      </c>
      <c r="B236" s="212" t="s">
        <v>563</v>
      </c>
      <c r="C236" s="212"/>
      <c r="D236" s="263">
        <v>365</v>
      </c>
      <c r="E236" s="263">
        <f>E237</f>
        <v>365</v>
      </c>
      <c r="F236" s="263">
        <f t="shared" si="10"/>
        <v>0</v>
      </c>
      <c r="G236" s="205">
        <v>365</v>
      </c>
      <c r="H236" s="205">
        <f>H237</f>
        <v>365</v>
      </c>
      <c r="I236" s="263">
        <f t="shared" si="11"/>
        <v>0</v>
      </c>
    </row>
    <row r="237" spans="1:9" ht="22.5" x14ac:dyDescent="0.2">
      <c r="A237" s="202" t="s">
        <v>562</v>
      </c>
      <c r="B237" s="209" t="s">
        <v>561</v>
      </c>
      <c r="C237" s="209"/>
      <c r="D237" s="265">
        <v>365</v>
      </c>
      <c r="E237" s="265">
        <f>E238+E240+E242</f>
        <v>365</v>
      </c>
      <c r="F237" s="265">
        <f t="shared" si="10"/>
        <v>0</v>
      </c>
      <c r="G237" s="226">
        <v>365</v>
      </c>
      <c r="H237" s="226">
        <f>H238+H240+H242</f>
        <v>365</v>
      </c>
      <c r="I237" s="265">
        <f t="shared" si="11"/>
        <v>0</v>
      </c>
    </row>
    <row r="238" spans="1:9" ht="22.5" x14ac:dyDescent="0.2">
      <c r="A238" s="202" t="s">
        <v>1348</v>
      </c>
      <c r="B238" s="209" t="s">
        <v>561</v>
      </c>
      <c r="C238" s="209" t="s">
        <v>556</v>
      </c>
      <c r="D238" s="265">
        <v>135</v>
      </c>
      <c r="E238" s="265">
        <v>135</v>
      </c>
      <c r="F238" s="265">
        <f t="shared" si="10"/>
        <v>0</v>
      </c>
      <c r="G238" s="226">
        <v>135</v>
      </c>
      <c r="H238" s="226">
        <v>135</v>
      </c>
      <c r="I238" s="265">
        <f t="shared" si="11"/>
        <v>0</v>
      </c>
    </row>
    <row r="239" spans="1:9" x14ac:dyDescent="0.2">
      <c r="A239" s="202" t="s">
        <v>555</v>
      </c>
      <c r="B239" s="209" t="s">
        <v>561</v>
      </c>
      <c r="C239" s="209" t="s">
        <v>554</v>
      </c>
      <c r="D239" s="265">
        <v>135</v>
      </c>
      <c r="E239" s="265">
        <v>135</v>
      </c>
      <c r="F239" s="265">
        <f t="shared" si="10"/>
        <v>0</v>
      </c>
      <c r="G239" s="226">
        <v>135</v>
      </c>
      <c r="H239" s="226">
        <v>135</v>
      </c>
      <c r="I239" s="265">
        <f t="shared" si="11"/>
        <v>0</v>
      </c>
    </row>
    <row r="240" spans="1:9" x14ac:dyDescent="0.2">
      <c r="A240" s="202" t="s">
        <v>1347</v>
      </c>
      <c r="B240" s="209" t="s">
        <v>561</v>
      </c>
      <c r="C240" s="209" t="s">
        <v>535</v>
      </c>
      <c r="D240" s="265">
        <v>180</v>
      </c>
      <c r="E240" s="265">
        <v>180</v>
      </c>
      <c r="F240" s="265">
        <f t="shared" si="10"/>
        <v>0</v>
      </c>
      <c r="G240" s="226">
        <v>180</v>
      </c>
      <c r="H240" s="226">
        <v>180</v>
      </c>
      <c r="I240" s="265">
        <f t="shared" si="11"/>
        <v>0</v>
      </c>
    </row>
    <row r="241" spans="1:9" x14ac:dyDescent="0.2">
      <c r="A241" s="202" t="s">
        <v>534</v>
      </c>
      <c r="B241" s="209" t="s">
        <v>561</v>
      </c>
      <c r="C241" s="209" t="s">
        <v>529</v>
      </c>
      <c r="D241" s="265">
        <v>180</v>
      </c>
      <c r="E241" s="265">
        <v>180</v>
      </c>
      <c r="F241" s="265">
        <f t="shared" si="10"/>
        <v>0</v>
      </c>
      <c r="G241" s="226">
        <v>180</v>
      </c>
      <c r="H241" s="226">
        <v>180</v>
      </c>
      <c r="I241" s="265">
        <f t="shared" si="11"/>
        <v>0</v>
      </c>
    </row>
    <row r="242" spans="1:9" x14ac:dyDescent="0.2">
      <c r="A242" s="202" t="s">
        <v>547</v>
      </c>
      <c r="B242" s="209" t="s">
        <v>561</v>
      </c>
      <c r="C242" s="209" t="s">
        <v>519</v>
      </c>
      <c r="D242" s="265">
        <v>50</v>
      </c>
      <c r="E242" s="265">
        <f>E243</f>
        <v>50</v>
      </c>
      <c r="F242" s="265">
        <f t="shared" si="10"/>
        <v>0</v>
      </c>
      <c r="G242" s="226">
        <v>50</v>
      </c>
      <c r="H242" s="226">
        <f>H243</f>
        <v>50</v>
      </c>
      <c r="I242" s="265">
        <f t="shared" si="11"/>
        <v>0</v>
      </c>
    </row>
    <row r="243" spans="1:9" s="304" customFormat="1" x14ac:dyDescent="0.2">
      <c r="A243" s="202" t="s">
        <v>546</v>
      </c>
      <c r="B243" s="209" t="s">
        <v>561</v>
      </c>
      <c r="C243" s="209">
        <v>620</v>
      </c>
      <c r="D243" s="265">
        <v>50</v>
      </c>
      <c r="E243" s="265">
        <f>'Функциональная 2021-2022'!H999</f>
        <v>50</v>
      </c>
      <c r="F243" s="281">
        <f t="shared" si="10"/>
        <v>0</v>
      </c>
      <c r="G243" s="226">
        <v>50</v>
      </c>
      <c r="H243" s="226">
        <f>'Функциональная 2021-2022'!N999</f>
        <v>50</v>
      </c>
      <c r="I243" s="281">
        <f t="shared" si="11"/>
        <v>0</v>
      </c>
    </row>
    <row r="244" spans="1:9" x14ac:dyDescent="0.2">
      <c r="A244" s="199" t="s">
        <v>675</v>
      </c>
      <c r="B244" s="212" t="s">
        <v>674</v>
      </c>
      <c r="C244" s="212"/>
      <c r="D244" s="263">
        <v>27379.5</v>
      </c>
      <c r="E244" s="263">
        <f>E245</f>
        <v>27379.5</v>
      </c>
      <c r="F244" s="263">
        <f t="shared" si="10"/>
        <v>0</v>
      </c>
      <c r="G244" s="205">
        <v>27379.5</v>
      </c>
      <c r="H244" s="205">
        <f>H245</f>
        <v>27379.5</v>
      </c>
      <c r="I244" s="263">
        <f t="shared" si="11"/>
        <v>0</v>
      </c>
    </row>
    <row r="245" spans="1:9" ht="22.5" x14ac:dyDescent="0.2">
      <c r="A245" s="199" t="s">
        <v>673</v>
      </c>
      <c r="B245" s="212" t="s">
        <v>672</v>
      </c>
      <c r="C245" s="212"/>
      <c r="D245" s="263">
        <v>27379.5</v>
      </c>
      <c r="E245" s="263">
        <f>E246</f>
        <v>27379.5</v>
      </c>
      <c r="F245" s="263">
        <f t="shared" si="10"/>
        <v>0</v>
      </c>
      <c r="G245" s="205">
        <v>27379.5</v>
      </c>
      <c r="H245" s="205">
        <f>H246</f>
        <v>27379.5</v>
      </c>
      <c r="I245" s="263">
        <f t="shared" si="11"/>
        <v>0</v>
      </c>
    </row>
    <row r="246" spans="1:9" x14ac:dyDescent="0.2">
      <c r="A246" s="202" t="s">
        <v>671</v>
      </c>
      <c r="B246" s="209" t="s">
        <v>669</v>
      </c>
      <c r="C246" s="209"/>
      <c r="D246" s="265">
        <v>27379.5</v>
      </c>
      <c r="E246" s="265">
        <f>E247+E249</f>
        <v>27379.5</v>
      </c>
      <c r="F246" s="265">
        <f t="shared" si="10"/>
        <v>0</v>
      </c>
      <c r="G246" s="226">
        <v>27379.5</v>
      </c>
      <c r="H246" s="226">
        <f>H247+H249</f>
        <v>27379.5</v>
      </c>
      <c r="I246" s="265">
        <f t="shared" si="11"/>
        <v>0</v>
      </c>
    </row>
    <row r="247" spans="1:9" x14ac:dyDescent="0.2">
      <c r="A247" s="202" t="s">
        <v>553</v>
      </c>
      <c r="B247" s="209" t="s">
        <v>669</v>
      </c>
      <c r="C247" s="209" t="s">
        <v>552</v>
      </c>
      <c r="D247" s="265">
        <v>17535.3</v>
      </c>
      <c r="E247" s="265">
        <f>E248</f>
        <v>17535.3</v>
      </c>
      <c r="F247" s="265">
        <f t="shared" si="10"/>
        <v>0</v>
      </c>
      <c r="G247" s="226">
        <v>17535.3</v>
      </c>
      <c r="H247" s="226">
        <f>H248</f>
        <v>17535.3</v>
      </c>
      <c r="I247" s="265">
        <f t="shared" si="11"/>
        <v>0</v>
      </c>
    </row>
    <row r="248" spans="1:9" x14ac:dyDescent="0.2">
      <c r="A248" s="202" t="s">
        <v>832</v>
      </c>
      <c r="B248" s="209" t="s">
        <v>669</v>
      </c>
      <c r="C248" s="209" t="s">
        <v>830</v>
      </c>
      <c r="D248" s="265">
        <v>17535.3</v>
      </c>
      <c r="E248" s="265">
        <f>'Функциональная 2021-2022'!H929</f>
        <v>17535.3</v>
      </c>
      <c r="F248" s="265">
        <f t="shared" si="10"/>
        <v>0</v>
      </c>
      <c r="G248" s="226">
        <v>17535.3</v>
      </c>
      <c r="H248" s="226">
        <f>'Функциональная 2021-2022'!N929</f>
        <v>17535.3</v>
      </c>
      <c r="I248" s="265">
        <f t="shared" si="11"/>
        <v>0</v>
      </c>
    </row>
    <row r="249" spans="1:9" x14ac:dyDescent="0.2">
      <c r="A249" s="202" t="s">
        <v>547</v>
      </c>
      <c r="B249" s="209" t="s">
        <v>669</v>
      </c>
      <c r="C249" s="209" t="s">
        <v>519</v>
      </c>
      <c r="D249" s="265">
        <v>9844.2000000000007</v>
      </c>
      <c r="E249" s="265">
        <v>9844.2000000000007</v>
      </c>
      <c r="F249" s="265">
        <f t="shared" si="10"/>
        <v>0</v>
      </c>
      <c r="G249" s="226">
        <v>9844.2000000000007</v>
      </c>
      <c r="H249" s="226">
        <v>9844.2000000000007</v>
      </c>
      <c r="I249" s="265">
        <f t="shared" si="11"/>
        <v>0</v>
      </c>
    </row>
    <row r="250" spans="1:9" x14ac:dyDescent="0.2">
      <c r="A250" s="202" t="s">
        <v>571</v>
      </c>
      <c r="B250" s="209" t="s">
        <v>669</v>
      </c>
      <c r="C250" s="209" t="s">
        <v>522</v>
      </c>
      <c r="D250" s="265">
        <v>9844.2000000000007</v>
      </c>
      <c r="E250" s="265">
        <v>9844.2000000000007</v>
      </c>
      <c r="F250" s="265">
        <f t="shared" si="10"/>
        <v>0</v>
      </c>
      <c r="G250" s="226">
        <v>9844.2000000000007</v>
      </c>
      <c r="H250" s="226">
        <v>9844.2000000000007</v>
      </c>
      <c r="I250" s="265">
        <f t="shared" si="11"/>
        <v>0</v>
      </c>
    </row>
    <row r="251" spans="1:9" x14ac:dyDescent="0.2">
      <c r="A251" s="199" t="s">
        <v>819</v>
      </c>
      <c r="B251" s="212" t="s">
        <v>818</v>
      </c>
      <c r="C251" s="212"/>
      <c r="D251" s="263">
        <v>200</v>
      </c>
      <c r="E251" s="263">
        <v>200</v>
      </c>
      <c r="F251" s="263">
        <f t="shared" si="10"/>
        <v>0</v>
      </c>
      <c r="G251" s="205">
        <v>200</v>
      </c>
      <c r="H251" s="205">
        <v>200</v>
      </c>
      <c r="I251" s="263">
        <f t="shared" si="11"/>
        <v>0</v>
      </c>
    </row>
    <row r="252" spans="1:9" x14ac:dyDescent="0.2">
      <c r="A252" s="199" t="s">
        <v>817</v>
      </c>
      <c r="B252" s="212" t="s">
        <v>816</v>
      </c>
      <c r="C252" s="212"/>
      <c r="D252" s="263">
        <v>200</v>
      </c>
      <c r="E252" s="263">
        <v>200</v>
      </c>
      <c r="F252" s="263">
        <f t="shared" si="10"/>
        <v>0</v>
      </c>
      <c r="G252" s="205">
        <v>200</v>
      </c>
      <c r="H252" s="205">
        <v>200</v>
      </c>
      <c r="I252" s="263">
        <f t="shared" si="11"/>
        <v>0</v>
      </c>
    </row>
    <row r="253" spans="1:9" ht="22.5" x14ac:dyDescent="0.2">
      <c r="A253" s="202" t="s">
        <v>815</v>
      </c>
      <c r="B253" s="209" t="s">
        <v>814</v>
      </c>
      <c r="C253" s="209"/>
      <c r="D253" s="265">
        <v>200</v>
      </c>
      <c r="E253" s="265">
        <v>200</v>
      </c>
      <c r="F253" s="265">
        <f t="shared" si="10"/>
        <v>0</v>
      </c>
      <c r="G253" s="226">
        <v>200</v>
      </c>
      <c r="H253" s="226">
        <v>200</v>
      </c>
      <c r="I253" s="265">
        <f t="shared" si="11"/>
        <v>0</v>
      </c>
    </row>
    <row r="254" spans="1:9" x14ac:dyDescent="0.2">
      <c r="A254" s="202" t="s">
        <v>615</v>
      </c>
      <c r="B254" s="209" t="s">
        <v>814</v>
      </c>
      <c r="C254" s="209" t="s">
        <v>509</v>
      </c>
      <c r="D254" s="265">
        <v>200</v>
      </c>
      <c r="E254" s="265">
        <v>200</v>
      </c>
      <c r="F254" s="265">
        <f t="shared" si="10"/>
        <v>0</v>
      </c>
      <c r="G254" s="226">
        <v>200</v>
      </c>
      <c r="H254" s="226">
        <v>200</v>
      </c>
      <c r="I254" s="265">
        <f t="shared" si="11"/>
        <v>0</v>
      </c>
    </row>
    <row r="255" spans="1:9" ht="22.5" x14ac:dyDescent="0.2">
      <c r="A255" s="202" t="s">
        <v>1346</v>
      </c>
      <c r="B255" s="209" t="s">
        <v>814</v>
      </c>
      <c r="C255" s="209" t="s">
        <v>511</v>
      </c>
      <c r="D255" s="265">
        <v>200</v>
      </c>
      <c r="E255" s="265">
        <v>200</v>
      </c>
      <c r="F255" s="265">
        <f t="shared" si="10"/>
        <v>0</v>
      </c>
      <c r="G255" s="226">
        <v>200</v>
      </c>
      <c r="H255" s="226">
        <v>200</v>
      </c>
      <c r="I255" s="265">
        <f t="shared" si="11"/>
        <v>0</v>
      </c>
    </row>
    <row r="256" spans="1:9" x14ac:dyDescent="0.2">
      <c r="A256" s="199" t="s">
        <v>542</v>
      </c>
      <c r="B256" s="212" t="s">
        <v>541</v>
      </c>
      <c r="C256" s="212"/>
      <c r="D256" s="263">
        <v>434200</v>
      </c>
      <c r="E256" s="263">
        <v>434200</v>
      </c>
      <c r="F256" s="263">
        <f t="shared" si="10"/>
        <v>0</v>
      </c>
      <c r="G256" s="205">
        <v>434200</v>
      </c>
      <c r="H256" s="205">
        <v>434200</v>
      </c>
      <c r="I256" s="263">
        <f t="shared" si="11"/>
        <v>0</v>
      </c>
    </row>
    <row r="257" spans="1:9" x14ac:dyDescent="0.2">
      <c r="A257" s="199" t="s">
        <v>560</v>
      </c>
      <c r="B257" s="212" t="s">
        <v>559</v>
      </c>
      <c r="C257" s="212"/>
      <c r="D257" s="263">
        <v>252500</v>
      </c>
      <c r="E257" s="263">
        <v>252500</v>
      </c>
      <c r="F257" s="263">
        <f t="shared" si="10"/>
        <v>0</v>
      </c>
      <c r="G257" s="205">
        <v>252500</v>
      </c>
      <c r="H257" s="205">
        <v>252500</v>
      </c>
      <c r="I257" s="263">
        <f t="shared" si="11"/>
        <v>0</v>
      </c>
    </row>
    <row r="258" spans="1:9" ht="22.5" x14ac:dyDescent="0.2">
      <c r="A258" s="199" t="s">
        <v>558</v>
      </c>
      <c r="B258" s="212" t="s">
        <v>557</v>
      </c>
      <c r="C258" s="212"/>
      <c r="D258" s="263">
        <v>252500</v>
      </c>
      <c r="E258" s="263">
        <v>252500</v>
      </c>
      <c r="F258" s="263">
        <f t="shared" si="10"/>
        <v>0</v>
      </c>
      <c r="G258" s="205">
        <v>252500</v>
      </c>
      <c r="H258" s="205">
        <v>252500</v>
      </c>
      <c r="I258" s="263">
        <f t="shared" si="11"/>
        <v>0</v>
      </c>
    </row>
    <row r="259" spans="1:9" ht="22.5" x14ac:dyDescent="0.2">
      <c r="A259" s="202" t="s">
        <v>576</v>
      </c>
      <c r="B259" s="209" t="s">
        <v>575</v>
      </c>
      <c r="C259" s="209"/>
      <c r="D259" s="265">
        <v>4335</v>
      </c>
      <c r="E259" s="265">
        <v>4335</v>
      </c>
      <c r="F259" s="265">
        <f t="shared" si="10"/>
        <v>0</v>
      </c>
      <c r="G259" s="226">
        <v>4335</v>
      </c>
      <c r="H259" s="226">
        <v>4335</v>
      </c>
      <c r="I259" s="265">
        <f t="shared" si="11"/>
        <v>0</v>
      </c>
    </row>
    <row r="260" spans="1:9" x14ac:dyDescent="0.2">
      <c r="A260" s="202" t="s">
        <v>547</v>
      </c>
      <c r="B260" s="209" t="s">
        <v>575</v>
      </c>
      <c r="C260" s="209" t="s">
        <v>519</v>
      </c>
      <c r="D260" s="265">
        <v>4335</v>
      </c>
      <c r="E260" s="265">
        <v>4335</v>
      </c>
      <c r="F260" s="265">
        <f t="shared" si="10"/>
        <v>0</v>
      </c>
      <c r="G260" s="226">
        <v>4335</v>
      </c>
      <c r="H260" s="226">
        <v>4335</v>
      </c>
      <c r="I260" s="265">
        <f t="shared" si="11"/>
        <v>0</v>
      </c>
    </row>
    <row r="261" spans="1:9" x14ac:dyDescent="0.2">
      <c r="A261" s="202" t="s">
        <v>546</v>
      </c>
      <c r="B261" s="209" t="s">
        <v>575</v>
      </c>
      <c r="C261" s="209" t="s">
        <v>544</v>
      </c>
      <c r="D261" s="265">
        <v>4335</v>
      </c>
      <c r="E261" s="265">
        <v>4335</v>
      </c>
      <c r="F261" s="265">
        <f t="shared" si="10"/>
        <v>0</v>
      </c>
      <c r="G261" s="226">
        <v>4335</v>
      </c>
      <c r="H261" s="226">
        <v>4335</v>
      </c>
      <c r="I261" s="265">
        <f t="shared" si="11"/>
        <v>0</v>
      </c>
    </row>
    <row r="262" spans="1:9" x14ac:dyDescent="0.2">
      <c r="A262" s="202" t="s">
        <v>1641</v>
      </c>
      <c r="B262" s="209" t="s">
        <v>550</v>
      </c>
      <c r="C262" s="209"/>
      <c r="D262" s="265">
        <v>3465</v>
      </c>
      <c r="E262" s="265">
        <v>3465</v>
      </c>
      <c r="F262" s="265">
        <f t="shared" si="10"/>
        <v>0</v>
      </c>
      <c r="G262" s="226">
        <v>3465</v>
      </c>
      <c r="H262" s="226">
        <v>3465</v>
      </c>
      <c r="I262" s="265">
        <f t="shared" si="11"/>
        <v>0</v>
      </c>
    </row>
    <row r="263" spans="1:9" ht="22.5" x14ac:dyDescent="0.2">
      <c r="A263" s="202" t="s">
        <v>1348</v>
      </c>
      <c r="B263" s="209" t="s">
        <v>550</v>
      </c>
      <c r="C263" s="209" t="s">
        <v>556</v>
      </c>
      <c r="D263" s="265">
        <v>1015</v>
      </c>
      <c r="E263" s="265">
        <v>1015</v>
      </c>
      <c r="F263" s="265">
        <f t="shared" si="10"/>
        <v>0</v>
      </c>
      <c r="G263" s="226">
        <v>1015</v>
      </c>
      <c r="H263" s="226">
        <v>1015</v>
      </c>
      <c r="I263" s="265">
        <f t="shared" si="11"/>
        <v>0</v>
      </c>
    </row>
    <row r="264" spans="1:9" x14ac:dyDescent="0.2">
      <c r="A264" s="202" t="s">
        <v>555</v>
      </c>
      <c r="B264" s="209" t="s">
        <v>550</v>
      </c>
      <c r="C264" s="209" t="s">
        <v>554</v>
      </c>
      <c r="D264" s="265">
        <v>1015</v>
      </c>
      <c r="E264" s="265">
        <v>1015</v>
      </c>
      <c r="F264" s="265">
        <f t="shared" si="10"/>
        <v>0</v>
      </c>
      <c r="G264" s="226">
        <v>1015</v>
      </c>
      <c r="H264" s="226">
        <v>1015</v>
      </c>
      <c r="I264" s="265">
        <f t="shared" si="11"/>
        <v>0</v>
      </c>
    </row>
    <row r="265" spans="1:9" x14ac:dyDescent="0.2">
      <c r="A265" s="202" t="s">
        <v>1347</v>
      </c>
      <c r="B265" s="209" t="s">
        <v>550</v>
      </c>
      <c r="C265" s="209" t="s">
        <v>535</v>
      </c>
      <c r="D265" s="265">
        <v>1550</v>
      </c>
      <c r="E265" s="265">
        <v>1550</v>
      </c>
      <c r="F265" s="265">
        <f t="shared" si="10"/>
        <v>0</v>
      </c>
      <c r="G265" s="226">
        <v>1550</v>
      </c>
      <c r="H265" s="226">
        <v>1550</v>
      </c>
      <c r="I265" s="265">
        <f t="shared" si="11"/>
        <v>0</v>
      </c>
    </row>
    <row r="266" spans="1:9" x14ac:dyDescent="0.2">
      <c r="A266" s="202" t="s">
        <v>534</v>
      </c>
      <c r="B266" s="209" t="s">
        <v>550</v>
      </c>
      <c r="C266" s="209" t="s">
        <v>529</v>
      </c>
      <c r="D266" s="265">
        <v>1550</v>
      </c>
      <c r="E266" s="265">
        <v>1550</v>
      </c>
      <c r="F266" s="265">
        <f t="shared" si="10"/>
        <v>0</v>
      </c>
      <c r="G266" s="226">
        <v>1550</v>
      </c>
      <c r="H266" s="226">
        <v>1550</v>
      </c>
      <c r="I266" s="265">
        <f t="shared" si="11"/>
        <v>0</v>
      </c>
    </row>
    <row r="267" spans="1:9" x14ac:dyDescent="0.2">
      <c r="A267" s="202" t="s">
        <v>553</v>
      </c>
      <c r="B267" s="209" t="s">
        <v>550</v>
      </c>
      <c r="C267" s="209" t="s">
        <v>552</v>
      </c>
      <c r="D267" s="265">
        <v>900</v>
      </c>
      <c r="E267" s="265">
        <v>900</v>
      </c>
      <c r="F267" s="265">
        <f t="shared" si="10"/>
        <v>0</v>
      </c>
      <c r="G267" s="226">
        <v>900</v>
      </c>
      <c r="H267" s="226">
        <v>900</v>
      </c>
      <c r="I267" s="265">
        <f t="shared" si="11"/>
        <v>0</v>
      </c>
    </row>
    <row r="268" spans="1:9" x14ac:dyDescent="0.2">
      <c r="A268" s="202" t="s">
        <v>551</v>
      </c>
      <c r="B268" s="209" t="s">
        <v>550</v>
      </c>
      <c r="C268" s="209" t="s">
        <v>549</v>
      </c>
      <c r="D268" s="265">
        <v>900</v>
      </c>
      <c r="E268" s="265">
        <v>900</v>
      </c>
      <c r="F268" s="265">
        <f t="shared" si="10"/>
        <v>0</v>
      </c>
      <c r="G268" s="226">
        <v>900</v>
      </c>
      <c r="H268" s="226">
        <v>900</v>
      </c>
      <c r="I268" s="265">
        <f t="shared" si="11"/>
        <v>0</v>
      </c>
    </row>
    <row r="269" spans="1:9" ht="22.5" x14ac:dyDescent="0.2">
      <c r="A269" s="202" t="s">
        <v>548</v>
      </c>
      <c r="B269" s="209" t="s">
        <v>545</v>
      </c>
      <c r="C269" s="209"/>
      <c r="D269" s="265">
        <v>244700</v>
      </c>
      <c r="E269" s="265">
        <v>244700</v>
      </c>
      <c r="F269" s="265">
        <f t="shared" si="10"/>
        <v>0</v>
      </c>
      <c r="G269" s="226">
        <v>244700</v>
      </c>
      <c r="H269" s="226">
        <v>244700</v>
      </c>
      <c r="I269" s="265">
        <f t="shared" si="11"/>
        <v>0</v>
      </c>
    </row>
    <row r="270" spans="1:9" x14ac:dyDescent="0.2">
      <c r="A270" s="202" t="s">
        <v>547</v>
      </c>
      <c r="B270" s="209" t="s">
        <v>545</v>
      </c>
      <c r="C270" s="209" t="s">
        <v>519</v>
      </c>
      <c r="D270" s="265">
        <v>244700</v>
      </c>
      <c r="E270" s="265">
        <v>244700</v>
      </c>
      <c r="F270" s="265">
        <f t="shared" si="10"/>
        <v>0</v>
      </c>
      <c r="G270" s="226">
        <v>244700</v>
      </c>
      <c r="H270" s="226">
        <v>244700</v>
      </c>
      <c r="I270" s="265">
        <f t="shared" si="11"/>
        <v>0</v>
      </c>
    </row>
    <row r="271" spans="1:9" x14ac:dyDescent="0.2">
      <c r="A271" s="202" t="s">
        <v>571</v>
      </c>
      <c r="B271" s="209" t="s">
        <v>545</v>
      </c>
      <c r="C271" s="209" t="s">
        <v>522</v>
      </c>
      <c r="D271" s="265">
        <v>15000</v>
      </c>
      <c r="E271" s="265">
        <v>15000</v>
      </c>
      <c r="F271" s="265">
        <f t="shared" si="10"/>
        <v>0</v>
      </c>
      <c r="G271" s="226">
        <v>15000</v>
      </c>
      <c r="H271" s="226">
        <v>15000</v>
      </c>
      <c r="I271" s="265">
        <f t="shared" si="11"/>
        <v>0</v>
      </c>
    </row>
    <row r="272" spans="1:9" x14ac:dyDescent="0.2">
      <c r="A272" s="202" t="s">
        <v>546</v>
      </c>
      <c r="B272" s="209" t="s">
        <v>545</v>
      </c>
      <c r="C272" s="209" t="s">
        <v>544</v>
      </c>
      <c r="D272" s="265">
        <v>229700</v>
      </c>
      <c r="E272" s="265">
        <v>229700</v>
      </c>
      <c r="F272" s="265">
        <f t="shared" si="10"/>
        <v>0</v>
      </c>
      <c r="G272" s="226">
        <v>229700</v>
      </c>
      <c r="H272" s="226">
        <v>229700</v>
      </c>
      <c r="I272" s="265">
        <f t="shared" si="11"/>
        <v>0</v>
      </c>
    </row>
    <row r="273" spans="1:9" x14ac:dyDescent="0.2">
      <c r="A273" s="199" t="s">
        <v>540</v>
      </c>
      <c r="B273" s="212" t="s">
        <v>539</v>
      </c>
      <c r="C273" s="212"/>
      <c r="D273" s="263">
        <v>181700</v>
      </c>
      <c r="E273" s="263">
        <v>181700</v>
      </c>
      <c r="F273" s="263">
        <f t="shared" si="10"/>
        <v>0</v>
      </c>
      <c r="G273" s="205">
        <v>181700</v>
      </c>
      <c r="H273" s="205">
        <v>181700</v>
      </c>
      <c r="I273" s="263">
        <f t="shared" si="11"/>
        <v>0</v>
      </c>
    </row>
    <row r="274" spans="1:9" x14ac:dyDescent="0.2">
      <c r="A274" s="199" t="s">
        <v>574</v>
      </c>
      <c r="B274" s="212" t="s">
        <v>573</v>
      </c>
      <c r="C274" s="212"/>
      <c r="D274" s="263">
        <v>181700</v>
      </c>
      <c r="E274" s="263">
        <v>181700</v>
      </c>
      <c r="F274" s="263">
        <f t="shared" si="10"/>
        <v>0</v>
      </c>
      <c r="G274" s="205">
        <v>181700</v>
      </c>
      <c r="H274" s="205">
        <v>181700</v>
      </c>
      <c r="I274" s="263">
        <f t="shared" si="11"/>
        <v>0</v>
      </c>
    </row>
    <row r="275" spans="1:9" ht="22.5" x14ac:dyDescent="0.2">
      <c r="A275" s="202" t="s">
        <v>572</v>
      </c>
      <c r="B275" s="209" t="s">
        <v>570</v>
      </c>
      <c r="C275" s="209"/>
      <c r="D275" s="265">
        <v>181700</v>
      </c>
      <c r="E275" s="265">
        <v>181700</v>
      </c>
      <c r="F275" s="265">
        <f t="shared" si="10"/>
        <v>0</v>
      </c>
      <c r="G275" s="226">
        <v>181700</v>
      </c>
      <c r="H275" s="226">
        <v>181700</v>
      </c>
      <c r="I275" s="265">
        <f t="shared" si="11"/>
        <v>0</v>
      </c>
    </row>
    <row r="276" spans="1:9" x14ac:dyDescent="0.2">
      <c r="A276" s="202" t="s">
        <v>547</v>
      </c>
      <c r="B276" s="209" t="s">
        <v>570</v>
      </c>
      <c r="C276" s="209" t="s">
        <v>519</v>
      </c>
      <c r="D276" s="265">
        <v>181700</v>
      </c>
      <c r="E276" s="265">
        <v>181700</v>
      </c>
      <c r="F276" s="265">
        <f t="shared" si="10"/>
        <v>0</v>
      </c>
      <c r="G276" s="226">
        <v>181700</v>
      </c>
      <c r="H276" s="226">
        <v>181700</v>
      </c>
      <c r="I276" s="265">
        <f t="shared" si="11"/>
        <v>0</v>
      </c>
    </row>
    <row r="277" spans="1:9" x14ac:dyDescent="0.2">
      <c r="A277" s="202" t="s">
        <v>571</v>
      </c>
      <c r="B277" s="209" t="s">
        <v>570</v>
      </c>
      <c r="C277" s="209" t="s">
        <v>522</v>
      </c>
      <c r="D277" s="265">
        <v>129000</v>
      </c>
      <c r="E277" s="265">
        <v>129000</v>
      </c>
      <c r="F277" s="265">
        <f t="shared" si="10"/>
        <v>0</v>
      </c>
      <c r="G277" s="226">
        <v>129000</v>
      </c>
      <c r="H277" s="226">
        <v>129000</v>
      </c>
      <c r="I277" s="265">
        <f t="shared" si="11"/>
        <v>0</v>
      </c>
    </row>
    <row r="278" spans="1:9" x14ac:dyDescent="0.2">
      <c r="A278" s="202" t="s">
        <v>546</v>
      </c>
      <c r="B278" s="209" t="s">
        <v>570</v>
      </c>
      <c r="C278" s="209" t="s">
        <v>544</v>
      </c>
      <c r="D278" s="265">
        <v>52700</v>
      </c>
      <c r="E278" s="265">
        <v>52700</v>
      </c>
      <c r="F278" s="265">
        <f t="shared" si="10"/>
        <v>0</v>
      </c>
      <c r="G278" s="226">
        <v>52700</v>
      </c>
      <c r="H278" s="226">
        <v>52700</v>
      </c>
      <c r="I278" s="265">
        <f t="shared" si="11"/>
        <v>0</v>
      </c>
    </row>
    <row r="279" spans="1:9" x14ac:dyDescent="0.2">
      <c r="A279" s="199" t="s">
        <v>1145</v>
      </c>
      <c r="B279" s="212" t="s">
        <v>1144</v>
      </c>
      <c r="C279" s="212"/>
      <c r="D279" s="263">
        <v>12461</v>
      </c>
      <c r="E279" s="263">
        <f>E280+E289+E294</f>
        <v>12813</v>
      </c>
      <c r="F279" s="282">
        <f t="shared" si="10"/>
        <v>352</v>
      </c>
      <c r="G279" s="205">
        <v>12461</v>
      </c>
      <c r="H279" s="205">
        <f>H280+H289+H294</f>
        <v>12813</v>
      </c>
      <c r="I279" s="282">
        <f t="shared" si="11"/>
        <v>352</v>
      </c>
    </row>
    <row r="280" spans="1:9" x14ac:dyDescent="0.2">
      <c r="A280" s="199" t="s">
        <v>1285</v>
      </c>
      <c r="B280" s="212" t="s">
        <v>1286</v>
      </c>
      <c r="C280" s="212"/>
      <c r="D280" s="263">
        <v>400</v>
      </c>
      <c r="E280" s="263">
        <f>E281+E285</f>
        <v>400</v>
      </c>
      <c r="F280" s="282">
        <f t="shared" si="10"/>
        <v>0</v>
      </c>
      <c r="G280" s="205">
        <v>400</v>
      </c>
      <c r="H280" s="205">
        <f>H281+H285</f>
        <v>400</v>
      </c>
      <c r="I280" s="282">
        <f t="shared" si="11"/>
        <v>0</v>
      </c>
    </row>
    <row r="281" spans="1:9" ht="22.5" x14ac:dyDescent="0.2">
      <c r="A281" s="199" t="s">
        <v>1287</v>
      </c>
      <c r="B281" s="212" t="s">
        <v>1288</v>
      </c>
      <c r="C281" s="212"/>
      <c r="D281" s="263">
        <v>400</v>
      </c>
      <c r="E281" s="263">
        <f>E282</f>
        <v>0</v>
      </c>
      <c r="F281" s="282">
        <f t="shared" si="10"/>
        <v>-400</v>
      </c>
      <c r="G281" s="205">
        <v>400</v>
      </c>
      <c r="H281" s="205">
        <f>H282</f>
        <v>0</v>
      </c>
      <c r="I281" s="282">
        <f t="shared" si="11"/>
        <v>-400</v>
      </c>
    </row>
    <row r="282" spans="1:9" x14ac:dyDescent="0.2">
      <c r="A282" s="202" t="s">
        <v>1289</v>
      </c>
      <c r="B282" s="209" t="s">
        <v>1290</v>
      </c>
      <c r="C282" s="209"/>
      <c r="D282" s="265">
        <v>400</v>
      </c>
      <c r="E282" s="265">
        <f>E283</f>
        <v>0</v>
      </c>
      <c r="F282" s="281">
        <f t="shared" si="10"/>
        <v>-400</v>
      </c>
      <c r="G282" s="226">
        <v>400</v>
      </c>
      <c r="H282" s="226">
        <f>H283</f>
        <v>0</v>
      </c>
      <c r="I282" s="281">
        <f t="shared" si="11"/>
        <v>-400</v>
      </c>
    </row>
    <row r="283" spans="1:9" x14ac:dyDescent="0.2">
      <c r="A283" s="202" t="s">
        <v>1347</v>
      </c>
      <c r="B283" s="209" t="s">
        <v>1290</v>
      </c>
      <c r="C283" s="209" t="s">
        <v>535</v>
      </c>
      <c r="D283" s="265">
        <v>400</v>
      </c>
      <c r="E283" s="265">
        <f>E284</f>
        <v>0</v>
      </c>
      <c r="F283" s="281">
        <f t="shared" si="10"/>
        <v>-400</v>
      </c>
      <c r="G283" s="226">
        <v>400</v>
      </c>
      <c r="H283" s="226">
        <f>H284</f>
        <v>0</v>
      </c>
      <c r="I283" s="281">
        <f t="shared" si="11"/>
        <v>-400</v>
      </c>
    </row>
    <row r="284" spans="1:9" x14ac:dyDescent="0.2">
      <c r="A284" s="202" t="s">
        <v>534</v>
      </c>
      <c r="B284" s="209" t="s">
        <v>1290</v>
      </c>
      <c r="C284" s="209" t="s">
        <v>529</v>
      </c>
      <c r="D284" s="265">
        <v>400</v>
      </c>
      <c r="E284" s="265">
        <f>'Функциональная 2021-2022'!H324</f>
        <v>0</v>
      </c>
      <c r="F284" s="281">
        <f t="shared" si="10"/>
        <v>-400</v>
      </c>
      <c r="G284" s="226">
        <v>400</v>
      </c>
      <c r="H284" s="226">
        <f>'Функциональная 2021-2022'!N324</f>
        <v>0</v>
      </c>
      <c r="I284" s="281">
        <f t="shared" si="11"/>
        <v>-400</v>
      </c>
    </row>
    <row r="285" spans="1:9" s="444" customFormat="1" ht="25.5" customHeight="1" x14ac:dyDescent="0.2">
      <c r="A285" s="262" t="s">
        <v>1660</v>
      </c>
      <c r="B285" s="212" t="s">
        <v>1661</v>
      </c>
      <c r="C285" s="212"/>
      <c r="D285" s="263">
        <f t="shared" ref="D285:E287" si="12">D286</f>
        <v>0</v>
      </c>
      <c r="E285" s="263">
        <f t="shared" si="12"/>
        <v>400</v>
      </c>
      <c r="F285" s="282">
        <f t="shared" si="10"/>
        <v>400</v>
      </c>
      <c r="G285" s="205">
        <f t="shared" ref="G285:H287" si="13">G286</f>
        <v>0</v>
      </c>
      <c r="H285" s="205">
        <f t="shared" si="13"/>
        <v>400</v>
      </c>
      <c r="I285" s="282">
        <f t="shared" si="11"/>
        <v>400</v>
      </c>
    </row>
    <row r="286" spans="1:9" s="444" customFormat="1" x14ac:dyDescent="0.2">
      <c r="A286" s="264" t="s">
        <v>1289</v>
      </c>
      <c r="B286" s="209" t="s">
        <v>1662</v>
      </c>
      <c r="C286" s="209"/>
      <c r="D286" s="265">
        <f t="shared" si="12"/>
        <v>0</v>
      </c>
      <c r="E286" s="265">
        <f t="shared" si="12"/>
        <v>400</v>
      </c>
      <c r="F286" s="281">
        <f t="shared" si="10"/>
        <v>400</v>
      </c>
      <c r="G286" s="226">
        <f t="shared" si="13"/>
        <v>0</v>
      </c>
      <c r="H286" s="226">
        <f t="shared" si="13"/>
        <v>400</v>
      </c>
      <c r="I286" s="281">
        <f t="shared" si="11"/>
        <v>400</v>
      </c>
    </row>
    <row r="287" spans="1:9" s="444" customFormat="1" x14ac:dyDescent="0.2">
      <c r="A287" s="264" t="s">
        <v>1347</v>
      </c>
      <c r="B287" s="209" t="s">
        <v>1662</v>
      </c>
      <c r="C287" s="209" t="s">
        <v>535</v>
      </c>
      <c r="D287" s="265">
        <f t="shared" si="12"/>
        <v>0</v>
      </c>
      <c r="E287" s="265">
        <f t="shared" si="12"/>
        <v>400</v>
      </c>
      <c r="F287" s="281">
        <f t="shared" si="10"/>
        <v>400</v>
      </c>
      <c r="G287" s="226">
        <f t="shared" si="13"/>
        <v>0</v>
      </c>
      <c r="H287" s="226">
        <f t="shared" si="13"/>
        <v>400</v>
      </c>
      <c r="I287" s="281">
        <f t="shared" si="11"/>
        <v>400</v>
      </c>
    </row>
    <row r="288" spans="1:9" s="444" customFormat="1" x14ac:dyDescent="0.2">
      <c r="A288" s="264" t="s">
        <v>534</v>
      </c>
      <c r="B288" s="209" t="s">
        <v>1662</v>
      </c>
      <c r="C288" s="209" t="s">
        <v>529</v>
      </c>
      <c r="D288" s="265">
        <v>0</v>
      </c>
      <c r="E288" s="265">
        <f>'Функциональная 2021-2022'!H328</f>
        <v>400</v>
      </c>
      <c r="F288" s="281">
        <f t="shared" si="10"/>
        <v>400</v>
      </c>
      <c r="G288" s="226">
        <v>0</v>
      </c>
      <c r="H288" s="226">
        <f>'Функциональная 2021-2022'!N328</f>
        <v>400</v>
      </c>
      <c r="I288" s="281">
        <f t="shared" si="11"/>
        <v>400</v>
      </c>
    </row>
    <row r="289" spans="1:9" x14ac:dyDescent="0.2">
      <c r="A289" s="199" t="s">
        <v>1143</v>
      </c>
      <c r="B289" s="212" t="s">
        <v>1142</v>
      </c>
      <c r="C289" s="212"/>
      <c r="D289" s="263">
        <v>8690</v>
      </c>
      <c r="E289" s="263">
        <v>8690</v>
      </c>
      <c r="F289" s="263">
        <f t="shared" si="10"/>
        <v>0</v>
      </c>
      <c r="G289" s="205">
        <v>8690</v>
      </c>
      <c r="H289" s="205">
        <v>8690</v>
      </c>
      <c r="I289" s="263">
        <f t="shared" si="11"/>
        <v>0</v>
      </c>
    </row>
    <row r="290" spans="1:9" ht="33.75" x14ac:dyDescent="0.2">
      <c r="A290" s="199" t="s">
        <v>1141</v>
      </c>
      <c r="B290" s="212" t="s">
        <v>1140</v>
      </c>
      <c r="C290" s="212"/>
      <c r="D290" s="263">
        <v>8690</v>
      </c>
      <c r="E290" s="263">
        <v>8690</v>
      </c>
      <c r="F290" s="263">
        <f t="shared" si="10"/>
        <v>0</v>
      </c>
      <c r="G290" s="205">
        <v>8690</v>
      </c>
      <c r="H290" s="205">
        <v>8690</v>
      </c>
      <c r="I290" s="263">
        <f t="shared" si="11"/>
        <v>0</v>
      </c>
    </row>
    <row r="291" spans="1:9" x14ac:dyDescent="0.2">
      <c r="A291" s="202" t="s">
        <v>1139</v>
      </c>
      <c r="B291" s="209" t="s">
        <v>1138</v>
      </c>
      <c r="C291" s="209"/>
      <c r="D291" s="265">
        <v>8690</v>
      </c>
      <c r="E291" s="265">
        <v>8690</v>
      </c>
      <c r="F291" s="265">
        <f t="shared" ref="F291:F363" si="14">E291-D291</f>
        <v>0</v>
      </c>
      <c r="G291" s="226">
        <v>8690</v>
      </c>
      <c r="H291" s="226">
        <v>8690</v>
      </c>
      <c r="I291" s="265">
        <f t="shared" ref="I291:I363" si="15">H291-G291</f>
        <v>0</v>
      </c>
    </row>
    <row r="292" spans="1:9" x14ac:dyDescent="0.2">
      <c r="A292" s="202" t="s">
        <v>1347</v>
      </c>
      <c r="B292" s="209" t="s">
        <v>1138</v>
      </c>
      <c r="C292" s="209" t="s">
        <v>535</v>
      </c>
      <c r="D292" s="265">
        <v>8690</v>
      </c>
      <c r="E292" s="265">
        <v>8690</v>
      </c>
      <c r="F292" s="265">
        <f t="shared" si="14"/>
        <v>0</v>
      </c>
      <c r="G292" s="226">
        <v>8690</v>
      </c>
      <c r="H292" s="226">
        <v>8690</v>
      </c>
      <c r="I292" s="265">
        <f t="shared" si="15"/>
        <v>0</v>
      </c>
    </row>
    <row r="293" spans="1:9" x14ac:dyDescent="0.2">
      <c r="A293" s="202" t="s">
        <v>534</v>
      </c>
      <c r="B293" s="209" t="s">
        <v>1138</v>
      </c>
      <c r="C293" s="209" t="s">
        <v>529</v>
      </c>
      <c r="D293" s="265">
        <v>8690</v>
      </c>
      <c r="E293" s="265">
        <v>8690</v>
      </c>
      <c r="F293" s="265">
        <f t="shared" si="14"/>
        <v>0</v>
      </c>
      <c r="G293" s="226">
        <v>8690</v>
      </c>
      <c r="H293" s="226">
        <v>8690</v>
      </c>
      <c r="I293" s="265">
        <f t="shared" si="15"/>
        <v>0</v>
      </c>
    </row>
    <row r="294" spans="1:9" x14ac:dyDescent="0.2">
      <c r="A294" s="199" t="s">
        <v>1137</v>
      </c>
      <c r="B294" s="212" t="s">
        <v>1136</v>
      </c>
      <c r="C294" s="212"/>
      <c r="D294" s="263">
        <v>3371</v>
      </c>
      <c r="E294" s="263">
        <f>E295</f>
        <v>3723</v>
      </c>
      <c r="F294" s="263">
        <f t="shared" si="14"/>
        <v>352</v>
      </c>
      <c r="G294" s="205">
        <v>3371</v>
      </c>
      <c r="H294" s="205">
        <f>H295</f>
        <v>3723</v>
      </c>
      <c r="I294" s="263">
        <f t="shared" si="15"/>
        <v>352</v>
      </c>
    </row>
    <row r="295" spans="1:9" ht="33.75" x14ac:dyDescent="0.2">
      <c r="A295" s="199" t="s">
        <v>1135</v>
      </c>
      <c r="B295" s="212" t="s">
        <v>1134</v>
      </c>
      <c r="C295" s="212"/>
      <c r="D295" s="263">
        <v>3371</v>
      </c>
      <c r="E295" s="263">
        <f>E296</f>
        <v>3723</v>
      </c>
      <c r="F295" s="263">
        <f t="shared" si="14"/>
        <v>352</v>
      </c>
      <c r="G295" s="205">
        <v>3371</v>
      </c>
      <c r="H295" s="205">
        <f>H296</f>
        <v>3723</v>
      </c>
      <c r="I295" s="263">
        <f t="shared" si="15"/>
        <v>352</v>
      </c>
    </row>
    <row r="296" spans="1:9" ht="22.5" x14ac:dyDescent="0.2">
      <c r="A296" s="202" t="s">
        <v>1606</v>
      </c>
      <c r="B296" s="209" t="s">
        <v>1133</v>
      </c>
      <c r="C296" s="209"/>
      <c r="D296" s="265">
        <v>3371</v>
      </c>
      <c r="E296" s="265">
        <f>E297+E299</f>
        <v>3723</v>
      </c>
      <c r="F296" s="265">
        <f t="shared" si="14"/>
        <v>352</v>
      </c>
      <c r="G296" s="226">
        <v>3371</v>
      </c>
      <c r="H296" s="226">
        <f>H297+H299</f>
        <v>3723</v>
      </c>
      <c r="I296" s="265">
        <f t="shared" si="15"/>
        <v>352</v>
      </c>
    </row>
    <row r="297" spans="1:9" ht="22.5" x14ac:dyDescent="0.2">
      <c r="A297" s="202" t="s">
        <v>1348</v>
      </c>
      <c r="B297" s="209" t="s">
        <v>1133</v>
      </c>
      <c r="C297" s="209" t="s">
        <v>556</v>
      </c>
      <c r="D297" s="265">
        <v>1069.2</v>
      </c>
      <c r="E297" s="265">
        <v>1069.2</v>
      </c>
      <c r="F297" s="265">
        <f t="shared" si="14"/>
        <v>0</v>
      </c>
      <c r="G297" s="226">
        <v>1069.2</v>
      </c>
      <c r="H297" s="226">
        <v>1069.2</v>
      </c>
      <c r="I297" s="265">
        <f t="shared" si="15"/>
        <v>0</v>
      </c>
    </row>
    <row r="298" spans="1:9" x14ac:dyDescent="0.2">
      <c r="A298" s="202" t="s">
        <v>749</v>
      </c>
      <c r="B298" s="209" t="s">
        <v>1133</v>
      </c>
      <c r="C298" s="209" t="s">
        <v>745</v>
      </c>
      <c r="D298" s="265">
        <v>1069.2</v>
      </c>
      <c r="E298" s="265">
        <v>1069.2</v>
      </c>
      <c r="F298" s="265">
        <f t="shared" si="14"/>
        <v>0</v>
      </c>
      <c r="G298" s="226">
        <v>1069.2</v>
      </c>
      <c r="H298" s="226">
        <v>1069.2</v>
      </c>
      <c r="I298" s="265">
        <f t="shared" si="15"/>
        <v>0</v>
      </c>
    </row>
    <row r="299" spans="1:9" x14ac:dyDescent="0.2">
      <c r="A299" s="202" t="s">
        <v>1347</v>
      </c>
      <c r="B299" s="209" t="s">
        <v>1133</v>
      </c>
      <c r="C299" s="209" t="s">
        <v>535</v>
      </c>
      <c r="D299" s="265">
        <v>2301.8000000000002</v>
      </c>
      <c r="E299" s="265">
        <f>E300</f>
        <v>2653.8</v>
      </c>
      <c r="F299" s="265">
        <f t="shared" si="14"/>
        <v>352</v>
      </c>
      <c r="G299" s="226">
        <v>2301.8000000000002</v>
      </c>
      <c r="H299" s="226">
        <f>H300</f>
        <v>2653.8</v>
      </c>
      <c r="I299" s="265">
        <f t="shared" si="15"/>
        <v>352</v>
      </c>
    </row>
    <row r="300" spans="1:9" x14ac:dyDescent="0.2">
      <c r="A300" s="202" t="s">
        <v>534</v>
      </c>
      <c r="B300" s="209" t="s">
        <v>1133</v>
      </c>
      <c r="C300" s="209" t="s">
        <v>529</v>
      </c>
      <c r="D300" s="265">
        <v>2301.8000000000002</v>
      </c>
      <c r="E300" s="265">
        <f>'Функциональная 2021-2022'!H72+'Функциональная 2021-2022'!H338</f>
        <v>2653.8</v>
      </c>
      <c r="F300" s="265">
        <f t="shared" si="14"/>
        <v>352</v>
      </c>
      <c r="G300" s="226">
        <v>2301.8000000000002</v>
      </c>
      <c r="H300" s="226">
        <f>'Функциональная 2021-2022'!N338+'Функциональная 2021-2022'!N72</f>
        <v>2653.8</v>
      </c>
      <c r="I300" s="265">
        <f t="shared" si="15"/>
        <v>352</v>
      </c>
    </row>
    <row r="301" spans="1:9" x14ac:dyDescent="0.2">
      <c r="A301" s="199" t="s">
        <v>923</v>
      </c>
      <c r="B301" s="212" t="s">
        <v>922</v>
      </c>
      <c r="C301" s="212"/>
      <c r="D301" s="263">
        <v>15280</v>
      </c>
      <c r="E301" s="263">
        <f>E302+E314</f>
        <v>15280</v>
      </c>
      <c r="F301" s="282">
        <f t="shared" si="14"/>
        <v>0</v>
      </c>
      <c r="G301" s="205">
        <v>16090</v>
      </c>
      <c r="H301" s="205">
        <f>H302+H314</f>
        <v>16090</v>
      </c>
      <c r="I301" s="282">
        <f t="shared" si="15"/>
        <v>0</v>
      </c>
    </row>
    <row r="302" spans="1:9" x14ac:dyDescent="0.2">
      <c r="A302" s="199" t="s">
        <v>921</v>
      </c>
      <c r="B302" s="212" t="s">
        <v>920</v>
      </c>
      <c r="C302" s="212"/>
      <c r="D302" s="263">
        <v>14280</v>
      </c>
      <c r="E302" s="263">
        <f>E303+E310</f>
        <v>14280</v>
      </c>
      <c r="F302" s="282">
        <f t="shared" si="14"/>
        <v>0</v>
      </c>
      <c r="G302" s="205">
        <v>14590</v>
      </c>
      <c r="H302" s="205">
        <f>H303+H310</f>
        <v>14590</v>
      </c>
      <c r="I302" s="282">
        <f t="shared" si="15"/>
        <v>0</v>
      </c>
    </row>
    <row r="303" spans="1:9" s="239" customFormat="1" ht="22.5" x14ac:dyDescent="0.2">
      <c r="A303" s="199" t="s">
        <v>1015</v>
      </c>
      <c r="B303" s="212" t="s">
        <v>1014</v>
      </c>
      <c r="C303" s="212"/>
      <c r="D303" s="265">
        <v>14230</v>
      </c>
      <c r="E303" s="265">
        <f>E304+E307</f>
        <v>14230</v>
      </c>
      <c r="F303" s="281">
        <f t="shared" si="14"/>
        <v>0</v>
      </c>
      <c r="G303" s="226">
        <v>14440</v>
      </c>
      <c r="H303" s="226">
        <f>H304+H307</f>
        <v>14440</v>
      </c>
      <c r="I303" s="281">
        <f t="shared" si="15"/>
        <v>0</v>
      </c>
    </row>
    <row r="304" spans="1:9" s="239" customFormat="1" x14ac:dyDescent="0.2">
      <c r="A304" s="202" t="s">
        <v>917</v>
      </c>
      <c r="B304" s="209" t="s">
        <v>1377</v>
      </c>
      <c r="C304" s="209"/>
      <c r="D304" s="265">
        <v>4230</v>
      </c>
      <c r="E304" s="265">
        <f t="shared" ref="E304:E305" si="16">E305</f>
        <v>4230</v>
      </c>
      <c r="F304" s="281">
        <f t="shared" si="14"/>
        <v>0</v>
      </c>
      <c r="G304" s="226">
        <v>4440</v>
      </c>
      <c r="H304" s="226">
        <f t="shared" ref="H304:H305" si="17">H305</f>
        <v>4440</v>
      </c>
      <c r="I304" s="281">
        <f t="shared" si="15"/>
        <v>0</v>
      </c>
    </row>
    <row r="305" spans="1:9" s="239" customFormat="1" x14ac:dyDescent="0.2">
      <c r="A305" s="202" t="s">
        <v>1347</v>
      </c>
      <c r="B305" s="209" t="s">
        <v>1377</v>
      </c>
      <c r="C305" s="209">
        <v>200</v>
      </c>
      <c r="D305" s="265">
        <v>4230</v>
      </c>
      <c r="E305" s="265">
        <f t="shared" si="16"/>
        <v>4230</v>
      </c>
      <c r="F305" s="281">
        <f t="shared" si="14"/>
        <v>0</v>
      </c>
      <c r="G305" s="226">
        <v>4440</v>
      </c>
      <c r="H305" s="226">
        <f t="shared" si="17"/>
        <v>4440</v>
      </c>
      <c r="I305" s="281">
        <f t="shared" si="15"/>
        <v>0</v>
      </c>
    </row>
    <row r="306" spans="1:9" s="239" customFormat="1" x14ac:dyDescent="0.2">
      <c r="A306" s="202" t="s">
        <v>534</v>
      </c>
      <c r="B306" s="209" t="s">
        <v>1377</v>
      </c>
      <c r="C306" s="209">
        <v>240</v>
      </c>
      <c r="D306" s="265">
        <v>4230</v>
      </c>
      <c r="E306" s="265">
        <f>'Функциональная 2021-2022'!H566+'Функциональная 2021-2022'!H734</f>
        <v>4230</v>
      </c>
      <c r="F306" s="281">
        <f t="shared" si="14"/>
        <v>0</v>
      </c>
      <c r="G306" s="226">
        <v>4440</v>
      </c>
      <c r="H306" s="226">
        <f>'Функциональная 2021-2022'!N566+'Функциональная 2021-2022'!N734</f>
        <v>4440</v>
      </c>
      <c r="I306" s="281">
        <f t="shared" si="15"/>
        <v>0</v>
      </c>
    </row>
    <row r="307" spans="1:9" s="242" customFormat="1" x14ac:dyDescent="0.2">
      <c r="A307" s="202" t="s">
        <v>915</v>
      </c>
      <c r="B307" s="209" t="s">
        <v>1386</v>
      </c>
      <c r="C307" s="209"/>
      <c r="D307" s="265">
        <v>10000</v>
      </c>
      <c r="E307" s="265">
        <f>E308</f>
        <v>10000</v>
      </c>
      <c r="F307" s="281">
        <f t="shared" si="14"/>
        <v>0</v>
      </c>
      <c r="G307" s="226">
        <v>10000</v>
      </c>
      <c r="H307" s="226">
        <f>H308</f>
        <v>10000</v>
      </c>
      <c r="I307" s="281">
        <f t="shared" si="15"/>
        <v>0</v>
      </c>
    </row>
    <row r="308" spans="1:9" s="242" customFormat="1" x14ac:dyDescent="0.2">
      <c r="A308" s="202" t="s">
        <v>1347</v>
      </c>
      <c r="B308" s="209" t="s">
        <v>1386</v>
      </c>
      <c r="C308" s="209">
        <v>200</v>
      </c>
      <c r="D308" s="265">
        <v>10000</v>
      </c>
      <c r="E308" s="265">
        <f>E309</f>
        <v>10000</v>
      </c>
      <c r="F308" s="281">
        <f t="shared" si="14"/>
        <v>0</v>
      </c>
      <c r="G308" s="226">
        <v>10000</v>
      </c>
      <c r="H308" s="226">
        <f>H309</f>
        <v>10000</v>
      </c>
      <c r="I308" s="281">
        <f t="shared" si="15"/>
        <v>0</v>
      </c>
    </row>
    <row r="309" spans="1:9" s="242" customFormat="1" x14ac:dyDescent="0.2">
      <c r="A309" s="202" t="s">
        <v>534</v>
      </c>
      <c r="B309" s="209" t="s">
        <v>1386</v>
      </c>
      <c r="C309" s="209">
        <v>240</v>
      </c>
      <c r="D309" s="265">
        <v>10000</v>
      </c>
      <c r="E309" s="265">
        <f>'Функциональная 2021-2022'!H737</f>
        <v>10000</v>
      </c>
      <c r="F309" s="281">
        <f t="shared" si="14"/>
        <v>0</v>
      </c>
      <c r="G309" s="226">
        <v>10000</v>
      </c>
      <c r="H309" s="226">
        <f>'Функциональная 2021-2022'!N737</f>
        <v>10000</v>
      </c>
      <c r="I309" s="281">
        <f t="shared" si="15"/>
        <v>0</v>
      </c>
    </row>
    <row r="310" spans="1:9" x14ac:dyDescent="0.2">
      <c r="A310" s="199" t="s">
        <v>919</v>
      </c>
      <c r="B310" s="212" t="s">
        <v>918</v>
      </c>
      <c r="C310" s="212"/>
      <c r="D310" s="263">
        <v>50</v>
      </c>
      <c r="E310" s="263">
        <f>E311</f>
        <v>50</v>
      </c>
      <c r="F310" s="282">
        <f t="shared" si="14"/>
        <v>0</v>
      </c>
      <c r="G310" s="205">
        <v>150</v>
      </c>
      <c r="H310" s="205">
        <f>H311</f>
        <v>150</v>
      </c>
      <c r="I310" s="282">
        <f t="shared" si="15"/>
        <v>0</v>
      </c>
    </row>
    <row r="311" spans="1:9" x14ac:dyDescent="0.2">
      <c r="A311" s="202" t="s">
        <v>917</v>
      </c>
      <c r="B311" s="209" t="s">
        <v>916</v>
      </c>
      <c r="C311" s="209"/>
      <c r="D311" s="265">
        <v>50</v>
      </c>
      <c r="E311" s="265">
        <f>E312</f>
        <v>50</v>
      </c>
      <c r="F311" s="281">
        <f t="shared" si="14"/>
        <v>0</v>
      </c>
      <c r="G311" s="226">
        <v>150</v>
      </c>
      <c r="H311" s="226">
        <f>H312</f>
        <v>150</v>
      </c>
      <c r="I311" s="281">
        <f t="shared" si="15"/>
        <v>0</v>
      </c>
    </row>
    <row r="312" spans="1:9" x14ac:dyDescent="0.2">
      <c r="A312" s="202" t="s">
        <v>1347</v>
      </c>
      <c r="B312" s="209" t="s">
        <v>916</v>
      </c>
      <c r="C312" s="209" t="s">
        <v>535</v>
      </c>
      <c r="D312" s="265">
        <v>50</v>
      </c>
      <c r="E312" s="265">
        <f>E313</f>
        <v>50</v>
      </c>
      <c r="F312" s="281">
        <f t="shared" si="14"/>
        <v>0</v>
      </c>
      <c r="G312" s="226">
        <v>150</v>
      </c>
      <c r="H312" s="226">
        <f>H313</f>
        <v>150</v>
      </c>
      <c r="I312" s="281">
        <f t="shared" si="15"/>
        <v>0</v>
      </c>
    </row>
    <row r="313" spans="1:9" x14ac:dyDescent="0.2">
      <c r="A313" s="202" t="s">
        <v>534</v>
      </c>
      <c r="B313" s="209" t="s">
        <v>916</v>
      </c>
      <c r="C313" s="209" t="s">
        <v>529</v>
      </c>
      <c r="D313" s="265">
        <v>50</v>
      </c>
      <c r="E313" s="265">
        <f>'Функциональная 2021-2022'!H741</f>
        <v>50</v>
      </c>
      <c r="F313" s="281">
        <f t="shared" si="14"/>
        <v>0</v>
      </c>
      <c r="G313" s="226">
        <v>150</v>
      </c>
      <c r="H313" s="226">
        <f>'Функциональная 2021-2022'!N741</f>
        <v>150</v>
      </c>
      <c r="I313" s="281">
        <f t="shared" si="15"/>
        <v>0</v>
      </c>
    </row>
    <row r="314" spans="1:9" s="242" customFormat="1" x14ac:dyDescent="0.2">
      <c r="A314" s="199" t="s">
        <v>1380</v>
      </c>
      <c r="B314" s="212" t="s">
        <v>1383</v>
      </c>
      <c r="C314" s="212"/>
      <c r="D314" s="265">
        <v>1000</v>
      </c>
      <c r="E314" s="265">
        <f t="shared" ref="E314:E317" si="18">E315</f>
        <v>1000</v>
      </c>
      <c r="F314" s="281">
        <f t="shared" si="14"/>
        <v>0</v>
      </c>
      <c r="G314" s="226">
        <v>1500</v>
      </c>
      <c r="H314" s="226">
        <f t="shared" ref="H314:H317" si="19">H315</f>
        <v>1500</v>
      </c>
      <c r="I314" s="281">
        <f t="shared" si="15"/>
        <v>0</v>
      </c>
    </row>
    <row r="315" spans="1:9" s="242" customFormat="1" x14ac:dyDescent="0.2">
      <c r="A315" s="199" t="s">
        <v>1381</v>
      </c>
      <c r="B315" s="212" t="s">
        <v>1384</v>
      </c>
      <c r="C315" s="212"/>
      <c r="D315" s="265">
        <v>1000</v>
      </c>
      <c r="E315" s="265">
        <f t="shared" si="18"/>
        <v>1000</v>
      </c>
      <c r="F315" s="281">
        <f t="shared" si="14"/>
        <v>0</v>
      </c>
      <c r="G315" s="226">
        <v>1500</v>
      </c>
      <c r="H315" s="226">
        <f t="shared" si="19"/>
        <v>1500</v>
      </c>
      <c r="I315" s="281">
        <f t="shared" si="15"/>
        <v>0</v>
      </c>
    </row>
    <row r="316" spans="1:9" s="242" customFormat="1" ht="22.5" x14ac:dyDescent="0.2">
      <c r="A316" s="202" t="s">
        <v>1382</v>
      </c>
      <c r="B316" s="209" t="s">
        <v>1385</v>
      </c>
      <c r="C316" s="209"/>
      <c r="D316" s="265">
        <v>1000</v>
      </c>
      <c r="E316" s="265">
        <f t="shared" si="18"/>
        <v>1000</v>
      </c>
      <c r="F316" s="281">
        <f t="shared" si="14"/>
        <v>0</v>
      </c>
      <c r="G316" s="226">
        <v>1500</v>
      </c>
      <c r="H316" s="226">
        <f t="shared" si="19"/>
        <v>1500</v>
      </c>
      <c r="I316" s="281">
        <f t="shared" si="15"/>
        <v>0</v>
      </c>
    </row>
    <row r="317" spans="1:9" s="242" customFormat="1" x14ac:dyDescent="0.2">
      <c r="A317" s="202" t="s">
        <v>1347</v>
      </c>
      <c r="B317" s="209" t="s">
        <v>1385</v>
      </c>
      <c r="C317" s="209" t="s">
        <v>535</v>
      </c>
      <c r="D317" s="265">
        <v>1000</v>
      </c>
      <c r="E317" s="265">
        <f t="shared" si="18"/>
        <v>1000</v>
      </c>
      <c r="F317" s="281">
        <f t="shared" si="14"/>
        <v>0</v>
      </c>
      <c r="G317" s="226">
        <v>1500</v>
      </c>
      <c r="H317" s="226">
        <f t="shared" si="19"/>
        <v>1500</v>
      </c>
      <c r="I317" s="281">
        <f t="shared" si="15"/>
        <v>0</v>
      </c>
    </row>
    <row r="318" spans="1:9" s="242" customFormat="1" x14ac:dyDescent="0.2">
      <c r="A318" s="202" t="s">
        <v>534</v>
      </c>
      <c r="B318" s="209" t="s">
        <v>1385</v>
      </c>
      <c r="C318" s="209" t="s">
        <v>529</v>
      </c>
      <c r="D318" s="265">
        <v>1000</v>
      </c>
      <c r="E318" s="265">
        <f>'Функциональная 2021-2022'!H746</f>
        <v>1000</v>
      </c>
      <c r="F318" s="281">
        <f t="shared" si="14"/>
        <v>0</v>
      </c>
      <c r="G318" s="226">
        <v>1500</v>
      </c>
      <c r="H318" s="226">
        <f>'Функциональная 2021-2022'!N746</f>
        <v>1500</v>
      </c>
      <c r="I318" s="281">
        <f t="shared" si="15"/>
        <v>0</v>
      </c>
    </row>
    <row r="319" spans="1:9" x14ac:dyDescent="0.2">
      <c r="A319" s="199" t="s">
        <v>1005</v>
      </c>
      <c r="B319" s="212" t="s">
        <v>1004</v>
      </c>
      <c r="C319" s="212"/>
      <c r="D319" s="263">
        <v>143976.20000000001</v>
      </c>
      <c r="E319" s="263">
        <f>E320+E388+E397+E402+E415+E420</f>
        <v>143976.19999999998</v>
      </c>
      <c r="F319" s="282">
        <f t="shared" si="14"/>
        <v>0</v>
      </c>
      <c r="G319" s="205">
        <v>143976.20000000001</v>
      </c>
      <c r="H319" s="205">
        <f>H320+H388+H397+H402+H415+H420</f>
        <v>149976.19999999998</v>
      </c>
      <c r="I319" s="263">
        <f t="shared" si="15"/>
        <v>5999.9999999999709</v>
      </c>
    </row>
    <row r="320" spans="1:9" x14ac:dyDescent="0.2">
      <c r="A320" s="199" t="s">
        <v>1003</v>
      </c>
      <c r="B320" s="212" t="s">
        <v>1002</v>
      </c>
      <c r="C320" s="212"/>
      <c r="D320" s="263">
        <v>100294.8</v>
      </c>
      <c r="E320" s="263">
        <f>E321+E337+E341++E348+E359</f>
        <v>100294.79999999999</v>
      </c>
      <c r="F320" s="282">
        <f t="shared" si="14"/>
        <v>0</v>
      </c>
      <c r="G320" s="205">
        <v>100294.8</v>
      </c>
      <c r="H320" s="205">
        <f>H321+H337+H341++H348+H359</f>
        <v>106294.79999999999</v>
      </c>
      <c r="I320" s="263">
        <f t="shared" si="15"/>
        <v>5999.9999999999854</v>
      </c>
    </row>
    <row r="321" spans="1:9" ht="33.75" x14ac:dyDescent="0.2">
      <c r="A321" s="199" t="s">
        <v>1170</v>
      </c>
      <c r="B321" s="212" t="s">
        <v>1169</v>
      </c>
      <c r="C321" s="212"/>
      <c r="D321" s="263">
        <v>9225</v>
      </c>
      <c r="E321" s="263">
        <v>9225</v>
      </c>
      <c r="F321" s="263">
        <f t="shared" si="14"/>
        <v>0</v>
      </c>
      <c r="G321" s="205">
        <v>9225</v>
      </c>
      <c r="H321" s="205">
        <v>9225</v>
      </c>
      <c r="I321" s="263">
        <f t="shared" si="15"/>
        <v>0</v>
      </c>
    </row>
    <row r="322" spans="1:9" ht="33.75" x14ac:dyDescent="0.2">
      <c r="A322" s="202" t="s">
        <v>1168</v>
      </c>
      <c r="B322" s="209" t="s">
        <v>1167</v>
      </c>
      <c r="C322" s="209"/>
      <c r="D322" s="265">
        <v>8000</v>
      </c>
      <c r="E322" s="265">
        <v>8000</v>
      </c>
      <c r="F322" s="265">
        <f t="shared" si="14"/>
        <v>0</v>
      </c>
      <c r="G322" s="226">
        <v>8000</v>
      </c>
      <c r="H322" s="226">
        <v>8000</v>
      </c>
      <c r="I322" s="265">
        <f t="shared" si="15"/>
        <v>0</v>
      </c>
    </row>
    <row r="323" spans="1:9" x14ac:dyDescent="0.2">
      <c r="A323" s="202" t="s">
        <v>1347</v>
      </c>
      <c r="B323" s="209" t="s">
        <v>1167</v>
      </c>
      <c r="C323" s="209" t="s">
        <v>535</v>
      </c>
      <c r="D323" s="265">
        <v>8000</v>
      </c>
      <c r="E323" s="265">
        <v>8000</v>
      </c>
      <c r="F323" s="265">
        <f t="shared" si="14"/>
        <v>0</v>
      </c>
      <c r="G323" s="226">
        <v>8000</v>
      </c>
      <c r="H323" s="226">
        <v>8000</v>
      </c>
      <c r="I323" s="265">
        <f t="shared" si="15"/>
        <v>0</v>
      </c>
    </row>
    <row r="324" spans="1:9" x14ac:dyDescent="0.2">
      <c r="A324" s="202" t="s">
        <v>534</v>
      </c>
      <c r="B324" s="209" t="s">
        <v>1167</v>
      </c>
      <c r="C324" s="209" t="s">
        <v>529</v>
      </c>
      <c r="D324" s="265">
        <v>8000</v>
      </c>
      <c r="E324" s="265">
        <v>8000</v>
      </c>
      <c r="F324" s="265">
        <f t="shared" si="14"/>
        <v>0</v>
      </c>
      <c r="G324" s="226">
        <v>8000</v>
      </c>
      <c r="H324" s="226">
        <v>8000</v>
      </c>
      <c r="I324" s="265">
        <f t="shared" si="15"/>
        <v>0</v>
      </c>
    </row>
    <row r="325" spans="1:9" ht="33.75" x14ac:dyDescent="0.2">
      <c r="A325" s="202" t="s">
        <v>1541</v>
      </c>
      <c r="B325" s="209" t="s">
        <v>1166</v>
      </c>
      <c r="C325" s="209"/>
      <c r="D325" s="265">
        <v>90</v>
      </c>
      <c r="E325" s="265">
        <f>E326</f>
        <v>90</v>
      </c>
      <c r="F325" s="265">
        <f t="shared" si="14"/>
        <v>0</v>
      </c>
      <c r="G325" s="226">
        <v>90</v>
      </c>
      <c r="H325" s="226">
        <f>H326</f>
        <v>90</v>
      </c>
      <c r="I325" s="265">
        <f t="shared" si="15"/>
        <v>0</v>
      </c>
    </row>
    <row r="326" spans="1:9" s="406" customFormat="1" x14ac:dyDescent="0.2">
      <c r="A326" s="202" t="s">
        <v>547</v>
      </c>
      <c r="B326" s="209" t="s">
        <v>1166</v>
      </c>
      <c r="C326" s="209">
        <v>600</v>
      </c>
      <c r="D326" s="265">
        <v>90</v>
      </c>
      <c r="E326" s="265">
        <f>E327</f>
        <v>90</v>
      </c>
      <c r="F326" s="265">
        <f t="shared" si="14"/>
        <v>0</v>
      </c>
      <c r="G326" s="226">
        <v>90</v>
      </c>
      <c r="H326" s="226">
        <f>H327</f>
        <v>90</v>
      </c>
      <c r="I326" s="265">
        <f t="shared" si="15"/>
        <v>0</v>
      </c>
    </row>
    <row r="327" spans="1:9" s="406" customFormat="1" x14ac:dyDescent="0.2">
      <c r="A327" s="202" t="s">
        <v>571</v>
      </c>
      <c r="B327" s="209" t="s">
        <v>1166</v>
      </c>
      <c r="C327" s="209">
        <v>610</v>
      </c>
      <c r="D327" s="265">
        <v>90</v>
      </c>
      <c r="E327" s="265">
        <f>'Функциональная 2021-2022'!H266</f>
        <v>90</v>
      </c>
      <c r="F327" s="265">
        <f t="shared" si="14"/>
        <v>0</v>
      </c>
      <c r="G327" s="226">
        <v>90</v>
      </c>
      <c r="H327" s="226">
        <f>'Функциональная 2021-2022'!N266</f>
        <v>90</v>
      </c>
      <c r="I327" s="265">
        <f t="shared" si="15"/>
        <v>0</v>
      </c>
    </row>
    <row r="328" spans="1:9" ht="33.75" x14ac:dyDescent="0.2">
      <c r="A328" s="202" t="s">
        <v>1165</v>
      </c>
      <c r="B328" s="209" t="s">
        <v>1164</v>
      </c>
      <c r="C328" s="209"/>
      <c r="D328" s="265">
        <v>650</v>
      </c>
      <c r="E328" s="265">
        <v>650</v>
      </c>
      <c r="F328" s="265">
        <f t="shared" si="14"/>
        <v>0</v>
      </c>
      <c r="G328" s="226">
        <v>650</v>
      </c>
      <c r="H328" s="226">
        <v>650</v>
      </c>
      <c r="I328" s="265">
        <f t="shared" si="15"/>
        <v>0</v>
      </c>
    </row>
    <row r="329" spans="1:9" x14ac:dyDescent="0.2">
      <c r="A329" s="202" t="s">
        <v>1347</v>
      </c>
      <c r="B329" s="209" t="s">
        <v>1164</v>
      </c>
      <c r="C329" s="209" t="s">
        <v>535</v>
      </c>
      <c r="D329" s="265">
        <v>650</v>
      </c>
      <c r="E329" s="265">
        <v>650</v>
      </c>
      <c r="F329" s="265">
        <f t="shared" si="14"/>
        <v>0</v>
      </c>
      <c r="G329" s="226">
        <v>650</v>
      </c>
      <c r="H329" s="226">
        <v>650</v>
      </c>
      <c r="I329" s="265">
        <f t="shared" si="15"/>
        <v>0</v>
      </c>
    </row>
    <row r="330" spans="1:9" x14ac:dyDescent="0.2">
      <c r="A330" s="202" t="s">
        <v>534</v>
      </c>
      <c r="B330" s="209" t="s">
        <v>1164</v>
      </c>
      <c r="C330" s="209" t="s">
        <v>529</v>
      </c>
      <c r="D330" s="265">
        <v>650</v>
      </c>
      <c r="E330" s="265">
        <v>650</v>
      </c>
      <c r="F330" s="265">
        <f t="shared" si="14"/>
        <v>0</v>
      </c>
      <c r="G330" s="226">
        <v>650</v>
      </c>
      <c r="H330" s="226">
        <v>650</v>
      </c>
      <c r="I330" s="265">
        <f t="shared" si="15"/>
        <v>0</v>
      </c>
    </row>
    <row r="331" spans="1:9" ht="33.75" x14ac:dyDescent="0.2">
      <c r="A331" s="202" t="s">
        <v>1163</v>
      </c>
      <c r="B331" s="209" t="s">
        <v>1162</v>
      </c>
      <c r="C331" s="209"/>
      <c r="D331" s="265">
        <v>400</v>
      </c>
      <c r="E331" s="265">
        <v>400</v>
      </c>
      <c r="F331" s="265">
        <f t="shared" si="14"/>
        <v>0</v>
      </c>
      <c r="G331" s="226">
        <v>400</v>
      </c>
      <c r="H331" s="226">
        <v>400</v>
      </c>
      <c r="I331" s="265">
        <f t="shared" si="15"/>
        <v>0</v>
      </c>
    </row>
    <row r="332" spans="1:9" x14ac:dyDescent="0.2">
      <c r="A332" s="202" t="s">
        <v>1347</v>
      </c>
      <c r="B332" s="209" t="s">
        <v>1162</v>
      </c>
      <c r="C332" s="209" t="s">
        <v>535</v>
      </c>
      <c r="D332" s="265">
        <v>400</v>
      </c>
      <c r="E332" s="265">
        <v>400</v>
      </c>
      <c r="F332" s="265">
        <f t="shared" si="14"/>
        <v>0</v>
      </c>
      <c r="G332" s="226">
        <v>400</v>
      </c>
      <c r="H332" s="226">
        <v>400</v>
      </c>
      <c r="I332" s="265">
        <f t="shared" si="15"/>
        <v>0</v>
      </c>
    </row>
    <row r="333" spans="1:9" x14ac:dyDescent="0.2">
      <c r="A333" s="202" t="s">
        <v>534</v>
      </c>
      <c r="B333" s="209" t="s">
        <v>1162</v>
      </c>
      <c r="C333" s="209" t="s">
        <v>529</v>
      </c>
      <c r="D333" s="265">
        <v>400</v>
      </c>
      <c r="E333" s="265">
        <v>400</v>
      </c>
      <c r="F333" s="265">
        <f t="shared" si="14"/>
        <v>0</v>
      </c>
      <c r="G333" s="226">
        <v>400</v>
      </c>
      <c r="H333" s="226">
        <v>400</v>
      </c>
      <c r="I333" s="265">
        <f t="shared" si="15"/>
        <v>0</v>
      </c>
    </row>
    <row r="334" spans="1:9" ht="33.75" x14ac:dyDescent="0.2">
      <c r="A334" s="202" t="s">
        <v>1161</v>
      </c>
      <c r="B334" s="209" t="s">
        <v>1160</v>
      </c>
      <c r="C334" s="209"/>
      <c r="D334" s="265">
        <v>85</v>
      </c>
      <c r="E334" s="265">
        <v>85</v>
      </c>
      <c r="F334" s="265">
        <f t="shared" si="14"/>
        <v>0</v>
      </c>
      <c r="G334" s="226">
        <v>85</v>
      </c>
      <c r="H334" s="226">
        <v>85</v>
      </c>
      <c r="I334" s="265">
        <f t="shared" si="15"/>
        <v>0</v>
      </c>
    </row>
    <row r="335" spans="1:9" x14ac:dyDescent="0.2">
      <c r="A335" s="202" t="s">
        <v>547</v>
      </c>
      <c r="B335" s="209" t="s">
        <v>1160</v>
      </c>
      <c r="C335" s="209" t="s">
        <v>519</v>
      </c>
      <c r="D335" s="265">
        <v>85</v>
      </c>
      <c r="E335" s="265">
        <v>85</v>
      </c>
      <c r="F335" s="265">
        <f t="shared" si="14"/>
        <v>0</v>
      </c>
      <c r="G335" s="226">
        <v>85</v>
      </c>
      <c r="H335" s="226">
        <v>85</v>
      </c>
      <c r="I335" s="265">
        <f t="shared" si="15"/>
        <v>0</v>
      </c>
    </row>
    <row r="336" spans="1:9" x14ac:dyDescent="0.2">
      <c r="A336" s="202" t="s">
        <v>546</v>
      </c>
      <c r="B336" s="209" t="s">
        <v>1160</v>
      </c>
      <c r="C336" s="209" t="s">
        <v>544</v>
      </c>
      <c r="D336" s="265">
        <v>85</v>
      </c>
      <c r="E336" s="265">
        <v>85</v>
      </c>
      <c r="F336" s="265">
        <f t="shared" si="14"/>
        <v>0</v>
      </c>
      <c r="G336" s="226">
        <v>85</v>
      </c>
      <c r="H336" s="226">
        <v>85</v>
      </c>
      <c r="I336" s="265">
        <f t="shared" si="15"/>
        <v>0</v>
      </c>
    </row>
    <row r="337" spans="1:9" ht="33.75" x14ac:dyDescent="0.2">
      <c r="A337" s="199" t="s">
        <v>1159</v>
      </c>
      <c r="B337" s="212" t="s">
        <v>1158</v>
      </c>
      <c r="C337" s="212"/>
      <c r="D337" s="263">
        <v>18</v>
      </c>
      <c r="E337" s="263">
        <v>18</v>
      </c>
      <c r="F337" s="263">
        <f t="shared" si="14"/>
        <v>0</v>
      </c>
      <c r="G337" s="205">
        <v>18</v>
      </c>
      <c r="H337" s="205">
        <v>18</v>
      </c>
      <c r="I337" s="263">
        <f t="shared" si="15"/>
        <v>0</v>
      </c>
    </row>
    <row r="338" spans="1:9" ht="22.5" x14ac:dyDescent="0.2">
      <c r="A338" s="202" t="s">
        <v>1157</v>
      </c>
      <c r="B338" s="209" t="s">
        <v>1156</v>
      </c>
      <c r="C338" s="209"/>
      <c r="D338" s="265">
        <v>18</v>
      </c>
      <c r="E338" s="265">
        <v>18</v>
      </c>
      <c r="F338" s="265">
        <f t="shared" si="14"/>
        <v>0</v>
      </c>
      <c r="G338" s="226">
        <v>18</v>
      </c>
      <c r="H338" s="226">
        <v>18</v>
      </c>
      <c r="I338" s="265">
        <f t="shared" si="15"/>
        <v>0</v>
      </c>
    </row>
    <row r="339" spans="1:9" x14ac:dyDescent="0.2">
      <c r="A339" s="202" t="s">
        <v>547</v>
      </c>
      <c r="B339" s="209" t="s">
        <v>1156</v>
      </c>
      <c r="C339" s="209" t="s">
        <v>519</v>
      </c>
      <c r="D339" s="265">
        <v>18</v>
      </c>
      <c r="E339" s="265">
        <v>18</v>
      </c>
      <c r="F339" s="265">
        <f t="shared" si="14"/>
        <v>0</v>
      </c>
      <c r="G339" s="226">
        <v>18</v>
      </c>
      <c r="H339" s="226">
        <v>18</v>
      </c>
      <c r="I339" s="265">
        <f t="shared" si="15"/>
        <v>0</v>
      </c>
    </row>
    <row r="340" spans="1:9" x14ac:dyDescent="0.2">
      <c r="A340" s="202" t="s">
        <v>546</v>
      </c>
      <c r="B340" s="209" t="s">
        <v>1156</v>
      </c>
      <c r="C340" s="209" t="s">
        <v>544</v>
      </c>
      <c r="D340" s="265">
        <v>18</v>
      </c>
      <c r="E340" s="265">
        <v>18</v>
      </c>
      <c r="F340" s="265">
        <f t="shared" si="14"/>
        <v>0</v>
      </c>
      <c r="G340" s="226">
        <v>18</v>
      </c>
      <c r="H340" s="226">
        <v>18</v>
      </c>
      <c r="I340" s="265">
        <f t="shared" si="15"/>
        <v>0</v>
      </c>
    </row>
    <row r="341" spans="1:9" ht="22.5" x14ac:dyDescent="0.2">
      <c r="A341" s="199" t="s">
        <v>1155</v>
      </c>
      <c r="B341" s="212" t="s">
        <v>1154</v>
      </c>
      <c r="C341" s="212"/>
      <c r="D341" s="263">
        <v>37209.5</v>
      </c>
      <c r="E341" s="263">
        <v>37209.5</v>
      </c>
      <c r="F341" s="263">
        <f t="shared" si="14"/>
        <v>0</v>
      </c>
      <c r="G341" s="205">
        <v>37209.5</v>
      </c>
      <c r="H341" s="205">
        <v>37209.5</v>
      </c>
      <c r="I341" s="263">
        <f t="shared" si="15"/>
        <v>0</v>
      </c>
    </row>
    <row r="342" spans="1:9" x14ac:dyDescent="0.2">
      <c r="A342" s="202" t="s">
        <v>1153</v>
      </c>
      <c r="B342" s="209" t="s">
        <v>1152</v>
      </c>
      <c r="C342" s="209"/>
      <c r="D342" s="265">
        <v>8850</v>
      </c>
      <c r="E342" s="265">
        <v>8850</v>
      </c>
      <c r="F342" s="265">
        <f t="shared" si="14"/>
        <v>0</v>
      </c>
      <c r="G342" s="226">
        <v>8850</v>
      </c>
      <c r="H342" s="226">
        <v>8850</v>
      </c>
      <c r="I342" s="265">
        <f t="shared" si="15"/>
        <v>0</v>
      </c>
    </row>
    <row r="343" spans="1:9" x14ac:dyDescent="0.2">
      <c r="A343" s="202" t="s">
        <v>1347</v>
      </c>
      <c r="B343" s="209" t="s">
        <v>1152</v>
      </c>
      <c r="C343" s="209" t="s">
        <v>535</v>
      </c>
      <c r="D343" s="265">
        <v>8850</v>
      </c>
      <c r="E343" s="265">
        <v>8850</v>
      </c>
      <c r="F343" s="265">
        <f t="shared" si="14"/>
        <v>0</v>
      </c>
      <c r="G343" s="226">
        <v>8850</v>
      </c>
      <c r="H343" s="226">
        <v>8850</v>
      </c>
      <c r="I343" s="265">
        <f t="shared" si="15"/>
        <v>0</v>
      </c>
    </row>
    <row r="344" spans="1:9" x14ac:dyDescent="0.2">
      <c r="A344" s="202" t="s">
        <v>534</v>
      </c>
      <c r="B344" s="209" t="s">
        <v>1152</v>
      </c>
      <c r="C344" s="209" t="s">
        <v>529</v>
      </c>
      <c r="D344" s="265">
        <v>8850</v>
      </c>
      <c r="E344" s="265">
        <v>8850</v>
      </c>
      <c r="F344" s="265">
        <f t="shared" si="14"/>
        <v>0</v>
      </c>
      <c r="G344" s="226">
        <v>8850</v>
      </c>
      <c r="H344" s="226">
        <v>8850</v>
      </c>
      <c r="I344" s="265">
        <f t="shared" si="15"/>
        <v>0</v>
      </c>
    </row>
    <row r="345" spans="1:9" x14ac:dyDescent="0.2">
      <c r="A345" s="202" t="s">
        <v>1351</v>
      </c>
      <c r="B345" s="209" t="s">
        <v>1150</v>
      </c>
      <c r="C345" s="209"/>
      <c r="D345" s="265">
        <v>28359.5</v>
      </c>
      <c r="E345" s="265">
        <v>28359.5</v>
      </c>
      <c r="F345" s="265">
        <f t="shared" si="14"/>
        <v>0</v>
      </c>
      <c r="G345" s="226">
        <v>28359.5</v>
      </c>
      <c r="H345" s="226">
        <v>28359.5</v>
      </c>
      <c r="I345" s="265">
        <f t="shared" si="15"/>
        <v>0</v>
      </c>
    </row>
    <row r="346" spans="1:9" x14ac:dyDescent="0.2">
      <c r="A346" s="202" t="s">
        <v>547</v>
      </c>
      <c r="B346" s="209" t="s">
        <v>1150</v>
      </c>
      <c r="C346" s="209" t="s">
        <v>519</v>
      </c>
      <c r="D346" s="265">
        <v>28359.5</v>
      </c>
      <c r="E346" s="265">
        <v>28359.5</v>
      </c>
      <c r="F346" s="265">
        <f t="shared" si="14"/>
        <v>0</v>
      </c>
      <c r="G346" s="226">
        <v>28359.5</v>
      </c>
      <c r="H346" s="226">
        <v>28359.5</v>
      </c>
      <c r="I346" s="265">
        <f t="shared" si="15"/>
        <v>0</v>
      </c>
    </row>
    <row r="347" spans="1:9" x14ac:dyDescent="0.2">
      <c r="A347" s="202" t="s">
        <v>546</v>
      </c>
      <c r="B347" s="209" t="s">
        <v>1150</v>
      </c>
      <c r="C347" s="209" t="s">
        <v>544</v>
      </c>
      <c r="D347" s="265">
        <v>28359.5</v>
      </c>
      <c r="E347" s="265">
        <v>28359.5</v>
      </c>
      <c r="F347" s="265">
        <f t="shared" si="14"/>
        <v>0</v>
      </c>
      <c r="G347" s="226">
        <v>28359.5</v>
      </c>
      <c r="H347" s="226">
        <v>28359.5</v>
      </c>
      <c r="I347" s="265">
        <f t="shared" si="15"/>
        <v>0</v>
      </c>
    </row>
    <row r="348" spans="1:9" ht="45" x14ac:dyDescent="0.2">
      <c r="A348" s="199" t="s">
        <v>1001</v>
      </c>
      <c r="B348" s="212" t="s">
        <v>1000</v>
      </c>
      <c r="C348" s="212"/>
      <c r="D348" s="263">
        <v>4453.6000000000004</v>
      </c>
      <c r="E348" s="263">
        <f>E349+E354</f>
        <v>0</v>
      </c>
      <c r="F348" s="282">
        <f t="shared" si="14"/>
        <v>-4453.6000000000004</v>
      </c>
      <c r="G348" s="205">
        <v>4453.6000000000004</v>
      </c>
      <c r="H348" s="205">
        <f>H349+H354</f>
        <v>0</v>
      </c>
      <c r="I348" s="282">
        <f t="shared" si="15"/>
        <v>-4453.6000000000004</v>
      </c>
    </row>
    <row r="349" spans="1:9" ht="33.75" x14ac:dyDescent="0.2">
      <c r="A349" s="202" t="s">
        <v>1064</v>
      </c>
      <c r="B349" s="209" t="s">
        <v>1063</v>
      </c>
      <c r="C349" s="209"/>
      <c r="D349" s="265">
        <v>2399</v>
      </c>
      <c r="E349" s="265">
        <f>E350+E352</f>
        <v>0</v>
      </c>
      <c r="F349" s="281">
        <f t="shared" si="14"/>
        <v>-2399</v>
      </c>
      <c r="G349" s="226">
        <v>2399</v>
      </c>
      <c r="H349" s="226">
        <f>H350+H352</f>
        <v>0</v>
      </c>
      <c r="I349" s="281">
        <f t="shared" si="15"/>
        <v>-2399</v>
      </c>
    </row>
    <row r="350" spans="1:9" ht="22.5" x14ac:dyDescent="0.2">
      <c r="A350" s="202" t="s">
        <v>1348</v>
      </c>
      <c r="B350" s="209" t="s">
        <v>1063</v>
      </c>
      <c r="C350" s="209" t="s">
        <v>556</v>
      </c>
      <c r="D350" s="265">
        <v>1385.1</v>
      </c>
      <c r="E350" s="265">
        <f>E351</f>
        <v>0</v>
      </c>
      <c r="F350" s="281">
        <f t="shared" si="14"/>
        <v>-1385.1</v>
      </c>
      <c r="G350" s="226">
        <v>1385.1</v>
      </c>
      <c r="H350" s="226">
        <f>H351</f>
        <v>0</v>
      </c>
      <c r="I350" s="281">
        <f t="shared" si="15"/>
        <v>-1385.1</v>
      </c>
    </row>
    <row r="351" spans="1:9" x14ac:dyDescent="0.2">
      <c r="A351" s="202" t="s">
        <v>555</v>
      </c>
      <c r="B351" s="209" t="s">
        <v>1063</v>
      </c>
      <c r="C351" s="209" t="s">
        <v>554</v>
      </c>
      <c r="D351" s="265">
        <v>1385.1</v>
      </c>
      <c r="E351" s="265">
        <f>'Функциональная 2021-2022'!H462</f>
        <v>0</v>
      </c>
      <c r="F351" s="281">
        <f t="shared" si="14"/>
        <v>-1385.1</v>
      </c>
      <c r="G351" s="226">
        <v>1385.1</v>
      </c>
      <c r="H351" s="226">
        <f>'Функциональная 2021-2022'!N462</f>
        <v>0</v>
      </c>
      <c r="I351" s="281">
        <f t="shared" si="15"/>
        <v>-1385.1</v>
      </c>
    </row>
    <row r="352" spans="1:9" x14ac:dyDescent="0.2">
      <c r="A352" s="202" t="s">
        <v>1347</v>
      </c>
      <c r="B352" s="209" t="s">
        <v>1063</v>
      </c>
      <c r="C352" s="209" t="s">
        <v>535</v>
      </c>
      <c r="D352" s="265">
        <v>1013.9</v>
      </c>
      <c r="E352" s="265">
        <f>E353</f>
        <v>0</v>
      </c>
      <c r="F352" s="281">
        <f t="shared" si="14"/>
        <v>-1013.9</v>
      </c>
      <c r="G352" s="226">
        <v>1013.9</v>
      </c>
      <c r="H352" s="226">
        <f>H353</f>
        <v>0</v>
      </c>
      <c r="I352" s="281">
        <f t="shared" si="15"/>
        <v>-1013.9</v>
      </c>
    </row>
    <row r="353" spans="1:9" x14ac:dyDescent="0.2">
      <c r="A353" s="202" t="s">
        <v>534</v>
      </c>
      <c r="B353" s="209" t="s">
        <v>1063</v>
      </c>
      <c r="C353" s="209" t="s">
        <v>529</v>
      </c>
      <c r="D353" s="265">
        <v>1013.9</v>
      </c>
      <c r="E353" s="265">
        <f>'Функциональная 2021-2022'!H464</f>
        <v>0</v>
      </c>
      <c r="F353" s="281">
        <f t="shared" si="14"/>
        <v>-1013.9</v>
      </c>
      <c r="G353" s="226">
        <v>1013.9</v>
      </c>
      <c r="H353" s="226">
        <f>'Функциональная 2021-2022'!N464</f>
        <v>0</v>
      </c>
      <c r="I353" s="281">
        <f t="shared" si="15"/>
        <v>-1013.9</v>
      </c>
    </row>
    <row r="354" spans="1:9" ht="33.75" x14ac:dyDescent="0.2">
      <c r="A354" s="202" t="s">
        <v>1364</v>
      </c>
      <c r="B354" s="209" t="s">
        <v>999</v>
      </c>
      <c r="C354" s="209"/>
      <c r="D354" s="265">
        <v>2054.6000000000004</v>
      </c>
      <c r="E354" s="265">
        <f>E355+E357</f>
        <v>0</v>
      </c>
      <c r="F354" s="281">
        <f t="shared" si="14"/>
        <v>-2054.6000000000004</v>
      </c>
      <c r="G354" s="226">
        <v>2054.6000000000004</v>
      </c>
      <c r="H354" s="226">
        <f t="shared" ref="H354" si="20">H355+H357</f>
        <v>0</v>
      </c>
      <c r="I354" s="281">
        <f t="shared" si="15"/>
        <v>-2054.6000000000004</v>
      </c>
    </row>
    <row r="355" spans="1:9" ht="33.75" x14ac:dyDescent="0.2">
      <c r="A355" s="202" t="s">
        <v>1365</v>
      </c>
      <c r="B355" s="209" t="s">
        <v>999</v>
      </c>
      <c r="C355" s="209" t="s">
        <v>556</v>
      </c>
      <c r="D355" s="265">
        <v>1499.1000000000001</v>
      </c>
      <c r="E355" s="265">
        <f>E356</f>
        <v>0</v>
      </c>
      <c r="F355" s="281">
        <f t="shared" si="14"/>
        <v>-1499.1000000000001</v>
      </c>
      <c r="G355" s="226">
        <v>1499.1000000000001</v>
      </c>
      <c r="H355" s="226">
        <f t="shared" ref="H355" si="21">H356</f>
        <v>0</v>
      </c>
      <c r="I355" s="281">
        <f t="shared" si="15"/>
        <v>-1499.1000000000001</v>
      </c>
    </row>
    <row r="356" spans="1:9" x14ac:dyDescent="0.2">
      <c r="A356" s="202" t="s">
        <v>555</v>
      </c>
      <c r="B356" s="209" t="s">
        <v>999</v>
      </c>
      <c r="C356" s="209" t="s">
        <v>554</v>
      </c>
      <c r="D356" s="265">
        <v>1499.1000000000001</v>
      </c>
      <c r="E356" s="265">
        <f>'Функциональная 2021-2022'!H467</f>
        <v>0</v>
      </c>
      <c r="F356" s="281">
        <f t="shared" si="14"/>
        <v>-1499.1000000000001</v>
      </c>
      <c r="G356" s="226">
        <v>1499.1000000000001</v>
      </c>
      <c r="H356" s="226">
        <f>'Функциональная 2021-2022'!N467</f>
        <v>0</v>
      </c>
      <c r="I356" s="281">
        <f t="shared" si="15"/>
        <v>-1499.1000000000001</v>
      </c>
    </row>
    <row r="357" spans="1:9" x14ac:dyDescent="0.2">
      <c r="A357" s="202" t="s">
        <v>1347</v>
      </c>
      <c r="B357" s="209" t="s">
        <v>999</v>
      </c>
      <c r="C357" s="209" t="s">
        <v>535</v>
      </c>
      <c r="D357" s="265">
        <v>555.5</v>
      </c>
      <c r="E357" s="265">
        <f>E358</f>
        <v>0</v>
      </c>
      <c r="F357" s="281">
        <f t="shared" si="14"/>
        <v>-555.5</v>
      </c>
      <c r="G357" s="226">
        <v>555.5</v>
      </c>
      <c r="H357" s="226">
        <f t="shared" ref="H357" si="22">H358</f>
        <v>0</v>
      </c>
      <c r="I357" s="281">
        <f t="shared" si="15"/>
        <v>-555.5</v>
      </c>
    </row>
    <row r="358" spans="1:9" x14ac:dyDescent="0.2">
      <c r="A358" s="202" t="s">
        <v>534</v>
      </c>
      <c r="B358" s="209" t="s">
        <v>999</v>
      </c>
      <c r="C358" s="209" t="s">
        <v>529</v>
      </c>
      <c r="D358" s="265">
        <v>555.5</v>
      </c>
      <c r="E358" s="265">
        <f>'Функциональная 2021-2022'!H469</f>
        <v>0</v>
      </c>
      <c r="F358" s="281">
        <f t="shared" si="14"/>
        <v>-555.5</v>
      </c>
      <c r="G358" s="226">
        <v>555.5</v>
      </c>
      <c r="H358" s="226">
        <f>'Функциональная 2021-2022'!N469</f>
        <v>0</v>
      </c>
      <c r="I358" s="281">
        <f t="shared" si="15"/>
        <v>-555.5</v>
      </c>
    </row>
    <row r="359" spans="1:9" x14ac:dyDescent="0.2">
      <c r="A359" s="199" t="s">
        <v>1640</v>
      </c>
      <c r="B359" s="212" t="s">
        <v>998</v>
      </c>
      <c r="C359" s="212"/>
      <c r="D359" s="263">
        <v>49388.7</v>
      </c>
      <c r="E359" s="263">
        <f>E360+E365+E368+E375+E378+E383</f>
        <v>53842.299999999996</v>
      </c>
      <c r="F359" s="263">
        <f t="shared" si="14"/>
        <v>4453.5999999999985</v>
      </c>
      <c r="G359" s="205">
        <v>49388.7</v>
      </c>
      <c r="H359" s="205">
        <f>H360+H365+H368+H375+H378+H383</f>
        <v>59842.299999999996</v>
      </c>
      <c r="I359" s="263">
        <f t="shared" si="15"/>
        <v>10453.599999999999</v>
      </c>
    </row>
    <row r="360" spans="1:9" x14ac:dyDescent="0.2">
      <c r="A360" s="202" t="s">
        <v>1353</v>
      </c>
      <c r="B360" s="209" t="s">
        <v>997</v>
      </c>
      <c r="C360" s="209"/>
      <c r="D360" s="265">
        <v>16404.900000000001</v>
      </c>
      <c r="E360" s="265">
        <v>16404.900000000001</v>
      </c>
      <c r="F360" s="265">
        <f t="shared" si="14"/>
        <v>0</v>
      </c>
      <c r="G360" s="226">
        <v>16404.900000000001</v>
      </c>
      <c r="H360" s="226">
        <v>16404.900000000001</v>
      </c>
      <c r="I360" s="265">
        <f t="shared" si="15"/>
        <v>0</v>
      </c>
    </row>
    <row r="361" spans="1:9" ht="22.5" x14ac:dyDescent="0.2">
      <c r="A361" s="202" t="s">
        <v>1348</v>
      </c>
      <c r="B361" s="209" t="s">
        <v>997</v>
      </c>
      <c r="C361" s="209" t="s">
        <v>556</v>
      </c>
      <c r="D361" s="265">
        <v>15908.9</v>
      </c>
      <c r="E361" s="265">
        <v>15908.9</v>
      </c>
      <c r="F361" s="265">
        <f t="shared" si="14"/>
        <v>0</v>
      </c>
      <c r="G361" s="226">
        <v>15908.9</v>
      </c>
      <c r="H361" s="226">
        <v>15908.9</v>
      </c>
      <c r="I361" s="265">
        <f t="shared" si="15"/>
        <v>0</v>
      </c>
    </row>
    <row r="362" spans="1:9" x14ac:dyDescent="0.2">
      <c r="A362" s="202" t="s">
        <v>555</v>
      </c>
      <c r="B362" s="209" t="s">
        <v>997</v>
      </c>
      <c r="C362" s="209" t="s">
        <v>554</v>
      </c>
      <c r="D362" s="265">
        <v>15908.9</v>
      </c>
      <c r="E362" s="265">
        <v>15908.9</v>
      </c>
      <c r="F362" s="265">
        <f t="shared" si="14"/>
        <v>0</v>
      </c>
      <c r="G362" s="226">
        <v>15908.9</v>
      </c>
      <c r="H362" s="226">
        <v>15908.9</v>
      </c>
      <c r="I362" s="265">
        <f t="shared" si="15"/>
        <v>0</v>
      </c>
    </row>
    <row r="363" spans="1:9" x14ac:dyDescent="0.2">
      <c r="A363" s="202" t="s">
        <v>1347</v>
      </c>
      <c r="B363" s="209" t="s">
        <v>997</v>
      </c>
      <c r="C363" s="209" t="s">
        <v>535</v>
      </c>
      <c r="D363" s="265">
        <v>496</v>
      </c>
      <c r="E363" s="265">
        <v>496</v>
      </c>
      <c r="F363" s="265">
        <f t="shared" si="14"/>
        <v>0</v>
      </c>
      <c r="G363" s="226">
        <v>496</v>
      </c>
      <c r="H363" s="226">
        <v>496</v>
      </c>
      <c r="I363" s="265">
        <f t="shared" si="15"/>
        <v>0</v>
      </c>
    </row>
    <row r="364" spans="1:9" x14ac:dyDescent="0.2">
      <c r="A364" s="202" t="s">
        <v>534</v>
      </c>
      <c r="B364" s="209" t="s">
        <v>997</v>
      </c>
      <c r="C364" s="209" t="s">
        <v>529</v>
      </c>
      <c r="D364" s="265">
        <v>496</v>
      </c>
      <c r="E364" s="265">
        <v>496</v>
      </c>
      <c r="F364" s="265">
        <f t="shared" ref="F364:F440" si="23">E364-D364</f>
        <v>0</v>
      </c>
      <c r="G364" s="226">
        <v>496</v>
      </c>
      <c r="H364" s="226">
        <v>496</v>
      </c>
      <c r="I364" s="265">
        <f t="shared" ref="I364:I440" si="24">H364-G364</f>
        <v>0</v>
      </c>
    </row>
    <row r="365" spans="1:9" x14ac:dyDescent="0.2">
      <c r="A365" s="202" t="s">
        <v>1354</v>
      </c>
      <c r="B365" s="209" t="s">
        <v>996</v>
      </c>
      <c r="C365" s="209"/>
      <c r="D365" s="265">
        <v>4000</v>
      </c>
      <c r="E365" s="265">
        <v>4000</v>
      </c>
      <c r="F365" s="265">
        <f t="shared" si="23"/>
        <v>0</v>
      </c>
      <c r="G365" s="226">
        <v>4000</v>
      </c>
      <c r="H365" s="226">
        <v>4000</v>
      </c>
      <c r="I365" s="265">
        <f t="shared" si="24"/>
        <v>0</v>
      </c>
    </row>
    <row r="366" spans="1:9" x14ac:dyDescent="0.2">
      <c r="A366" s="202" t="s">
        <v>1347</v>
      </c>
      <c r="B366" s="209" t="s">
        <v>996</v>
      </c>
      <c r="C366" s="209" t="s">
        <v>535</v>
      </c>
      <c r="D366" s="265">
        <v>4000</v>
      </c>
      <c r="E366" s="265">
        <v>4000</v>
      </c>
      <c r="F366" s="265">
        <f t="shared" si="23"/>
        <v>0</v>
      </c>
      <c r="G366" s="226">
        <v>4000</v>
      </c>
      <c r="H366" s="226">
        <v>4000</v>
      </c>
      <c r="I366" s="265">
        <f t="shared" si="24"/>
        <v>0</v>
      </c>
    </row>
    <row r="367" spans="1:9" x14ac:dyDescent="0.2">
      <c r="A367" s="202" t="s">
        <v>534</v>
      </c>
      <c r="B367" s="209" t="s">
        <v>996</v>
      </c>
      <c r="C367" s="209" t="s">
        <v>529</v>
      </c>
      <c r="D367" s="265">
        <v>4000</v>
      </c>
      <c r="E367" s="265">
        <v>4000</v>
      </c>
      <c r="F367" s="265">
        <f t="shared" si="23"/>
        <v>0</v>
      </c>
      <c r="G367" s="226">
        <v>4000</v>
      </c>
      <c r="H367" s="226">
        <v>4000</v>
      </c>
      <c r="I367" s="265">
        <f t="shared" si="24"/>
        <v>0</v>
      </c>
    </row>
    <row r="368" spans="1:9" x14ac:dyDescent="0.2">
      <c r="A368" s="202" t="s">
        <v>1354</v>
      </c>
      <c r="B368" s="209" t="s">
        <v>995</v>
      </c>
      <c r="C368" s="209"/>
      <c r="D368" s="265">
        <v>28983.8</v>
      </c>
      <c r="E368" s="265">
        <v>28983.8</v>
      </c>
      <c r="F368" s="265">
        <f t="shared" si="23"/>
        <v>0</v>
      </c>
      <c r="G368" s="226">
        <v>28983.8</v>
      </c>
      <c r="H368" s="226">
        <v>28983.8</v>
      </c>
      <c r="I368" s="265">
        <f t="shared" si="24"/>
        <v>0</v>
      </c>
    </row>
    <row r="369" spans="1:9" ht="22.5" x14ac:dyDescent="0.2">
      <c r="A369" s="202" t="s">
        <v>1348</v>
      </c>
      <c r="B369" s="209" t="s">
        <v>995</v>
      </c>
      <c r="C369" s="209" t="s">
        <v>556</v>
      </c>
      <c r="D369" s="265">
        <v>23864.9</v>
      </c>
      <c r="E369" s="265">
        <v>23864.9</v>
      </c>
      <c r="F369" s="265">
        <f t="shared" si="23"/>
        <v>0</v>
      </c>
      <c r="G369" s="226">
        <v>23864.9</v>
      </c>
      <c r="H369" s="226">
        <v>23864.9</v>
      </c>
      <c r="I369" s="265">
        <f t="shared" si="24"/>
        <v>0</v>
      </c>
    </row>
    <row r="370" spans="1:9" x14ac:dyDescent="0.2">
      <c r="A370" s="202" t="s">
        <v>555</v>
      </c>
      <c r="B370" s="209" t="s">
        <v>995</v>
      </c>
      <c r="C370" s="209" t="s">
        <v>554</v>
      </c>
      <c r="D370" s="265">
        <v>23864.9</v>
      </c>
      <c r="E370" s="265">
        <v>23864.9</v>
      </c>
      <c r="F370" s="265">
        <f t="shared" si="23"/>
        <v>0</v>
      </c>
      <c r="G370" s="226">
        <v>23864.9</v>
      </c>
      <c r="H370" s="226">
        <v>23864.9</v>
      </c>
      <c r="I370" s="265">
        <f t="shared" si="24"/>
        <v>0</v>
      </c>
    </row>
    <row r="371" spans="1:9" x14ac:dyDescent="0.2">
      <c r="A371" s="202" t="s">
        <v>1347</v>
      </c>
      <c r="B371" s="209" t="s">
        <v>995</v>
      </c>
      <c r="C371" s="209" t="s">
        <v>535</v>
      </c>
      <c r="D371" s="265">
        <v>4987.7</v>
      </c>
      <c r="E371" s="265">
        <v>4987.7</v>
      </c>
      <c r="F371" s="265">
        <f t="shared" si="23"/>
        <v>0</v>
      </c>
      <c r="G371" s="226">
        <v>4987.7</v>
      </c>
      <c r="H371" s="226">
        <v>4987.7</v>
      </c>
      <c r="I371" s="265">
        <f t="shared" si="24"/>
        <v>0</v>
      </c>
    </row>
    <row r="372" spans="1:9" x14ac:dyDescent="0.2">
      <c r="A372" s="202" t="s">
        <v>534</v>
      </c>
      <c r="B372" s="209" t="s">
        <v>995</v>
      </c>
      <c r="C372" s="209" t="s">
        <v>529</v>
      </c>
      <c r="D372" s="265">
        <v>4987.7</v>
      </c>
      <c r="E372" s="265">
        <v>4987.7</v>
      </c>
      <c r="F372" s="265">
        <f t="shared" si="23"/>
        <v>0</v>
      </c>
      <c r="G372" s="226">
        <v>4987.7</v>
      </c>
      <c r="H372" s="226">
        <v>4987.7</v>
      </c>
      <c r="I372" s="265">
        <f t="shared" si="24"/>
        <v>0</v>
      </c>
    </row>
    <row r="373" spans="1:9" x14ac:dyDescent="0.2">
      <c r="A373" s="202" t="s">
        <v>615</v>
      </c>
      <c r="B373" s="209" t="s">
        <v>995</v>
      </c>
      <c r="C373" s="209" t="s">
        <v>509</v>
      </c>
      <c r="D373" s="265">
        <v>131.19999999999999</v>
      </c>
      <c r="E373" s="265">
        <v>131.19999999999999</v>
      </c>
      <c r="F373" s="265">
        <f t="shared" si="23"/>
        <v>0</v>
      </c>
      <c r="G373" s="226">
        <v>131.19999999999999</v>
      </c>
      <c r="H373" s="226">
        <v>131.19999999999999</v>
      </c>
      <c r="I373" s="265">
        <f t="shared" si="24"/>
        <v>0</v>
      </c>
    </row>
    <row r="374" spans="1:9" x14ac:dyDescent="0.2">
      <c r="A374" s="202" t="s">
        <v>614</v>
      </c>
      <c r="B374" s="209" t="s">
        <v>995</v>
      </c>
      <c r="C374" s="209" t="s">
        <v>613</v>
      </c>
      <c r="D374" s="265">
        <v>131.19999999999999</v>
      </c>
      <c r="E374" s="265">
        <v>131.19999999999999</v>
      </c>
      <c r="F374" s="265">
        <f t="shared" si="23"/>
        <v>0</v>
      </c>
      <c r="G374" s="226">
        <v>131.19999999999999</v>
      </c>
      <c r="H374" s="226">
        <v>131.19999999999999</v>
      </c>
      <c r="I374" s="265">
        <f t="shared" si="24"/>
        <v>0</v>
      </c>
    </row>
    <row r="375" spans="1:9" s="432" customFormat="1" ht="22.5" x14ac:dyDescent="0.2">
      <c r="A375" s="264" t="s">
        <v>1625</v>
      </c>
      <c r="B375" s="209" t="s">
        <v>1626</v>
      </c>
      <c r="C375" s="209"/>
      <c r="D375" s="265">
        <f>D376</f>
        <v>0</v>
      </c>
      <c r="E375" s="265">
        <f>E376</f>
        <v>0</v>
      </c>
      <c r="F375" s="265">
        <f t="shared" si="23"/>
        <v>0</v>
      </c>
      <c r="G375" s="226">
        <f t="shared" ref="G375:H376" si="25">G376</f>
        <v>0</v>
      </c>
      <c r="H375" s="226">
        <f t="shared" si="25"/>
        <v>6000</v>
      </c>
      <c r="I375" s="265">
        <f t="shared" si="24"/>
        <v>6000</v>
      </c>
    </row>
    <row r="376" spans="1:9" s="432" customFormat="1" x14ac:dyDescent="0.2">
      <c r="A376" s="264" t="s">
        <v>1347</v>
      </c>
      <c r="B376" s="209" t="s">
        <v>1626</v>
      </c>
      <c r="C376" s="209" t="s">
        <v>535</v>
      </c>
      <c r="D376" s="265">
        <f>D377</f>
        <v>0</v>
      </c>
      <c r="E376" s="265">
        <f>E377</f>
        <v>0</v>
      </c>
      <c r="F376" s="265">
        <f t="shared" si="23"/>
        <v>0</v>
      </c>
      <c r="G376" s="226">
        <f t="shared" si="25"/>
        <v>0</v>
      </c>
      <c r="H376" s="226">
        <f t="shared" si="25"/>
        <v>6000</v>
      </c>
      <c r="I376" s="265">
        <f t="shared" si="24"/>
        <v>6000</v>
      </c>
    </row>
    <row r="377" spans="1:9" s="432" customFormat="1" x14ac:dyDescent="0.2">
      <c r="A377" s="264" t="s">
        <v>534</v>
      </c>
      <c r="B377" s="209" t="s">
        <v>1626</v>
      </c>
      <c r="C377" s="209" t="s">
        <v>529</v>
      </c>
      <c r="D377" s="265">
        <v>0</v>
      </c>
      <c r="E377" s="265">
        <f>'Функциональная 2021-2022'!H587</f>
        <v>0</v>
      </c>
      <c r="F377" s="265">
        <f t="shared" si="23"/>
        <v>0</v>
      </c>
      <c r="G377" s="226">
        <v>0</v>
      </c>
      <c r="H377" s="226">
        <f>'Функциональная 2021-2022'!N587</f>
        <v>6000</v>
      </c>
      <c r="I377" s="265">
        <f t="shared" si="24"/>
        <v>6000</v>
      </c>
    </row>
    <row r="378" spans="1:9" s="442" customFormat="1" ht="33.75" x14ac:dyDescent="0.2">
      <c r="A378" s="202" t="s">
        <v>1064</v>
      </c>
      <c r="B378" s="209" t="s">
        <v>1649</v>
      </c>
      <c r="C378" s="209"/>
      <c r="D378" s="265">
        <f>D379+D381</f>
        <v>0</v>
      </c>
      <c r="E378" s="265">
        <f>E379+E381</f>
        <v>2399</v>
      </c>
      <c r="F378" s="265">
        <f t="shared" si="23"/>
        <v>2399</v>
      </c>
      <c r="G378" s="226">
        <f t="shared" ref="G378:H378" si="26">G379+G381</f>
        <v>0</v>
      </c>
      <c r="H378" s="226">
        <f t="shared" si="26"/>
        <v>2399</v>
      </c>
      <c r="I378" s="265">
        <f t="shared" si="24"/>
        <v>2399</v>
      </c>
    </row>
    <row r="379" spans="1:9" s="442" customFormat="1" ht="22.5" x14ac:dyDescent="0.2">
      <c r="A379" s="202" t="s">
        <v>1348</v>
      </c>
      <c r="B379" s="209" t="s">
        <v>1649</v>
      </c>
      <c r="C379" s="209" t="s">
        <v>556</v>
      </c>
      <c r="D379" s="265">
        <f>D380</f>
        <v>0</v>
      </c>
      <c r="E379" s="265">
        <f>E380</f>
        <v>1385.1</v>
      </c>
      <c r="F379" s="265">
        <f t="shared" si="23"/>
        <v>1385.1</v>
      </c>
      <c r="G379" s="226">
        <f t="shared" ref="G379:H379" si="27">G380</f>
        <v>0</v>
      </c>
      <c r="H379" s="226">
        <f t="shared" si="27"/>
        <v>1385.1</v>
      </c>
      <c r="I379" s="265">
        <f t="shared" si="24"/>
        <v>1385.1</v>
      </c>
    </row>
    <row r="380" spans="1:9" s="442" customFormat="1" x14ac:dyDescent="0.2">
      <c r="A380" s="202" t="s">
        <v>555</v>
      </c>
      <c r="B380" s="209" t="s">
        <v>1649</v>
      </c>
      <c r="C380" s="209" t="s">
        <v>554</v>
      </c>
      <c r="D380" s="265">
        <v>0</v>
      </c>
      <c r="E380" s="265">
        <f>'Функциональная 2021-2022'!H473</f>
        <v>1385.1</v>
      </c>
      <c r="F380" s="265">
        <f t="shared" si="23"/>
        <v>1385.1</v>
      </c>
      <c r="G380" s="226">
        <v>0</v>
      </c>
      <c r="H380" s="226">
        <f>'Функциональная 2021-2022'!N473</f>
        <v>1385.1</v>
      </c>
      <c r="I380" s="265">
        <f t="shared" si="24"/>
        <v>1385.1</v>
      </c>
    </row>
    <row r="381" spans="1:9" s="442" customFormat="1" x14ac:dyDescent="0.2">
      <c r="A381" s="202" t="s">
        <v>1347</v>
      </c>
      <c r="B381" s="209" t="s">
        <v>1649</v>
      </c>
      <c r="C381" s="209" t="s">
        <v>535</v>
      </c>
      <c r="D381" s="265">
        <f>D382</f>
        <v>0</v>
      </c>
      <c r="E381" s="265">
        <f>E382</f>
        <v>1013.9</v>
      </c>
      <c r="F381" s="265">
        <f t="shared" si="23"/>
        <v>1013.9</v>
      </c>
      <c r="G381" s="226">
        <f>G382</f>
        <v>0</v>
      </c>
      <c r="H381" s="226">
        <f>H382</f>
        <v>1013.9</v>
      </c>
      <c r="I381" s="265">
        <f t="shared" si="24"/>
        <v>1013.9</v>
      </c>
    </row>
    <row r="382" spans="1:9" s="442" customFormat="1" x14ac:dyDescent="0.2">
      <c r="A382" s="202" t="s">
        <v>534</v>
      </c>
      <c r="B382" s="209" t="s">
        <v>1649</v>
      </c>
      <c r="C382" s="209" t="s">
        <v>529</v>
      </c>
      <c r="D382" s="265">
        <v>0</v>
      </c>
      <c r="E382" s="265">
        <f>'Функциональная 2021-2022'!H475</f>
        <v>1013.9</v>
      </c>
      <c r="F382" s="265">
        <f t="shared" si="23"/>
        <v>1013.9</v>
      </c>
      <c r="G382" s="226">
        <v>0</v>
      </c>
      <c r="H382" s="226">
        <f>'Функциональная 2021-2022'!N475</f>
        <v>1013.9</v>
      </c>
      <c r="I382" s="265">
        <f t="shared" si="24"/>
        <v>1013.9</v>
      </c>
    </row>
    <row r="383" spans="1:9" s="442" customFormat="1" ht="45" x14ac:dyDescent="0.2">
      <c r="A383" s="202" t="s">
        <v>1650</v>
      </c>
      <c r="B383" s="209" t="s">
        <v>1651</v>
      </c>
      <c r="C383" s="202"/>
      <c r="D383" s="265">
        <f>D384+D386</f>
        <v>0</v>
      </c>
      <c r="E383" s="265">
        <f>E384+E386</f>
        <v>2054.6000000000004</v>
      </c>
      <c r="F383" s="265">
        <f t="shared" si="23"/>
        <v>2054.6000000000004</v>
      </c>
      <c r="G383" s="226">
        <f>G384+G386</f>
        <v>0</v>
      </c>
      <c r="H383" s="226">
        <f>H384+H386</f>
        <v>2054.6000000000004</v>
      </c>
      <c r="I383" s="265">
        <f t="shared" si="24"/>
        <v>2054.6000000000004</v>
      </c>
    </row>
    <row r="384" spans="1:9" s="442" customFormat="1" ht="22.5" x14ac:dyDescent="0.2">
      <c r="A384" s="202" t="s">
        <v>1348</v>
      </c>
      <c r="B384" s="209" t="s">
        <v>1651</v>
      </c>
      <c r="C384" s="209" t="s">
        <v>556</v>
      </c>
      <c r="D384" s="265">
        <f>D385</f>
        <v>0</v>
      </c>
      <c r="E384" s="265">
        <f>E385</f>
        <v>1499.1000000000001</v>
      </c>
      <c r="F384" s="265">
        <f t="shared" si="23"/>
        <v>1499.1000000000001</v>
      </c>
      <c r="G384" s="226">
        <f>G385</f>
        <v>0</v>
      </c>
      <c r="H384" s="226">
        <f>H385</f>
        <v>1499.1000000000001</v>
      </c>
      <c r="I384" s="265">
        <f t="shared" si="24"/>
        <v>1499.1000000000001</v>
      </c>
    </row>
    <row r="385" spans="1:9" s="442" customFormat="1" x14ac:dyDescent="0.2">
      <c r="A385" s="202" t="s">
        <v>555</v>
      </c>
      <c r="B385" s="209" t="s">
        <v>1651</v>
      </c>
      <c r="C385" s="209" t="s">
        <v>554</v>
      </c>
      <c r="D385" s="265">
        <v>0</v>
      </c>
      <c r="E385" s="265">
        <f>'Функциональная 2021-2022'!H478</f>
        <v>1499.1000000000001</v>
      </c>
      <c r="F385" s="265">
        <f t="shared" si="23"/>
        <v>1499.1000000000001</v>
      </c>
      <c r="G385" s="226">
        <v>0</v>
      </c>
      <c r="H385" s="226">
        <f>'Функциональная 2021-2022'!N478</f>
        <v>1499.1000000000001</v>
      </c>
      <c r="I385" s="265">
        <f t="shared" si="24"/>
        <v>1499.1000000000001</v>
      </c>
    </row>
    <row r="386" spans="1:9" s="442" customFormat="1" x14ac:dyDescent="0.2">
      <c r="A386" s="202" t="s">
        <v>1347</v>
      </c>
      <c r="B386" s="209" t="s">
        <v>1651</v>
      </c>
      <c r="C386" s="209" t="s">
        <v>535</v>
      </c>
      <c r="D386" s="265">
        <f>D387</f>
        <v>0</v>
      </c>
      <c r="E386" s="265">
        <f>E387</f>
        <v>555.5</v>
      </c>
      <c r="F386" s="265">
        <f t="shared" si="23"/>
        <v>555.5</v>
      </c>
      <c r="G386" s="226">
        <f>G387</f>
        <v>0</v>
      </c>
      <c r="H386" s="226">
        <f>H387</f>
        <v>555.5</v>
      </c>
      <c r="I386" s="265">
        <f t="shared" si="24"/>
        <v>555.5</v>
      </c>
    </row>
    <row r="387" spans="1:9" s="442" customFormat="1" x14ac:dyDescent="0.2">
      <c r="A387" s="202" t="s">
        <v>534</v>
      </c>
      <c r="B387" s="209" t="s">
        <v>1651</v>
      </c>
      <c r="C387" s="209" t="s">
        <v>529</v>
      </c>
      <c r="D387" s="265">
        <v>0</v>
      </c>
      <c r="E387" s="265">
        <f>'Функциональная 2021-2022'!H480</f>
        <v>555.5</v>
      </c>
      <c r="F387" s="265">
        <f t="shared" si="23"/>
        <v>555.5</v>
      </c>
      <c r="G387" s="226">
        <v>0</v>
      </c>
      <c r="H387" s="226">
        <f>'Функциональная 2021-2022'!N480</f>
        <v>555.5</v>
      </c>
      <c r="I387" s="265">
        <f t="shared" si="24"/>
        <v>555.5</v>
      </c>
    </row>
    <row r="388" spans="1:9" ht="22.5" x14ac:dyDescent="0.2">
      <c r="A388" s="199" t="s">
        <v>1204</v>
      </c>
      <c r="B388" s="212" t="s">
        <v>1203</v>
      </c>
      <c r="C388" s="212"/>
      <c r="D388" s="263">
        <v>2950</v>
      </c>
      <c r="E388" s="263">
        <v>2950</v>
      </c>
      <c r="F388" s="263">
        <f t="shared" si="23"/>
        <v>0</v>
      </c>
      <c r="G388" s="205">
        <v>2950</v>
      </c>
      <c r="H388" s="205">
        <v>2950</v>
      </c>
      <c r="I388" s="263">
        <f t="shared" si="24"/>
        <v>0</v>
      </c>
    </row>
    <row r="389" spans="1:9" ht="22.5" x14ac:dyDescent="0.2">
      <c r="A389" s="199" t="s">
        <v>1202</v>
      </c>
      <c r="B389" s="212" t="s">
        <v>1201</v>
      </c>
      <c r="C389" s="212"/>
      <c r="D389" s="263">
        <v>250</v>
      </c>
      <c r="E389" s="263">
        <v>250</v>
      </c>
      <c r="F389" s="263">
        <f t="shared" si="23"/>
        <v>0</v>
      </c>
      <c r="G389" s="205">
        <v>250</v>
      </c>
      <c r="H389" s="205">
        <v>250</v>
      </c>
      <c r="I389" s="263">
        <f t="shared" si="24"/>
        <v>0</v>
      </c>
    </row>
    <row r="390" spans="1:9" x14ac:dyDescent="0.2">
      <c r="A390" s="202" t="s">
        <v>1200</v>
      </c>
      <c r="B390" s="209" t="s">
        <v>1199</v>
      </c>
      <c r="C390" s="209"/>
      <c r="D390" s="265">
        <v>250</v>
      </c>
      <c r="E390" s="265">
        <v>250</v>
      </c>
      <c r="F390" s="265">
        <f t="shared" si="23"/>
        <v>0</v>
      </c>
      <c r="G390" s="226">
        <v>250</v>
      </c>
      <c r="H390" s="226">
        <v>250</v>
      </c>
      <c r="I390" s="265">
        <f t="shared" si="24"/>
        <v>0</v>
      </c>
    </row>
    <row r="391" spans="1:9" x14ac:dyDescent="0.2">
      <c r="A391" s="202" t="s">
        <v>1347</v>
      </c>
      <c r="B391" s="209" t="s">
        <v>1199</v>
      </c>
      <c r="C391" s="209" t="s">
        <v>535</v>
      </c>
      <c r="D391" s="265">
        <v>250</v>
      </c>
      <c r="E391" s="265">
        <v>250</v>
      </c>
      <c r="F391" s="265">
        <f t="shared" si="23"/>
        <v>0</v>
      </c>
      <c r="G391" s="226">
        <v>250</v>
      </c>
      <c r="H391" s="226">
        <v>250</v>
      </c>
      <c r="I391" s="265">
        <f t="shared" si="24"/>
        <v>0</v>
      </c>
    </row>
    <row r="392" spans="1:9" x14ac:dyDescent="0.2">
      <c r="A392" s="202" t="s">
        <v>534</v>
      </c>
      <c r="B392" s="209" t="s">
        <v>1199</v>
      </c>
      <c r="C392" s="209" t="s">
        <v>529</v>
      </c>
      <c r="D392" s="265">
        <v>250</v>
      </c>
      <c r="E392" s="265">
        <v>250</v>
      </c>
      <c r="F392" s="265">
        <f t="shared" si="23"/>
        <v>0</v>
      </c>
      <c r="G392" s="226">
        <v>250</v>
      </c>
      <c r="H392" s="226">
        <v>250</v>
      </c>
      <c r="I392" s="265">
        <f t="shared" si="24"/>
        <v>0</v>
      </c>
    </row>
    <row r="393" spans="1:9" ht="22.5" x14ac:dyDescent="0.2">
      <c r="A393" s="199" t="s">
        <v>1198</v>
      </c>
      <c r="B393" s="212" t="s">
        <v>1197</v>
      </c>
      <c r="C393" s="212"/>
      <c r="D393" s="263">
        <v>2700</v>
      </c>
      <c r="E393" s="263">
        <v>2700</v>
      </c>
      <c r="F393" s="263">
        <f t="shared" si="23"/>
        <v>0</v>
      </c>
      <c r="G393" s="205">
        <v>2700</v>
      </c>
      <c r="H393" s="205">
        <v>2700</v>
      </c>
      <c r="I393" s="263">
        <f t="shared" si="24"/>
        <v>0</v>
      </c>
    </row>
    <row r="394" spans="1:9" ht="22.5" x14ac:dyDescent="0.2">
      <c r="A394" s="202" t="s">
        <v>1542</v>
      </c>
      <c r="B394" s="209" t="s">
        <v>1196</v>
      </c>
      <c r="C394" s="209"/>
      <c r="D394" s="265">
        <v>2700</v>
      </c>
      <c r="E394" s="265">
        <f>E395</f>
        <v>2700</v>
      </c>
      <c r="F394" s="265">
        <f t="shared" si="23"/>
        <v>0</v>
      </c>
      <c r="G394" s="226">
        <v>2700</v>
      </c>
      <c r="H394" s="226">
        <f>H395</f>
        <v>2700</v>
      </c>
      <c r="I394" s="265">
        <f t="shared" si="24"/>
        <v>0</v>
      </c>
    </row>
    <row r="395" spans="1:9" s="406" customFormat="1" x14ac:dyDescent="0.2">
      <c r="A395" s="202" t="s">
        <v>547</v>
      </c>
      <c r="B395" s="209" t="s">
        <v>1196</v>
      </c>
      <c r="C395" s="209">
        <v>600</v>
      </c>
      <c r="D395" s="265">
        <v>2700</v>
      </c>
      <c r="E395" s="265">
        <f>E396</f>
        <v>2700</v>
      </c>
      <c r="F395" s="265">
        <f t="shared" si="23"/>
        <v>0</v>
      </c>
      <c r="G395" s="226">
        <v>2700</v>
      </c>
      <c r="H395" s="226">
        <f>H396</f>
        <v>2700</v>
      </c>
      <c r="I395" s="265">
        <f t="shared" si="24"/>
        <v>0</v>
      </c>
    </row>
    <row r="396" spans="1:9" s="406" customFormat="1" x14ac:dyDescent="0.2">
      <c r="A396" s="202" t="s">
        <v>571</v>
      </c>
      <c r="B396" s="209" t="s">
        <v>1196</v>
      </c>
      <c r="C396" s="209">
        <v>610</v>
      </c>
      <c r="D396" s="265">
        <v>2700</v>
      </c>
      <c r="E396" s="265">
        <f>'Функциональная 2021-2022'!H226</f>
        <v>2700</v>
      </c>
      <c r="F396" s="265">
        <f t="shared" si="23"/>
        <v>0</v>
      </c>
      <c r="G396" s="226">
        <v>2700</v>
      </c>
      <c r="H396" s="226">
        <f>'Функциональная 2021-2022'!N226</f>
        <v>2700</v>
      </c>
      <c r="I396" s="265">
        <f t="shared" si="24"/>
        <v>0</v>
      </c>
    </row>
    <row r="397" spans="1:9" ht="22.5" x14ac:dyDescent="0.2">
      <c r="A397" s="199" t="s">
        <v>1195</v>
      </c>
      <c r="B397" s="212" t="s">
        <v>1194</v>
      </c>
      <c r="C397" s="212"/>
      <c r="D397" s="263">
        <v>1100</v>
      </c>
      <c r="E397" s="263">
        <v>1100</v>
      </c>
      <c r="F397" s="263">
        <f t="shared" si="23"/>
        <v>0</v>
      </c>
      <c r="G397" s="205">
        <v>1100</v>
      </c>
      <c r="H397" s="205">
        <v>1100</v>
      </c>
      <c r="I397" s="263">
        <f t="shared" si="24"/>
        <v>0</v>
      </c>
    </row>
    <row r="398" spans="1:9" ht="45" x14ac:dyDescent="0.2">
      <c r="A398" s="199" t="s">
        <v>1193</v>
      </c>
      <c r="B398" s="212" t="s">
        <v>1192</v>
      </c>
      <c r="C398" s="212"/>
      <c r="D398" s="263">
        <v>1100</v>
      </c>
      <c r="E398" s="263">
        <v>1100</v>
      </c>
      <c r="F398" s="263">
        <f t="shared" si="23"/>
        <v>0</v>
      </c>
      <c r="G398" s="205">
        <v>1100</v>
      </c>
      <c r="H398" s="205">
        <v>1100</v>
      </c>
      <c r="I398" s="263">
        <f t="shared" si="24"/>
        <v>0</v>
      </c>
    </row>
    <row r="399" spans="1:9" ht="22.5" x14ac:dyDescent="0.2">
      <c r="A399" s="202" t="s">
        <v>1191</v>
      </c>
      <c r="B399" s="209" t="s">
        <v>1190</v>
      </c>
      <c r="C399" s="209"/>
      <c r="D399" s="265">
        <v>1100</v>
      </c>
      <c r="E399" s="265">
        <v>1100</v>
      </c>
      <c r="F399" s="265">
        <f t="shared" si="23"/>
        <v>0</v>
      </c>
      <c r="G399" s="226">
        <v>1100</v>
      </c>
      <c r="H399" s="226">
        <v>1100</v>
      </c>
      <c r="I399" s="265">
        <f t="shared" si="24"/>
        <v>0</v>
      </c>
    </row>
    <row r="400" spans="1:9" x14ac:dyDescent="0.2">
      <c r="A400" s="202" t="s">
        <v>1347</v>
      </c>
      <c r="B400" s="209" t="s">
        <v>1190</v>
      </c>
      <c r="C400" s="209" t="s">
        <v>535</v>
      </c>
      <c r="D400" s="265">
        <v>1100</v>
      </c>
      <c r="E400" s="265">
        <v>1100</v>
      </c>
      <c r="F400" s="265">
        <f t="shared" si="23"/>
        <v>0</v>
      </c>
      <c r="G400" s="226">
        <v>1100</v>
      </c>
      <c r="H400" s="226">
        <v>1100</v>
      </c>
      <c r="I400" s="265">
        <f t="shared" si="24"/>
        <v>0</v>
      </c>
    </row>
    <row r="401" spans="1:9" x14ac:dyDescent="0.2">
      <c r="A401" s="202" t="s">
        <v>534</v>
      </c>
      <c r="B401" s="209" t="s">
        <v>1190</v>
      </c>
      <c r="C401" s="209" t="s">
        <v>529</v>
      </c>
      <c r="D401" s="265">
        <v>1100</v>
      </c>
      <c r="E401" s="265">
        <v>1100</v>
      </c>
      <c r="F401" s="265">
        <f t="shared" si="23"/>
        <v>0</v>
      </c>
      <c r="G401" s="226">
        <v>1100</v>
      </c>
      <c r="H401" s="226">
        <v>1100</v>
      </c>
      <c r="I401" s="265">
        <f t="shared" si="24"/>
        <v>0</v>
      </c>
    </row>
    <row r="402" spans="1:9" x14ac:dyDescent="0.2">
      <c r="A402" s="199" t="s">
        <v>1189</v>
      </c>
      <c r="B402" s="212" t="s">
        <v>1188</v>
      </c>
      <c r="C402" s="212"/>
      <c r="D402" s="263">
        <v>1716.5</v>
      </c>
      <c r="E402" s="263">
        <v>1716.5</v>
      </c>
      <c r="F402" s="263">
        <f t="shared" si="23"/>
        <v>0</v>
      </c>
      <c r="G402" s="205">
        <v>1716.5</v>
      </c>
      <c r="H402" s="205">
        <v>1716.5</v>
      </c>
      <c r="I402" s="263">
        <f t="shared" si="24"/>
        <v>0</v>
      </c>
    </row>
    <row r="403" spans="1:9" x14ac:dyDescent="0.2">
      <c r="A403" s="199" t="s">
        <v>1187</v>
      </c>
      <c r="B403" s="212" t="s">
        <v>1186</v>
      </c>
      <c r="C403" s="212"/>
      <c r="D403" s="263">
        <v>1716.5</v>
      </c>
      <c r="E403" s="263">
        <v>1716.5</v>
      </c>
      <c r="F403" s="263">
        <f t="shared" si="23"/>
        <v>0</v>
      </c>
      <c r="G403" s="205">
        <v>1716.5</v>
      </c>
      <c r="H403" s="205">
        <v>1716.5</v>
      </c>
      <c r="I403" s="263">
        <f t="shared" si="24"/>
        <v>0</v>
      </c>
    </row>
    <row r="404" spans="1:9" ht="22.5" x14ac:dyDescent="0.2">
      <c r="A404" s="202" t="s">
        <v>1185</v>
      </c>
      <c r="B404" s="209" t="s">
        <v>1184</v>
      </c>
      <c r="C404" s="209"/>
      <c r="D404" s="265">
        <v>879</v>
      </c>
      <c r="E404" s="265">
        <v>879</v>
      </c>
      <c r="F404" s="265">
        <f t="shared" si="23"/>
        <v>0</v>
      </c>
      <c r="G404" s="226">
        <v>879</v>
      </c>
      <c r="H404" s="226">
        <v>879</v>
      </c>
      <c r="I404" s="265">
        <f t="shared" si="24"/>
        <v>0</v>
      </c>
    </row>
    <row r="405" spans="1:9" x14ac:dyDescent="0.2">
      <c r="A405" s="202" t="s">
        <v>1347</v>
      </c>
      <c r="B405" s="209" t="s">
        <v>1184</v>
      </c>
      <c r="C405" s="209" t="s">
        <v>535</v>
      </c>
      <c r="D405" s="265">
        <v>3</v>
      </c>
      <c r="E405" s="265">
        <v>3</v>
      </c>
      <c r="F405" s="265">
        <f t="shared" si="23"/>
        <v>0</v>
      </c>
      <c r="G405" s="226">
        <v>3</v>
      </c>
      <c r="H405" s="226">
        <v>3</v>
      </c>
      <c r="I405" s="265">
        <f t="shared" si="24"/>
        <v>0</v>
      </c>
    </row>
    <row r="406" spans="1:9" x14ac:dyDescent="0.2">
      <c r="A406" s="202" t="s">
        <v>534</v>
      </c>
      <c r="B406" s="209" t="s">
        <v>1184</v>
      </c>
      <c r="C406" s="209" t="s">
        <v>529</v>
      </c>
      <c r="D406" s="265">
        <v>3</v>
      </c>
      <c r="E406" s="265">
        <v>3</v>
      </c>
      <c r="F406" s="265">
        <f t="shared" si="23"/>
        <v>0</v>
      </c>
      <c r="G406" s="226">
        <v>3</v>
      </c>
      <c r="H406" s="226">
        <v>3</v>
      </c>
      <c r="I406" s="265">
        <f t="shared" si="24"/>
        <v>0</v>
      </c>
    </row>
    <row r="407" spans="1:9" x14ac:dyDescent="0.2">
      <c r="A407" s="202" t="s">
        <v>553</v>
      </c>
      <c r="B407" s="209" t="s">
        <v>1184</v>
      </c>
      <c r="C407" s="209" t="s">
        <v>552</v>
      </c>
      <c r="D407" s="265">
        <v>876</v>
      </c>
      <c r="E407" s="265">
        <v>876</v>
      </c>
      <c r="F407" s="265">
        <f t="shared" si="23"/>
        <v>0</v>
      </c>
      <c r="G407" s="226">
        <v>876</v>
      </c>
      <c r="H407" s="226">
        <v>876</v>
      </c>
      <c r="I407" s="265">
        <f t="shared" si="24"/>
        <v>0</v>
      </c>
    </row>
    <row r="408" spans="1:9" x14ac:dyDescent="0.2">
      <c r="A408" s="202" t="s">
        <v>841</v>
      </c>
      <c r="B408" s="209" t="s">
        <v>1184</v>
      </c>
      <c r="C408" s="209" t="s">
        <v>840</v>
      </c>
      <c r="D408" s="265">
        <v>876</v>
      </c>
      <c r="E408" s="265">
        <v>876</v>
      </c>
      <c r="F408" s="265">
        <f t="shared" si="23"/>
        <v>0</v>
      </c>
      <c r="G408" s="226">
        <v>876</v>
      </c>
      <c r="H408" s="226">
        <v>876</v>
      </c>
      <c r="I408" s="265">
        <f t="shared" si="24"/>
        <v>0</v>
      </c>
    </row>
    <row r="409" spans="1:9" x14ac:dyDescent="0.2">
      <c r="A409" s="202" t="s">
        <v>1183</v>
      </c>
      <c r="B409" s="209" t="s">
        <v>1182</v>
      </c>
      <c r="C409" s="209"/>
      <c r="D409" s="265">
        <v>307.5</v>
      </c>
      <c r="E409" s="265">
        <v>307.5</v>
      </c>
      <c r="F409" s="265">
        <f t="shared" si="23"/>
        <v>0</v>
      </c>
      <c r="G409" s="226">
        <v>307.5</v>
      </c>
      <c r="H409" s="226">
        <v>307.5</v>
      </c>
      <c r="I409" s="265">
        <f t="shared" si="24"/>
        <v>0</v>
      </c>
    </row>
    <row r="410" spans="1:9" x14ac:dyDescent="0.2">
      <c r="A410" s="202" t="s">
        <v>547</v>
      </c>
      <c r="B410" s="209" t="s">
        <v>1182</v>
      </c>
      <c r="C410" s="209" t="s">
        <v>519</v>
      </c>
      <c r="D410" s="265">
        <v>307.5</v>
      </c>
      <c r="E410" s="265">
        <v>307.5</v>
      </c>
      <c r="F410" s="265">
        <f t="shared" si="23"/>
        <v>0</v>
      </c>
      <c r="G410" s="226">
        <v>307.5</v>
      </c>
      <c r="H410" s="226">
        <v>307.5</v>
      </c>
      <c r="I410" s="265">
        <f t="shared" si="24"/>
        <v>0</v>
      </c>
    </row>
    <row r="411" spans="1:9" x14ac:dyDescent="0.2">
      <c r="A411" s="202" t="s">
        <v>546</v>
      </c>
      <c r="B411" s="209" t="s">
        <v>1182</v>
      </c>
      <c r="C411" s="209" t="s">
        <v>544</v>
      </c>
      <c r="D411" s="265">
        <v>307.5</v>
      </c>
      <c r="E411" s="265">
        <v>307.5</v>
      </c>
      <c r="F411" s="265">
        <f t="shared" si="23"/>
        <v>0</v>
      </c>
      <c r="G411" s="226">
        <v>307.5</v>
      </c>
      <c r="H411" s="226">
        <v>307.5</v>
      </c>
      <c r="I411" s="265">
        <f t="shared" si="24"/>
        <v>0</v>
      </c>
    </row>
    <row r="412" spans="1:9" ht="22.5" x14ac:dyDescent="0.2">
      <c r="A412" s="202" t="s">
        <v>1349</v>
      </c>
      <c r="B412" s="209" t="s">
        <v>1181</v>
      </c>
      <c r="C412" s="209"/>
      <c r="D412" s="265">
        <v>530</v>
      </c>
      <c r="E412" s="265">
        <v>530</v>
      </c>
      <c r="F412" s="265">
        <f t="shared" si="23"/>
        <v>0</v>
      </c>
      <c r="G412" s="226">
        <v>530</v>
      </c>
      <c r="H412" s="226">
        <v>530</v>
      </c>
      <c r="I412" s="265">
        <f t="shared" si="24"/>
        <v>0</v>
      </c>
    </row>
    <row r="413" spans="1:9" ht="22.5" x14ac:dyDescent="0.2">
      <c r="A413" s="202" t="s">
        <v>1348</v>
      </c>
      <c r="B413" s="209" t="s">
        <v>1181</v>
      </c>
      <c r="C413" s="209" t="s">
        <v>556</v>
      </c>
      <c r="D413" s="265">
        <v>530</v>
      </c>
      <c r="E413" s="265">
        <v>530</v>
      </c>
      <c r="F413" s="265">
        <f t="shared" si="23"/>
        <v>0</v>
      </c>
      <c r="G413" s="226">
        <v>530</v>
      </c>
      <c r="H413" s="226">
        <v>530</v>
      </c>
      <c r="I413" s="265">
        <f t="shared" si="24"/>
        <v>0</v>
      </c>
    </row>
    <row r="414" spans="1:9" x14ac:dyDescent="0.2">
      <c r="A414" s="202" t="s">
        <v>555</v>
      </c>
      <c r="B414" s="209" t="s">
        <v>1181</v>
      </c>
      <c r="C414" s="209" t="s">
        <v>554</v>
      </c>
      <c r="D414" s="265">
        <v>530</v>
      </c>
      <c r="E414" s="265">
        <v>530</v>
      </c>
      <c r="F414" s="265">
        <f t="shared" si="23"/>
        <v>0</v>
      </c>
      <c r="G414" s="226">
        <v>530</v>
      </c>
      <c r="H414" s="226">
        <v>530</v>
      </c>
      <c r="I414" s="265">
        <f t="shared" si="24"/>
        <v>0</v>
      </c>
    </row>
    <row r="415" spans="1:9" x14ac:dyDescent="0.2">
      <c r="A415" s="199" t="s">
        <v>1180</v>
      </c>
      <c r="B415" s="212" t="s">
        <v>1179</v>
      </c>
      <c r="C415" s="212"/>
      <c r="D415" s="263">
        <v>150</v>
      </c>
      <c r="E415" s="263">
        <v>150</v>
      </c>
      <c r="F415" s="263">
        <f t="shared" si="23"/>
        <v>0</v>
      </c>
      <c r="G415" s="205">
        <v>150</v>
      </c>
      <c r="H415" s="205">
        <v>150</v>
      </c>
      <c r="I415" s="263">
        <f t="shared" si="24"/>
        <v>0</v>
      </c>
    </row>
    <row r="416" spans="1:9" ht="33.75" x14ac:dyDescent="0.2">
      <c r="A416" s="199" t="s">
        <v>1178</v>
      </c>
      <c r="B416" s="212" t="s">
        <v>1177</v>
      </c>
      <c r="C416" s="212"/>
      <c r="D416" s="263">
        <v>150</v>
      </c>
      <c r="E416" s="263">
        <v>150</v>
      </c>
      <c r="F416" s="263">
        <f t="shared" si="23"/>
        <v>0</v>
      </c>
      <c r="G416" s="205">
        <v>150</v>
      </c>
      <c r="H416" s="205">
        <v>150</v>
      </c>
      <c r="I416" s="263">
        <f t="shared" si="24"/>
        <v>0</v>
      </c>
    </row>
    <row r="417" spans="1:9" ht="22.5" x14ac:dyDescent="0.2">
      <c r="A417" s="202" t="s">
        <v>1176</v>
      </c>
      <c r="B417" s="209" t="s">
        <v>1175</v>
      </c>
      <c r="C417" s="209"/>
      <c r="D417" s="265">
        <v>150</v>
      </c>
      <c r="E417" s="265">
        <v>150</v>
      </c>
      <c r="F417" s="265">
        <f t="shared" si="23"/>
        <v>0</v>
      </c>
      <c r="G417" s="226">
        <v>150</v>
      </c>
      <c r="H417" s="226">
        <v>150</v>
      </c>
      <c r="I417" s="265">
        <f t="shared" si="24"/>
        <v>0</v>
      </c>
    </row>
    <row r="418" spans="1:9" x14ac:dyDescent="0.2">
      <c r="A418" s="202" t="s">
        <v>1347</v>
      </c>
      <c r="B418" s="209" t="s">
        <v>1175</v>
      </c>
      <c r="C418" s="209" t="s">
        <v>535</v>
      </c>
      <c r="D418" s="265">
        <v>150</v>
      </c>
      <c r="E418" s="265">
        <v>150</v>
      </c>
      <c r="F418" s="265">
        <f t="shared" si="23"/>
        <v>0</v>
      </c>
      <c r="G418" s="226">
        <v>150</v>
      </c>
      <c r="H418" s="226">
        <v>150</v>
      </c>
      <c r="I418" s="265">
        <f t="shared" si="24"/>
        <v>0</v>
      </c>
    </row>
    <row r="419" spans="1:9" x14ac:dyDescent="0.2">
      <c r="A419" s="202" t="s">
        <v>534</v>
      </c>
      <c r="B419" s="209" t="s">
        <v>1175</v>
      </c>
      <c r="C419" s="209" t="s">
        <v>529</v>
      </c>
      <c r="D419" s="265">
        <v>150</v>
      </c>
      <c r="E419" s="265">
        <v>150</v>
      </c>
      <c r="F419" s="265">
        <f t="shared" si="23"/>
        <v>0</v>
      </c>
      <c r="G419" s="226">
        <v>150</v>
      </c>
      <c r="H419" s="226">
        <v>150</v>
      </c>
      <c r="I419" s="265">
        <f t="shared" si="24"/>
        <v>0</v>
      </c>
    </row>
    <row r="420" spans="1:9" x14ac:dyDescent="0.2">
      <c r="A420" s="199" t="s">
        <v>602</v>
      </c>
      <c r="B420" s="212" t="s">
        <v>1174</v>
      </c>
      <c r="C420" s="212"/>
      <c r="D420" s="263">
        <v>37764.9</v>
      </c>
      <c r="E420" s="263">
        <v>37764.9</v>
      </c>
      <c r="F420" s="263">
        <f t="shared" si="23"/>
        <v>0</v>
      </c>
      <c r="G420" s="205">
        <v>37764.9</v>
      </c>
      <c r="H420" s="205">
        <v>37764.9</v>
      </c>
      <c r="I420" s="263">
        <f t="shared" si="24"/>
        <v>0</v>
      </c>
    </row>
    <row r="421" spans="1:9" ht="22.5" x14ac:dyDescent="0.2">
      <c r="A421" s="199" t="s">
        <v>600</v>
      </c>
      <c r="B421" s="212" t="s">
        <v>1173</v>
      </c>
      <c r="C421" s="212"/>
      <c r="D421" s="263">
        <v>37764.9</v>
      </c>
      <c r="E421" s="263">
        <v>37764.9</v>
      </c>
      <c r="F421" s="263">
        <f t="shared" si="23"/>
        <v>0</v>
      </c>
      <c r="G421" s="205">
        <v>37764.9</v>
      </c>
      <c r="H421" s="205">
        <v>37764.9</v>
      </c>
      <c r="I421" s="263">
        <f t="shared" si="24"/>
        <v>0</v>
      </c>
    </row>
    <row r="422" spans="1:9" ht="22.5" x14ac:dyDescent="0.2">
      <c r="A422" s="202" t="s">
        <v>1350</v>
      </c>
      <c r="B422" s="209" t="s">
        <v>1172</v>
      </c>
      <c r="C422" s="209"/>
      <c r="D422" s="265">
        <v>37764.9</v>
      </c>
      <c r="E422" s="265">
        <v>37764.9</v>
      </c>
      <c r="F422" s="265">
        <f t="shared" si="23"/>
        <v>0</v>
      </c>
      <c r="G422" s="226">
        <v>37764.9</v>
      </c>
      <c r="H422" s="226">
        <v>37764.9</v>
      </c>
      <c r="I422" s="265">
        <f t="shared" si="24"/>
        <v>0</v>
      </c>
    </row>
    <row r="423" spans="1:9" ht="22.5" x14ac:dyDescent="0.2">
      <c r="A423" s="202" t="s">
        <v>1348</v>
      </c>
      <c r="B423" s="209" t="s">
        <v>1172</v>
      </c>
      <c r="C423" s="209" t="s">
        <v>556</v>
      </c>
      <c r="D423" s="265">
        <v>36741.199999999997</v>
      </c>
      <c r="E423" s="265">
        <v>36741.199999999997</v>
      </c>
      <c r="F423" s="265">
        <f t="shared" si="23"/>
        <v>0</v>
      </c>
      <c r="G423" s="226">
        <v>36741.199999999997</v>
      </c>
      <c r="H423" s="226">
        <v>36741.199999999997</v>
      </c>
      <c r="I423" s="265">
        <f t="shared" si="24"/>
        <v>0</v>
      </c>
    </row>
    <row r="424" spans="1:9" x14ac:dyDescent="0.2">
      <c r="A424" s="202" t="s">
        <v>555</v>
      </c>
      <c r="B424" s="209" t="s">
        <v>1172</v>
      </c>
      <c r="C424" s="209" t="s">
        <v>554</v>
      </c>
      <c r="D424" s="265">
        <v>36741.199999999997</v>
      </c>
      <c r="E424" s="265">
        <v>36741.199999999997</v>
      </c>
      <c r="F424" s="265">
        <f t="shared" si="23"/>
        <v>0</v>
      </c>
      <c r="G424" s="226">
        <v>36741.199999999997</v>
      </c>
      <c r="H424" s="226">
        <v>36741.199999999997</v>
      </c>
      <c r="I424" s="265">
        <f t="shared" si="24"/>
        <v>0</v>
      </c>
    </row>
    <row r="425" spans="1:9" x14ac:dyDescent="0.2">
      <c r="A425" s="202" t="s">
        <v>1347</v>
      </c>
      <c r="B425" s="209" t="s">
        <v>1172</v>
      </c>
      <c r="C425" s="209" t="s">
        <v>535</v>
      </c>
      <c r="D425" s="265">
        <v>1023.7</v>
      </c>
      <c r="E425" s="265">
        <v>1023.7</v>
      </c>
      <c r="F425" s="265">
        <f t="shared" si="23"/>
        <v>0</v>
      </c>
      <c r="G425" s="226">
        <v>1023.7</v>
      </c>
      <c r="H425" s="226">
        <v>1023.7</v>
      </c>
      <c r="I425" s="265">
        <f t="shared" si="24"/>
        <v>0</v>
      </c>
    </row>
    <row r="426" spans="1:9" x14ac:dyDescent="0.2">
      <c r="A426" s="202" t="s">
        <v>534</v>
      </c>
      <c r="B426" s="209" t="s">
        <v>1172</v>
      </c>
      <c r="C426" s="209" t="s">
        <v>529</v>
      </c>
      <c r="D426" s="265">
        <v>1023.7</v>
      </c>
      <c r="E426" s="265">
        <v>1023.7</v>
      </c>
      <c r="F426" s="265">
        <f t="shared" si="23"/>
        <v>0</v>
      </c>
      <c r="G426" s="226">
        <v>1023.7</v>
      </c>
      <c r="H426" s="226">
        <v>1023.7</v>
      </c>
      <c r="I426" s="265">
        <f t="shared" si="24"/>
        <v>0</v>
      </c>
    </row>
    <row r="427" spans="1:9" x14ac:dyDescent="0.2">
      <c r="A427" s="199" t="s">
        <v>839</v>
      </c>
      <c r="B427" s="212" t="s">
        <v>838</v>
      </c>
      <c r="C427" s="212"/>
      <c r="D427" s="263">
        <v>48816</v>
      </c>
      <c r="E427" s="263">
        <f>E428+E435+E440+E445+E450+E455</f>
        <v>53816</v>
      </c>
      <c r="F427" s="263">
        <f t="shared" si="23"/>
        <v>5000</v>
      </c>
      <c r="G427" s="205">
        <v>54832.1</v>
      </c>
      <c r="H427" s="205">
        <f>H428+H435+H440+H445+H450+H455</f>
        <v>54832.1</v>
      </c>
      <c r="I427" s="263">
        <f t="shared" si="24"/>
        <v>0</v>
      </c>
    </row>
    <row r="428" spans="1:9" ht="22.5" x14ac:dyDescent="0.2">
      <c r="A428" s="199" t="s">
        <v>1251</v>
      </c>
      <c r="B428" s="212" t="s">
        <v>1250</v>
      </c>
      <c r="C428" s="212"/>
      <c r="D428" s="263">
        <v>3793</v>
      </c>
      <c r="E428" s="263">
        <v>3793</v>
      </c>
      <c r="F428" s="263">
        <f t="shared" si="23"/>
        <v>0</v>
      </c>
      <c r="G428" s="205">
        <v>3793</v>
      </c>
      <c r="H428" s="205">
        <v>3793</v>
      </c>
      <c r="I428" s="263">
        <f t="shared" si="24"/>
        <v>0</v>
      </c>
    </row>
    <row r="429" spans="1:9" ht="22.5" x14ac:dyDescent="0.2">
      <c r="A429" s="199" t="s">
        <v>1249</v>
      </c>
      <c r="B429" s="212" t="s">
        <v>1248</v>
      </c>
      <c r="C429" s="212"/>
      <c r="D429" s="263">
        <v>3793</v>
      </c>
      <c r="E429" s="263">
        <v>3793</v>
      </c>
      <c r="F429" s="263">
        <f t="shared" si="23"/>
        <v>0</v>
      </c>
      <c r="G429" s="205">
        <v>3793</v>
      </c>
      <c r="H429" s="205">
        <v>3793</v>
      </c>
      <c r="I429" s="263">
        <f t="shared" si="24"/>
        <v>0</v>
      </c>
    </row>
    <row r="430" spans="1:9" ht="78.75" x14ac:dyDescent="0.2">
      <c r="A430" s="202" t="s">
        <v>1247</v>
      </c>
      <c r="B430" s="209" t="s">
        <v>1246</v>
      </c>
      <c r="C430" s="209"/>
      <c r="D430" s="265">
        <v>3793</v>
      </c>
      <c r="E430" s="265">
        <v>3793</v>
      </c>
      <c r="F430" s="265">
        <f t="shared" si="23"/>
        <v>0</v>
      </c>
      <c r="G430" s="226">
        <v>3793</v>
      </c>
      <c r="H430" s="226">
        <v>3793</v>
      </c>
      <c r="I430" s="265">
        <f t="shared" si="24"/>
        <v>0</v>
      </c>
    </row>
    <row r="431" spans="1:9" ht="22.5" x14ac:dyDescent="0.2">
      <c r="A431" s="202" t="s">
        <v>1348</v>
      </c>
      <c r="B431" s="209" t="s">
        <v>1246</v>
      </c>
      <c r="C431" s="209" t="s">
        <v>556</v>
      </c>
      <c r="D431" s="265">
        <v>2977.8</v>
      </c>
      <c r="E431" s="265">
        <v>2977.8</v>
      </c>
      <c r="F431" s="265">
        <f t="shared" si="23"/>
        <v>0</v>
      </c>
      <c r="G431" s="226">
        <v>2977.8</v>
      </c>
      <c r="H431" s="226">
        <v>2977.8</v>
      </c>
      <c r="I431" s="265">
        <f t="shared" si="24"/>
        <v>0</v>
      </c>
    </row>
    <row r="432" spans="1:9" x14ac:dyDescent="0.2">
      <c r="A432" s="202" t="s">
        <v>749</v>
      </c>
      <c r="B432" s="209" t="s">
        <v>1246</v>
      </c>
      <c r="C432" s="209" t="s">
        <v>745</v>
      </c>
      <c r="D432" s="265">
        <v>2977.8</v>
      </c>
      <c r="E432" s="265">
        <v>2977.8</v>
      </c>
      <c r="F432" s="265">
        <f t="shared" si="23"/>
        <v>0</v>
      </c>
      <c r="G432" s="226">
        <v>2977.8</v>
      </c>
      <c r="H432" s="226">
        <v>2977.8</v>
      </c>
      <c r="I432" s="265">
        <f t="shared" si="24"/>
        <v>0</v>
      </c>
    </row>
    <row r="433" spans="1:9" x14ac:dyDescent="0.2">
      <c r="A433" s="202" t="s">
        <v>1347</v>
      </c>
      <c r="B433" s="209" t="s">
        <v>1246</v>
      </c>
      <c r="C433" s="209" t="s">
        <v>535</v>
      </c>
      <c r="D433" s="265">
        <v>815.2</v>
      </c>
      <c r="E433" s="265">
        <v>815.2</v>
      </c>
      <c r="F433" s="265">
        <f t="shared" si="23"/>
        <v>0</v>
      </c>
      <c r="G433" s="226">
        <v>815.2</v>
      </c>
      <c r="H433" s="226">
        <v>815.2</v>
      </c>
      <c r="I433" s="265">
        <f t="shared" si="24"/>
        <v>0</v>
      </c>
    </row>
    <row r="434" spans="1:9" x14ac:dyDescent="0.2">
      <c r="A434" s="202" t="s">
        <v>534</v>
      </c>
      <c r="B434" s="209" t="s">
        <v>1246</v>
      </c>
      <c r="C434" s="209" t="s">
        <v>529</v>
      </c>
      <c r="D434" s="265">
        <v>815.2</v>
      </c>
      <c r="E434" s="265">
        <v>815.2</v>
      </c>
      <c r="F434" s="265">
        <f t="shared" si="23"/>
        <v>0</v>
      </c>
      <c r="G434" s="226">
        <v>815.2</v>
      </c>
      <c r="H434" s="226">
        <v>815.2</v>
      </c>
      <c r="I434" s="265">
        <f t="shared" si="24"/>
        <v>0</v>
      </c>
    </row>
    <row r="435" spans="1:9" x14ac:dyDescent="0.2">
      <c r="A435" s="199" t="s">
        <v>837</v>
      </c>
      <c r="B435" s="212" t="s">
        <v>836</v>
      </c>
      <c r="C435" s="212"/>
      <c r="D435" s="263">
        <v>5000</v>
      </c>
      <c r="E435" s="263">
        <f>E436</f>
        <v>10000</v>
      </c>
      <c r="F435" s="263">
        <f t="shared" si="23"/>
        <v>5000</v>
      </c>
      <c r="G435" s="205">
        <v>5000</v>
      </c>
      <c r="H435" s="205">
        <f>H436</f>
        <v>5000</v>
      </c>
      <c r="I435" s="263">
        <f t="shared" si="24"/>
        <v>0</v>
      </c>
    </row>
    <row r="436" spans="1:9" ht="33.75" x14ac:dyDescent="0.2">
      <c r="A436" s="199" t="s">
        <v>835</v>
      </c>
      <c r="B436" s="212" t="s">
        <v>834</v>
      </c>
      <c r="C436" s="212"/>
      <c r="D436" s="263">
        <v>5000</v>
      </c>
      <c r="E436" s="263">
        <f>E437</f>
        <v>10000</v>
      </c>
      <c r="F436" s="263">
        <f t="shared" si="23"/>
        <v>5000</v>
      </c>
      <c r="G436" s="205">
        <v>5000</v>
      </c>
      <c r="H436" s="205">
        <f>H437</f>
        <v>5000</v>
      </c>
      <c r="I436" s="263">
        <f t="shared" si="24"/>
        <v>0</v>
      </c>
    </row>
    <row r="437" spans="1:9" x14ac:dyDescent="0.2">
      <c r="A437" s="202" t="s">
        <v>833</v>
      </c>
      <c r="B437" s="209" t="s">
        <v>831</v>
      </c>
      <c r="C437" s="209"/>
      <c r="D437" s="265">
        <v>5000</v>
      </c>
      <c r="E437" s="265">
        <f>E438</f>
        <v>10000</v>
      </c>
      <c r="F437" s="265">
        <f t="shared" si="23"/>
        <v>5000</v>
      </c>
      <c r="G437" s="226">
        <v>5000</v>
      </c>
      <c r="H437" s="226">
        <f>H438</f>
        <v>5000</v>
      </c>
      <c r="I437" s="265">
        <f t="shared" si="24"/>
        <v>0</v>
      </c>
    </row>
    <row r="438" spans="1:9" x14ac:dyDescent="0.2">
      <c r="A438" s="202" t="s">
        <v>553</v>
      </c>
      <c r="B438" s="209" t="s">
        <v>831</v>
      </c>
      <c r="C438" s="209" t="s">
        <v>552</v>
      </c>
      <c r="D438" s="265">
        <v>5000</v>
      </c>
      <c r="E438" s="265">
        <f>E439</f>
        <v>10000</v>
      </c>
      <c r="F438" s="265">
        <f t="shared" si="23"/>
        <v>5000</v>
      </c>
      <c r="G438" s="226">
        <v>5000</v>
      </c>
      <c r="H438" s="226">
        <f>H439</f>
        <v>5000</v>
      </c>
      <c r="I438" s="265">
        <f t="shared" si="24"/>
        <v>0</v>
      </c>
    </row>
    <row r="439" spans="1:9" x14ac:dyDescent="0.2">
      <c r="A439" s="202" t="s">
        <v>832</v>
      </c>
      <c r="B439" s="209" t="s">
        <v>831</v>
      </c>
      <c r="C439" s="209" t="s">
        <v>830</v>
      </c>
      <c r="D439" s="265">
        <v>5000</v>
      </c>
      <c r="E439" s="265">
        <f>'Функциональная 2021-2022'!H1077</f>
        <v>10000</v>
      </c>
      <c r="F439" s="265">
        <f t="shared" si="23"/>
        <v>5000</v>
      </c>
      <c r="G439" s="226">
        <v>5000</v>
      </c>
      <c r="H439" s="226">
        <v>5000</v>
      </c>
      <c r="I439" s="265">
        <f t="shared" si="24"/>
        <v>0</v>
      </c>
    </row>
    <row r="440" spans="1:9" ht="22.5" x14ac:dyDescent="0.2">
      <c r="A440" s="199" t="s">
        <v>829</v>
      </c>
      <c r="B440" s="212" t="s">
        <v>828</v>
      </c>
      <c r="C440" s="212"/>
      <c r="D440" s="263">
        <v>39729</v>
      </c>
      <c r="E440" s="263">
        <v>39729</v>
      </c>
      <c r="F440" s="263">
        <f t="shared" si="23"/>
        <v>0</v>
      </c>
      <c r="G440" s="205">
        <v>23838</v>
      </c>
      <c r="H440" s="205">
        <v>23838</v>
      </c>
      <c r="I440" s="263">
        <f t="shared" si="24"/>
        <v>0</v>
      </c>
    </row>
    <row r="441" spans="1:9" ht="33.75" x14ac:dyDescent="0.2">
      <c r="A441" s="199" t="s">
        <v>827</v>
      </c>
      <c r="B441" s="212" t="s">
        <v>826</v>
      </c>
      <c r="C441" s="212"/>
      <c r="D441" s="263">
        <v>39729</v>
      </c>
      <c r="E441" s="263">
        <v>39729</v>
      </c>
      <c r="F441" s="263">
        <f t="shared" ref="F441:F515" si="28">E441-D441</f>
        <v>0</v>
      </c>
      <c r="G441" s="205">
        <v>23838</v>
      </c>
      <c r="H441" s="205">
        <v>23838</v>
      </c>
      <c r="I441" s="263">
        <f t="shared" ref="I441:I515" si="29">H441-G441</f>
        <v>0</v>
      </c>
    </row>
    <row r="442" spans="1:9" ht="33.75" x14ac:dyDescent="0.2">
      <c r="A442" s="202" t="s">
        <v>825</v>
      </c>
      <c r="B442" s="209" t="s">
        <v>822</v>
      </c>
      <c r="C442" s="209"/>
      <c r="D442" s="265">
        <v>39729</v>
      </c>
      <c r="E442" s="265">
        <v>39729</v>
      </c>
      <c r="F442" s="265">
        <f t="shared" si="28"/>
        <v>0</v>
      </c>
      <c r="G442" s="226">
        <v>23838</v>
      </c>
      <c r="H442" s="226">
        <v>23838</v>
      </c>
      <c r="I442" s="265">
        <f t="shared" si="29"/>
        <v>0</v>
      </c>
    </row>
    <row r="443" spans="1:9" x14ac:dyDescent="0.2">
      <c r="A443" s="202" t="s">
        <v>1355</v>
      </c>
      <c r="B443" s="209" t="s">
        <v>822</v>
      </c>
      <c r="C443" s="209" t="s">
        <v>824</v>
      </c>
      <c r="D443" s="265">
        <v>39729</v>
      </c>
      <c r="E443" s="265">
        <v>39729</v>
      </c>
      <c r="F443" s="265">
        <f t="shared" si="28"/>
        <v>0</v>
      </c>
      <c r="G443" s="226">
        <v>23838</v>
      </c>
      <c r="H443" s="226">
        <v>23838</v>
      </c>
      <c r="I443" s="265">
        <f t="shared" si="29"/>
        <v>0</v>
      </c>
    </row>
    <row r="444" spans="1:9" x14ac:dyDescent="0.2">
      <c r="A444" s="202" t="s">
        <v>823</v>
      </c>
      <c r="B444" s="209" t="s">
        <v>822</v>
      </c>
      <c r="C444" s="209" t="s">
        <v>821</v>
      </c>
      <c r="D444" s="265">
        <v>39729</v>
      </c>
      <c r="E444" s="265">
        <v>39729</v>
      </c>
      <c r="F444" s="265">
        <f t="shared" si="28"/>
        <v>0</v>
      </c>
      <c r="G444" s="226">
        <v>23838</v>
      </c>
      <c r="H444" s="226">
        <v>23838</v>
      </c>
      <c r="I444" s="265">
        <f t="shared" si="29"/>
        <v>0</v>
      </c>
    </row>
    <row r="445" spans="1:9" x14ac:dyDescent="0.2">
      <c r="A445" s="199" t="s">
        <v>849</v>
      </c>
      <c r="B445" s="212" t="s">
        <v>848</v>
      </c>
      <c r="C445" s="212"/>
      <c r="D445" s="263">
        <v>294</v>
      </c>
      <c r="E445" s="263">
        <v>294</v>
      </c>
      <c r="F445" s="263">
        <f t="shared" si="28"/>
        <v>0</v>
      </c>
      <c r="G445" s="205">
        <v>294</v>
      </c>
      <c r="H445" s="205">
        <v>294</v>
      </c>
      <c r="I445" s="263">
        <f t="shared" si="29"/>
        <v>0</v>
      </c>
    </row>
    <row r="446" spans="1:9" ht="22.5" x14ac:dyDescent="0.2">
      <c r="A446" s="199" t="s">
        <v>847</v>
      </c>
      <c r="B446" s="212" t="s">
        <v>846</v>
      </c>
      <c r="C446" s="212"/>
      <c r="D446" s="263">
        <v>294</v>
      </c>
      <c r="E446" s="263">
        <v>294</v>
      </c>
      <c r="F446" s="263">
        <f t="shared" si="28"/>
        <v>0</v>
      </c>
      <c r="G446" s="205">
        <v>294</v>
      </c>
      <c r="H446" s="205">
        <v>294</v>
      </c>
      <c r="I446" s="263">
        <f t="shared" si="29"/>
        <v>0</v>
      </c>
    </row>
    <row r="447" spans="1:9" x14ac:dyDescent="0.2">
      <c r="A447" s="202" t="s">
        <v>845</v>
      </c>
      <c r="B447" s="209" t="s">
        <v>844</v>
      </c>
      <c r="C447" s="209"/>
      <c r="D447" s="265">
        <v>294</v>
      </c>
      <c r="E447" s="265">
        <v>294</v>
      </c>
      <c r="F447" s="265">
        <f t="shared" si="28"/>
        <v>0</v>
      </c>
      <c r="G447" s="226">
        <v>294</v>
      </c>
      <c r="H447" s="226">
        <v>294</v>
      </c>
      <c r="I447" s="265">
        <f t="shared" si="29"/>
        <v>0</v>
      </c>
    </row>
    <row r="448" spans="1:9" x14ac:dyDescent="0.2">
      <c r="A448" s="202" t="s">
        <v>553</v>
      </c>
      <c r="B448" s="209" t="s">
        <v>844</v>
      </c>
      <c r="C448" s="209" t="s">
        <v>552</v>
      </c>
      <c r="D448" s="265">
        <v>294</v>
      </c>
      <c r="E448" s="265">
        <v>294</v>
      </c>
      <c r="F448" s="265">
        <f t="shared" si="28"/>
        <v>0</v>
      </c>
      <c r="G448" s="226">
        <v>294</v>
      </c>
      <c r="H448" s="226">
        <v>294</v>
      </c>
      <c r="I448" s="265">
        <f t="shared" si="29"/>
        <v>0</v>
      </c>
    </row>
    <row r="449" spans="1:9" x14ac:dyDescent="0.2">
      <c r="A449" s="202" t="s">
        <v>832</v>
      </c>
      <c r="B449" s="209" t="s">
        <v>844</v>
      </c>
      <c r="C449" s="209" t="s">
        <v>830</v>
      </c>
      <c r="D449" s="265">
        <v>294</v>
      </c>
      <c r="E449" s="265">
        <v>294</v>
      </c>
      <c r="F449" s="265">
        <f t="shared" si="28"/>
        <v>0</v>
      </c>
      <c r="G449" s="226">
        <v>294</v>
      </c>
      <c r="H449" s="226">
        <v>294</v>
      </c>
      <c r="I449" s="265">
        <f t="shared" si="29"/>
        <v>0</v>
      </c>
    </row>
    <row r="450" spans="1:9" x14ac:dyDescent="0.2">
      <c r="A450" s="199" t="s">
        <v>1298</v>
      </c>
      <c r="B450" s="212" t="s">
        <v>1299</v>
      </c>
      <c r="C450" s="212"/>
      <c r="D450" s="263">
        <v>0</v>
      </c>
      <c r="E450" s="263">
        <v>0</v>
      </c>
      <c r="F450" s="263">
        <f t="shared" si="28"/>
        <v>0</v>
      </c>
      <c r="G450" s="205">
        <v>19703.099999999999</v>
      </c>
      <c r="H450" s="205">
        <v>19703.099999999999</v>
      </c>
      <c r="I450" s="263">
        <f t="shared" si="29"/>
        <v>0</v>
      </c>
    </row>
    <row r="451" spans="1:9" ht="22.5" x14ac:dyDescent="0.2">
      <c r="A451" s="199" t="s">
        <v>1300</v>
      </c>
      <c r="B451" s="212" t="s">
        <v>1301</v>
      </c>
      <c r="C451" s="212"/>
      <c r="D451" s="263">
        <v>0</v>
      </c>
      <c r="E451" s="263">
        <v>0</v>
      </c>
      <c r="F451" s="263">
        <f t="shared" si="28"/>
        <v>0</v>
      </c>
      <c r="G451" s="205">
        <v>19703.099999999999</v>
      </c>
      <c r="H451" s="205">
        <v>19703.099999999999</v>
      </c>
      <c r="I451" s="263">
        <f t="shared" si="29"/>
        <v>0</v>
      </c>
    </row>
    <row r="452" spans="1:9" x14ac:dyDescent="0.2">
      <c r="A452" s="202" t="s">
        <v>1302</v>
      </c>
      <c r="B452" s="209" t="s">
        <v>1303</v>
      </c>
      <c r="C452" s="209"/>
      <c r="D452" s="265">
        <v>0</v>
      </c>
      <c r="E452" s="265">
        <v>0</v>
      </c>
      <c r="F452" s="265">
        <f t="shared" si="28"/>
        <v>0</v>
      </c>
      <c r="G452" s="226">
        <v>19703.099999999999</v>
      </c>
      <c r="H452" s="226">
        <v>19703.099999999999</v>
      </c>
      <c r="I452" s="265">
        <f t="shared" si="29"/>
        <v>0</v>
      </c>
    </row>
    <row r="453" spans="1:9" x14ac:dyDescent="0.2">
      <c r="A453" s="202" t="s">
        <v>553</v>
      </c>
      <c r="B453" s="209" t="s">
        <v>1303</v>
      </c>
      <c r="C453" s="209" t="s">
        <v>552</v>
      </c>
      <c r="D453" s="265">
        <v>0</v>
      </c>
      <c r="E453" s="265">
        <v>0</v>
      </c>
      <c r="F453" s="265">
        <f t="shared" si="28"/>
        <v>0</v>
      </c>
      <c r="G453" s="226">
        <v>19703.099999999999</v>
      </c>
      <c r="H453" s="226">
        <v>19703.099999999999</v>
      </c>
      <c r="I453" s="265">
        <f t="shared" si="29"/>
        <v>0</v>
      </c>
    </row>
    <row r="454" spans="1:9" x14ac:dyDescent="0.2">
      <c r="A454" s="202" t="s">
        <v>832</v>
      </c>
      <c r="B454" s="209" t="s">
        <v>1303</v>
      </c>
      <c r="C454" s="209" t="s">
        <v>830</v>
      </c>
      <c r="D454" s="265">
        <v>0</v>
      </c>
      <c r="E454" s="265">
        <v>0</v>
      </c>
      <c r="F454" s="265">
        <f t="shared" si="28"/>
        <v>0</v>
      </c>
      <c r="G454" s="226">
        <v>19703.099999999999</v>
      </c>
      <c r="H454" s="226">
        <v>19703.099999999999</v>
      </c>
      <c r="I454" s="265">
        <f t="shared" si="29"/>
        <v>0</v>
      </c>
    </row>
    <row r="455" spans="1:9" ht="22.5" x14ac:dyDescent="0.2">
      <c r="A455" s="199" t="s">
        <v>1304</v>
      </c>
      <c r="B455" s="212" t="s">
        <v>1305</v>
      </c>
      <c r="C455" s="212"/>
      <c r="D455" s="263">
        <v>0</v>
      </c>
      <c r="E455" s="263">
        <v>0</v>
      </c>
      <c r="F455" s="263">
        <f t="shared" si="28"/>
        <v>0</v>
      </c>
      <c r="G455" s="205">
        <v>2204</v>
      </c>
      <c r="H455" s="205">
        <v>2204</v>
      </c>
      <c r="I455" s="263">
        <f t="shared" si="29"/>
        <v>0</v>
      </c>
    </row>
    <row r="456" spans="1:9" ht="33.75" x14ac:dyDescent="0.2">
      <c r="A456" s="199" t="s">
        <v>1306</v>
      </c>
      <c r="B456" s="212" t="s">
        <v>1307</v>
      </c>
      <c r="C456" s="212"/>
      <c r="D456" s="263">
        <v>0</v>
      </c>
      <c r="E456" s="263">
        <v>0</v>
      </c>
      <c r="F456" s="263">
        <f t="shared" si="28"/>
        <v>0</v>
      </c>
      <c r="G456" s="205">
        <v>2204</v>
      </c>
      <c r="H456" s="205">
        <v>2204</v>
      </c>
      <c r="I456" s="263">
        <f t="shared" si="29"/>
        <v>0</v>
      </c>
    </row>
    <row r="457" spans="1:9" ht="22.5" x14ac:dyDescent="0.2">
      <c r="A457" s="202" t="s">
        <v>1308</v>
      </c>
      <c r="B457" s="209" t="s">
        <v>1309</v>
      </c>
      <c r="C457" s="209"/>
      <c r="D457" s="265">
        <v>0</v>
      </c>
      <c r="E457" s="265">
        <v>0</v>
      </c>
      <c r="F457" s="265">
        <f t="shared" si="28"/>
        <v>0</v>
      </c>
      <c r="G457" s="226">
        <v>1102</v>
      </c>
      <c r="H457" s="226">
        <v>1102</v>
      </c>
      <c r="I457" s="265">
        <f t="shared" si="29"/>
        <v>0</v>
      </c>
    </row>
    <row r="458" spans="1:9" x14ac:dyDescent="0.2">
      <c r="A458" s="202" t="s">
        <v>553</v>
      </c>
      <c r="B458" s="209" t="s">
        <v>1309</v>
      </c>
      <c r="C458" s="209" t="s">
        <v>552</v>
      </c>
      <c r="D458" s="265">
        <v>0</v>
      </c>
      <c r="E458" s="265">
        <v>0</v>
      </c>
      <c r="F458" s="265">
        <f t="shared" si="28"/>
        <v>0</v>
      </c>
      <c r="G458" s="226">
        <v>1102</v>
      </c>
      <c r="H458" s="226">
        <v>1102</v>
      </c>
      <c r="I458" s="265">
        <f t="shared" si="29"/>
        <v>0</v>
      </c>
    </row>
    <row r="459" spans="1:9" x14ac:dyDescent="0.2">
      <c r="A459" s="202" t="s">
        <v>832</v>
      </c>
      <c r="B459" s="209" t="s">
        <v>1309</v>
      </c>
      <c r="C459" s="209" t="s">
        <v>830</v>
      </c>
      <c r="D459" s="265">
        <v>0</v>
      </c>
      <c r="E459" s="265">
        <v>0</v>
      </c>
      <c r="F459" s="265">
        <f t="shared" si="28"/>
        <v>0</v>
      </c>
      <c r="G459" s="226">
        <v>1102</v>
      </c>
      <c r="H459" s="226">
        <v>1102</v>
      </c>
      <c r="I459" s="265">
        <f t="shared" si="29"/>
        <v>0</v>
      </c>
    </row>
    <row r="460" spans="1:9" ht="22.5" x14ac:dyDescent="0.2">
      <c r="A460" s="202" t="s">
        <v>1310</v>
      </c>
      <c r="B460" s="209" t="s">
        <v>1311</v>
      </c>
      <c r="C460" s="209"/>
      <c r="D460" s="265">
        <v>0</v>
      </c>
      <c r="E460" s="265">
        <v>0</v>
      </c>
      <c r="F460" s="265">
        <f t="shared" si="28"/>
        <v>0</v>
      </c>
      <c r="G460" s="226">
        <v>1102</v>
      </c>
      <c r="H460" s="226">
        <v>1102</v>
      </c>
      <c r="I460" s="265">
        <f t="shared" si="29"/>
        <v>0</v>
      </c>
    </row>
    <row r="461" spans="1:9" x14ac:dyDescent="0.2">
      <c r="A461" s="202" t="s">
        <v>553</v>
      </c>
      <c r="B461" s="209" t="s">
        <v>1311</v>
      </c>
      <c r="C461" s="209" t="s">
        <v>552</v>
      </c>
      <c r="D461" s="265">
        <v>0</v>
      </c>
      <c r="E461" s="265">
        <v>0</v>
      </c>
      <c r="F461" s="265">
        <f t="shared" si="28"/>
        <v>0</v>
      </c>
      <c r="G461" s="226">
        <v>1102</v>
      </c>
      <c r="H461" s="226">
        <v>1102</v>
      </c>
      <c r="I461" s="265">
        <f t="shared" si="29"/>
        <v>0</v>
      </c>
    </row>
    <row r="462" spans="1:9" x14ac:dyDescent="0.2">
      <c r="A462" s="202" t="s">
        <v>832</v>
      </c>
      <c r="B462" s="209" t="s">
        <v>1311</v>
      </c>
      <c r="C462" s="209" t="s">
        <v>830</v>
      </c>
      <c r="D462" s="265">
        <v>0</v>
      </c>
      <c r="E462" s="265">
        <v>0</v>
      </c>
      <c r="F462" s="265">
        <f t="shared" si="28"/>
        <v>0</v>
      </c>
      <c r="G462" s="226">
        <v>1102</v>
      </c>
      <c r="H462" s="226">
        <v>1102</v>
      </c>
      <c r="I462" s="265">
        <f t="shared" si="29"/>
        <v>0</v>
      </c>
    </row>
    <row r="463" spans="1:9" x14ac:dyDescent="0.2">
      <c r="A463" s="199" t="s">
        <v>943</v>
      </c>
      <c r="B463" s="212" t="s">
        <v>942</v>
      </c>
      <c r="C463" s="212"/>
      <c r="D463" s="263">
        <v>9648.2000000000007</v>
      </c>
      <c r="E463" s="263">
        <f>E477+E464+E469</f>
        <v>240532</v>
      </c>
      <c r="F463" s="282">
        <f t="shared" si="28"/>
        <v>230883.8</v>
      </c>
      <c r="G463" s="205">
        <v>9648.2000000000007</v>
      </c>
      <c r="H463" s="205">
        <f>H477+H464+H469</f>
        <v>9848.2000000000007</v>
      </c>
      <c r="I463" s="282">
        <f t="shared" si="29"/>
        <v>200</v>
      </c>
    </row>
    <row r="464" spans="1:9" s="415" customFormat="1" x14ac:dyDescent="0.2">
      <c r="A464" s="199" t="s">
        <v>1596</v>
      </c>
      <c r="B464" s="212" t="s">
        <v>1599</v>
      </c>
      <c r="C464" s="209"/>
      <c r="D464" s="265">
        <f t="shared" ref="D464:E467" si="30">D465</f>
        <v>0</v>
      </c>
      <c r="E464" s="265">
        <f t="shared" si="30"/>
        <v>230683.8</v>
      </c>
      <c r="F464" s="281">
        <f t="shared" si="28"/>
        <v>230683.8</v>
      </c>
      <c r="G464" s="226">
        <f t="shared" ref="G464:H467" si="31">G465</f>
        <v>0</v>
      </c>
      <c r="H464" s="226">
        <f t="shared" si="31"/>
        <v>0</v>
      </c>
      <c r="I464" s="281">
        <f t="shared" si="29"/>
        <v>0</v>
      </c>
    </row>
    <row r="465" spans="1:9" s="415" customFormat="1" ht="33.75" x14ac:dyDescent="0.2">
      <c r="A465" s="202" t="s">
        <v>1597</v>
      </c>
      <c r="B465" s="209" t="s">
        <v>1600</v>
      </c>
      <c r="C465" s="209"/>
      <c r="D465" s="265">
        <f t="shared" si="30"/>
        <v>0</v>
      </c>
      <c r="E465" s="265">
        <f t="shared" si="30"/>
        <v>230683.8</v>
      </c>
      <c r="F465" s="281">
        <f t="shared" si="28"/>
        <v>230683.8</v>
      </c>
      <c r="G465" s="226">
        <f t="shared" si="31"/>
        <v>0</v>
      </c>
      <c r="H465" s="226">
        <f t="shared" si="31"/>
        <v>0</v>
      </c>
      <c r="I465" s="281">
        <f t="shared" si="29"/>
        <v>0</v>
      </c>
    </row>
    <row r="466" spans="1:9" s="415" customFormat="1" x14ac:dyDescent="0.2">
      <c r="A466" s="202" t="s">
        <v>1598</v>
      </c>
      <c r="B466" s="209" t="s">
        <v>1601</v>
      </c>
      <c r="C466" s="209"/>
      <c r="D466" s="265">
        <f t="shared" si="30"/>
        <v>0</v>
      </c>
      <c r="E466" s="265">
        <f t="shared" si="30"/>
        <v>230683.8</v>
      </c>
      <c r="F466" s="281">
        <f t="shared" si="28"/>
        <v>230683.8</v>
      </c>
      <c r="G466" s="226">
        <f t="shared" si="31"/>
        <v>0</v>
      </c>
      <c r="H466" s="226">
        <f t="shared" si="31"/>
        <v>0</v>
      </c>
      <c r="I466" s="281">
        <f t="shared" si="29"/>
        <v>0</v>
      </c>
    </row>
    <row r="467" spans="1:9" s="415" customFormat="1" x14ac:dyDescent="0.2">
      <c r="A467" s="202" t="s">
        <v>1355</v>
      </c>
      <c r="B467" s="209" t="s">
        <v>1601</v>
      </c>
      <c r="C467" s="209" t="s">
        <v>824</v>
      </c>
      <c r="D467" s="265">
        <f t="shared" si="30"/>
        <v>0</v>
      </c>
      <c r="E467" s="265">
        <f t="shared" si="30"/>
        <v>230683.8</v>
      </c>
      <c r="F467" s="281">
        <f t="shared" si="28"/>
        <v>230683.8</v>
      </c>
      <c r="G467" s="226">
        <f t="shared" si="31"/>
        <v>0</v>
      </c>
      <c r="H467" s="226">
        <f t="shared" si="31"/>
        <v>0</v>
      </c>
      <c r="I467" s="281">
        <f t="shared" si="29"/>
        <v>0</v>
      </c>
    </row>
    <row r="468" spans="1:9" s="415" customFormat="1" x14ac:dyDescent="0.2">
      <c r="A468" s="202" t="s">
        <v>823</v>
      </c>
      <c r="B468" s="209" t="s">
        <v>1601</v>
      </c>
      <c r="C468" s="209" t="s">
        <v>821</v>
      </c>
      <c r="D468" s="265">
        <v>0</v>
      </c>
      <c r="E468" s="265">
        <f>'Функциональная 2021-2022'!H727</f>
        <v>230683.8</v>
      </c>
      <c r="F468" s="281">
        <f t="shared" si="28"/>
        <v>230683.8</v>
      </c>
      <c r="G468" s="226">
        <v>0</v>
      </c>
      <c r="H468" s="226">
        <v>0</v>
      </c>
      <c r="I468" s="281">
        <f t="shared" si="29"/>
        <v>0</v>
      </c>
    </row>
    <row r="469" spans="1:9" s="428" customFormat="1" x14ac:dyDescent="0.2">
      <c r="A469" s="199" t="s">
        <v>1494</v>
      </c>
      <c r="B469" s="212" t="s">
        <v>1495</v>
      </c>
      <c r="C469" s="212"/>
      <c r="D469" s="263">
        <f>D470</f>
        <v>0</v>
      </c>
      <c r="E469" s="263">
        <f>E470</f>
        <v>200</v>
      </c>
      <c r="F469" s="282">
        <f t="shared" si="28"/>
        <v>200</v>
      </c>
      <c r="G469" s="205">
        <f>G470</f>
        <v>0</v>
      </c>
      <c r="H469" s="205">
        <f>H470</f>
        <v>200</v>
      </c>
      <c r="I469" s="282">
        <f t="shared" si="29"/>
        <v>200</v>
      </c>
    </row>
    <row r="470" spans="1:9" s="428" customFormat="1" ht="33.75" x14ac:dyDescent="0.2">
      <c r="A470" s="202" t="s">
        <v>1496</v>
      </c>
      <c r="B470" s="209" t="s">
        <v>1497</v>
      </c>
      <c r="C470" s="209"/>
      <c r="D470" s="265">
        <f>D471+D474</f>
        <v>0</v>
      </c>
      <c r="E470" s="265">
        <f>E471+E474</f>
        <v>200</v>
      </c>
      <c r="F470" s="281">
        <f t="shared" si="28"/>
        <v>200</v>
      </c>
      <c r="G470" s="226">
        <f>G471+G474</f>
        <v>0</v>
      </c>
      <c r="H470" s="226">
        <f>H471+H474</f>
        <v>200</v>
      </c>
      <c r="I470" s="281">
        <f t="shared" si="29"/>
        <v>200</v>
      </c>
    </row>
    <row r="471" spans="1:9" s="428" customFormat="1" ht="22.5" x14ac:dyDescent="0.2">
      <c r="A471" s="202" t="s">
        <v>1498</v>
      </c>
      <c r="B471" s="209" t="s">
        <v>1499</v>
      </c>
      <c r="C471" s="209"/>
      <c r="D471" s="265">
        <f>D472</f>
        <v>0</v>
      </c>
      <c r="E471" s="265">
        <f>E472</f>
        <v>100</v>
      </c>
      <c r="F471" s="281">
        <f t="shared" si="28"/>
        <v>100</v>
      </c>
      <c r="G471" s="226">
        <f>G472</f>
        <v>0</v>
      </c>
      <c r="H471" s="226">
        <f>H472</f>
        <v>100</v>
      </c>
      <c r="I471" s="281">
        <f t="shared" si="29"/>
        <v>100</v>
      </c>
    </row>
    <row r="472" spans="1:9" s="428" customFormat="1" x14ac:dyDescent="0.2">
      <c r="A472" s="202" t="s">
        <v>1347</v>
      </c>
      <c r="B472" s="209" t="s">
        <v>1499</v>
      </c>
      <c r="C472" s="209" t="s">
        <v>535</v>
      </c>
      <c r="D472" s="265">
        <f>D473</f>
        <v>0</v>
      </c>
      <c r="E472" s="265">
        <f>E473</f>
        <v>100</v>
      </c>
      <c r="F472" s="281">
        <f t="shared" si="28"/>
        <v>100</v>
      </c>
      <c r="G472" s="226">
        <f>G473</f>
        <v>0</v>
      </c>
      <c r="H472" s="226">
        <f>H473</f>
        <v>100</v>
      </c>
      <c r="I472" s="281">
        <f t="shared" si="29"/>
        <v>100</v>
      </c>
    </row>
    <row r="473" spans="1:9" s="428" customFormat="1" x14ac:dyDescent="0.2">
      <c r="A473" s="202" t="s">
        <v>534</v>
      </c>
      <c r="B473" s="209" t="s">
        <v>1499</v>
      </c>
      <c r="C473" s="209" t="s">
        <v>529</v>
      </c>
      <c r="D473" s="265">
        <v>0</v>
      </c>
      <c r="E473" s="265">
        <f>'Функциональная 2021-2022'!H534</f>
        <v>100</v>
      </c>
      <c r="F473" s="281">
        <f t="shared" si="28"/>
        <v>100</v>
      </c>
      <c r="G473" s="226">
        <v>0</v>
      </c>
      <c r="H473" s="226">
        <f>'Функциональная 2021-2022'!N534</f>
        <v>100</v>
      </c>
      <c r="I473" s="281">
        <f t="shared" si="29"/>
        <v>100</v>
      </c>
    </row>
    <row r="474" spans="1:9" s="428" customFormat="1" ht="22.5" x14ac:dyDescent="0.2">
      <c r="A474" s="202" t="s">
        <v>1500</v>
      </c>
      <c r="B474" s="209" t="s">
        <v>1501</v>
      </c>
      <c r="C474" s="209"/>
      <c r="D474" s="265">
        <f>D475</f>
        <v>0</v>
      </c>
      <c r="E474" s="265">
        <f>E475</f>
        <v>100</v>
      </c>
      <c r="F474" s="281">
        <f t="shared" si="28"/>
        <v>100</v>
      </c>
      <c r="G474" s="226">
        <f t="shared" ref="G474:H475" si="32">G475</f>
        <v>0</v>
      </c>
      <c r="H474" s="226">
        <f t="shared" si="32"/>
        <v>100</v>
      </c>
      <c r="I474" s="281">
        <f t="shared" si="29"/>
        <v>100</v>
      </c>
    </row>
    <row r="475" spans="1:9" s="428" customFormat="1" x14ac:dyDescent="0.2">
      <c r="A475" s="202" t="s">
        <v>547</v>
      </c>
      <c r="B475" s="209" t="s">
        <v>1501</v>
      </c>
      <c r="C475" s="209" t="s">
        <v>519</v>
      </c>
      <c r="D475" s="265">
        <f>D476</f>
        <v>0</v>
      </c>
      <c r="E475" s="265">
        <f>E476</f>
        <v>100</v>
      </c>
      <c r="F475" s="281">
        <f t="shared" si="28"/>
        <v>100</v>
      </c>
      <c r="G475" s="226">
        <f t="shared" si="32"/>
        <v>0</v>
      </c>
      <c r="H475" s="226">
        <f t="shared" si="32"/>
        <v>100</v>
      </c>
      <c r="I475" s="281">
        <f t="shared" si="29"/>
        <v>100</v>
      </c>
    </row>
    <row r="476" spans="1:9" s="428" customFormat="1" x14ac:dyDescent="0.2">
      <c r="A476" s="202" t="s">
        <v>571</v>
      </c>
      <c r="B476" s="209" t="s">
        <v>1501</v>
      </c>
      <c r="C476" s="209" t="s">
        <v>522</v>
      </c>
      <c r="D476" s="265">
        <v>0</v>
      </c>
      <c r="E476" s="265">
        <f>'Функциональная 2021-2022'!H537</f>
        <v>100</v>
      </c>
      <c r="F476" s="281">
        <f t="shared" si="28"/>
        <v>100</v>
      </c>
      <c r="G476" s="226">
        <v>0</v>
      </c>
      <c r="H476" s="226">
        <f>'Функциональная 2021-2022'!N537</f>
        <v>100</v>
      </c>
      <c r="I476" s="281">
        <f t="shared" si="29"/>
        <v>100</v>
      </c>
    </row>
    <row r="477" spans="1:9" x14ac:dyDescent="0.2">
      <c r="A477" s="199" t="s">
        <v>602</v>
      </c>
      <c r="B477" s="212" t="s">
        <v>941</v>
      </c>
      <c r="C477" s="212"/>
      <c r="D477" s="263">
        <v>9648.2000000000007</v>
      </c>
      <c r="E477" s="263">
        <f>E478</f>
        <v>9648.2000000000007</v>
      </c>
      <c r="F477" s="263">
        <f t="shared" si="28"/>
        <v>0</v>
      </c>
      <c r="G477" s="205">
        <v>9648.2000000000007</v>
      </c>
      <c r="H477" s="205">
        <f>H478</f>
        <v>9648.2000000000007</v>
      </c>
      <c r="I477" s="263">
        <f t="shared" si="29"/>
        <v>0</v>
      </c>
    </row>
    <row r="478" spans="1:9" ht="22.5" x14ac:dyDescent="0.2">
      <c r="A478" s="199" t="s">
        <v>600</v>
      </c>
      <c r="B478" s="212" t="s">
        <v>940</v>
      </c>
      <c r="C478" s="212"/>
      <c r="D478" s="263">
        <v>9648.2000000000007</v>
      </c>
      <c r="E478" s="263">
        <f>E479+E482+E485+E488+E491+E494</f>
        <v>9648.2000000000007</v>
      </c>
      <c r="F478" s="263">
        <f t="shared" si="28"/>
        <v>0</v>
      </c>
      <c r="G478" s="205">
        <v>9648.2000000000007</v>
      </c>
      <c r="H478" s="205">
        <f>H479+H482+H485+H488+H491+H494</f>
        <v>9648.2000000000007</v>
      </c>
      <c r="I478" s="263">
        <f t="shared" si="29"/>
        <v>0</v>
      </c>
    </row>
    <row r="479" spans="1:9" s="304" customFormat="1" ht="22.5" x14ac:dyDescent="0.2">
      <c r="A479" s="202" t="s">
        <v>1025</v>
      </c>
      <c r="B479" s="209" t="s">
        <v>1425</v>
      </c>
      <c r="C479" s="209"/>
      <c r="D479" s="265">
        <v>806</v>
      </c>
      <c r="E479" s="265">
        <f>E480</f>
        <v>806</v>
      </c>
      <c r="F479" s="265">
        <f t="shared" si="28"/>
        <v>0</v>
      </c>
      <c r="G479" s="226">
        <v>806</v>
      </c>
      <c r="H479" s="226">
        <f t="shared" ref="H479:H480" si="33">H480</f>
        <v>806</v>
      </c>
      <c r="I479" s="265">
        <f t="shared" si="29"/>
        <v>0</v>
      </c>
    </row>
    <row r="480" spans="1:9" s="304" customFormat="1" x14ac:dyDescent="0.2">
      <c r="A480" s="202" t="s">
        <v>1347</v>
      </c>
      <c r="B480" s="209" t="s">
        <v>1425</v>
      </c>
      <c r="C480" s="209" t="s">
        <v>535</v>
      </c>
      <c r="D480" s="265">
        <v>806</v>
      </c>
      <c r="E480" s="265">
        <f>E481</f>
        <v>806</v>
      </c>
      <c r="F480" s="265">
        <f t="shared" si="28"/>
        <v>0</v>
      </c>
      <c r="G480" s="226">
        <v>806</v>
      </c>
      <c r="H480" s="226">
        <f t="shared" si="33"/>
        <v>806</v>
      </c>
      <c r="I480" s="265">
        <f t="shared" si="29"/>
        <v>0</v>
      </c>
    </row>
    <row r="481" spans="1:9" s="304" customFormat="1" x14ac:dyDescent="0.2">
      <c r="A481" s="202" t="s">
        <v>534</v>
      </c>
      <c r="B481" s="209" t="s">
        <v>1425</v>
      </c>
      <c r="C481" s="209" t="s">
        <v>529</v>
      </c>
      <c r="D481" s="265">
        <v>806</v>
      </c>
      <c r="E481" s="265">
        <f>'Функциональная 2021-2022'!H542</f>
        <v>806</v>
      </c>
      <c r="F481" s="265">
        <f t="shared" si="28"/>
        <v>0</v>
      </c>
      <c r="G481" s="226">
        <v>806</v>
      </c>
      <c r="H481" s="226">
        <f>'Функциональная 2021-2022'!N542</f>
        <v>806</v>
      </c>
      <c r="I481" s="265">
        <f t="shared" si="29"/>
        <v>0</v>
      </c>
    </row>
    <row r="482" spans="1:9" s="304" customFormat="1" ht="22.5" x14ac:dyDescent="0.2">
      <c r="A482" s="202" t="s">
        <v>1023</v>
      </c>
      <c r="B482" s="209" t="s">
        <v>1426</v>
      </c>
      <c r="C482" s="209"/>
      <c r="D482" s="265">
        <v>1644</v>
      </c>
      <c r="E482" s="265">
        <f>E483</f>
        <v>1644</v>
      </c>
      <c r="F482" s="265">
        <f t="shared" si="28"/>
        <v>0</v>
      </c>
      <c r="G482" s="226">
        <v>1644</v>
      </c>
      <c r="H482" s="226">
        <f t="shared" ref="H482:H483" si="34">H483</f>
        <v>1644</v>
      </c>
      <c r="I482" s="265">
        <f t="shared" si="29"/>
        <v>0</v>
      </c>
    </row>
    <row r="483" spans="1:9" s="304" customFormat="1" x14ac:dyDescent="0.2">
      <c r="A483" s="202" t="s">
        <v>1347</v>
      </c>
      <c r="B483" s="209" t="s">
        <v>1426</v>
      </c>
      <c r="C483" s="209" t="s">
        <v>535</v>
      </c>
      <c r="D483" s="265">
        <v>1644</v>
      </c>
      <c r="E483" s="265">
        <f>E484</f>
        <v>1644</v>
      </c>
      <c r="F483" s="265">
        <f t="shared" si="28"/>
        <v>0</v>
      </c>
      <c r="G483" s="226">
        <v>1644</v>
      </c>
      <c r="H483" s="226">
        <f t="shared" si="34"/>
        <v>1644</v>
      </c>
      <c r="I483" s="265">
        <f t="shared" si="29"/>
        <v>0</v>
      </c>
    </row>
    <row r="484" spans="1:9" s="304" customFormat="1" x14ac:dyDescent="0.2">
      <c r="A484" s="202" t="s">
        <v>534</v>
      </c>
      <c r="B484" s="209" t="s">
        <v>1426</v>
      </c>
      <c r="C484" s="209" t="s">
        <v>529</v>
      </c>
      <c r="D484" s="265">
        <v>1644</v>
      </c>
      <c r="E484" s="265">
        <f>'Функциональная 2021-2022'!H545</f>
        <v>1644</v>
      </c>
      <c r="F484" s="265">
        <f t="shared" si="28"/>
        <v>0</v>
      </c>
      <c r="G484" s="226">
        <v>1644</v>
      </c>
      <c r="H484" s="226">
        <f>'Функциональная 2021-2022'!N545</f>
        <v>1644</v>
      </c>
      <c r="I484" s="265">
        <f t="shared" si="29"/>
        <v>0</v>
      </c>
    </row>
    <row r="485" spans="1:9" s="304" customFormat="1" ht="22.5" x14ac:dyDescent="0.2">
      <c r="A485" s="202" t="s">
        <v>1024</v>
      </c>
      <c r="B485" s="209" t="s">
        <v>1427</v>
      </c>
      <c r="C485" s="209"/>
      <c r="D485" s="265">
        <v>1454</v>
      </c>
      <c r="E485" s="265">
        <f>E486</f>
        <v>1454</v>
      </c>
      <c r="F485" s="265">
        <f t="shared" si="28"/>
        <v>0</v>
      </c>
      <c r="G485" s="226">
        <v>1454</v>
      </c>
      <c r="H485" s="226">
        <f t="shared" ref="H485:H486" si="35">H486</f>
        <v>1454</v>
      </c>
      <c r="I485" s="265">
        <f t="shared" si="29"/>
        <v>0</v>
      </c>
    </row>
    <row r="486" spans="1:9" s="304" customFormat="1" x14ac:dyDescent="0.2">
      <c r="A486" s="202" t="s">
        <v>1347</v>
      </c>
      <c r="B486" s="209" t="s">
        <v>1427</v>
      </c>
      <c r="C486" s="209" t="s">
        <v>535</v>
      </c>
      <c r="D486" s="265">
        <v>1454</v>
      </c>
      <c r="E486" s="265">
        <f>E487</f>
        <v>1454</v>
      </c>
      <c r="F486" s="265">
        <f t="shared" si="28"/>
        <v>0</v>
      </c>
      <c r="G486" s="226">
        <v>1454</v>
      </c>
      <c r="H486" s="226">
        <f t="shared" si="35"/>
        <v>1454</v>
      </c>
      <c r="I486" s="265">
        <f t="shared" si="29"/>
        <v>0</v>
      </c>
    </row>
    <row r="487" spans="1:9" s="304" customFormat="1" x14ac:dyDescent="0.2">
      <c r="A487" s="202" t="s">
        <v>534</v>
      </c>
      <c r="B487" s="209" t="s">
        <v>1427</v>
      </c>
      <c r="C487" s="209" t="s">
        <v>529</v>
      </c>
      <c r="D487" s="265">
        <v>1454</v>
      </c>
      <c r="E487" s="265">
        <f>'Функциональная 2021-2022'!H548</f>
        <v>1454</v>
      </c>
      <c r="F487" s="265">
        <f t="shared" si="28"/>
        <v>0</v>
      </c>
      <c r="G487" s="226">
        <v>1454</v>
      </c>
      <c r="H487" s="226">
        <f>'Функциональная 2021-2022'!N548</f>
        <v>1454</v>
      </c>
      <c r="I487" s="265">
        <f t="shared" si="29"/>
        <v>0</v>
      </c>
    </row>
    <row r="488" spans="1:9" s="304" customFormat="1" ht="22.5" x14ac:dyDescent="0.2">
      <c r="A488" s="202" t="s">
        <v>1023</v>
      </c>
      <c r="B488" s="209" t="s">
        <v>1428</v>
      </c>
      <c r="C488" s="209"/>
      <c r="D488" s="265">
        <v>1096</v>
      </c>
      <c r="E488" s="265">
        <f>E489</f>
        <v>1096</v>
      </c>
      <c r="F488" s="265">
        <f t="shared" si="28"/>
        <v>0</v>
      </c>
      <c r="G488" s="226">
        <v>1096</v>
      </c>
      <c r="H488" s="226">
        <f t="shared" ref="H488:H489" si="36">H489</f>
        <v>1096</v>
      </c>
      <c r="I488" s="265">
        <f t="shared" si="29"/>
        <v>0</v>
      </c>
    </row>
    <row r="489" spans="1:9" s="304" customFormat="1" ht="22.5" x14ac:dyDescent="0.2">
      <c r="A489" s="202" t="s">
        <v>1348</v>
      </c>
      <c r="B489" s="209" t="s">
        <v>1428</v>
      </c>
      <c r="C489" s="209" t="s">
        <v>556</v>
      </c>
      <c r="D489" s="265">
        <v>1096</v>
      </c>
      <c r="E489" s="265">
        <f>E490</f>
        <v>1096</v>
      </c>
      <c r="F489" s="265">
        <f t="shared" si="28"/>
        <v>0</v>
      </c>
      <c r="G489" s="226">
        <v>1096</v>
      </c>
      <c r="H489" s="226">
        <f t="shared" si="36"/>
        <v>1096</v>
      </c>
      <c r="I489" s="265">
        <f t="shared" si="29"/>
        <v>0</v>
      </c>
    </row>
    <row r="490" spans="1:9" s="304" customFormat="1" x14ac:dyDescent="0.2">
      <c r="A490" s="202" t="s">
        <v>555</v>
      </c>
      <c r="B490" s="209" t="s">
        <v>1428</v>
      </c>
      <c r="C490" s="209" t="s">
        <v>554</v>
      </c>
      <c r="D490" s="265">
        <v>1096</v>
      </c>
      <c r="E490" s="265">
        <f>'Функциональная 2021-2022'!H551</f>
        <v>1096</v>
      </c>
      <c r="F490" s="265">
        <f t="shared" si="28"/>
        <v>0</v>
      </c>
      <c r="G490" s="226">
        <v>1096</v>
      </c>
      <c r="H490" s="226">
        <f>'Функциональная 2021-2022'!N551</f>
        <v>1096</v>
      </c>
      <c r="I490" s="265">
        <f t="shared" si="29"/>
        <v>0</v>
      </c>
    </row>
    <row r="491" spans="1:9" ht="22.5" x14ac:dyDescent="0.2">
      <c r="A491" s="202" t="s">
        <v>1044</v>
      </c>
      <c r="B491" s="209" t="s">
        <v>1043</v>
      </c>
      <c r="C491" s="209"/>
      <c r="D491" s="265">
        <v>4016.2</v>
      </c>
      <c r="E491" s="265">
        <v>4016.2</v>
      </c>
      <c r="F491" s="265">
        <f t="shared" si="28"/>
        <v>0</v>
      </c>
      <c r="G491" s="226">
        <v>4016.2</v>
      </c>
      <c r="H491" s="226">
        <v>4016.2</v>
      </c>
      <c r="I491" s="265">
        <f t="shared" si="29"/>
        <v>0</v>
      </c>
    </row>
    <row r="492" spans="1:9" x14ac:dyDescent="0.2">
      <c r="A492" s="202" t="s">
        <v>547</v>
      </c>
      <c r="B492" s="209" t="s">
        <v>1043</v>
      </c>
      <c r="C492" s="209" t="s">
        <v>519</v>
      </c>
      <c r="D492" s="265">
        <v>4016.2</v>
      </c>
      <c r="E492" s="265">
        <v>4016.2</v>
      </c>
      <c r="F492" s="265">
        <f t="shared" si="28"/>
        <v>0</v>
      </c>
      <c r="G492" s="226">
        <v>4016.2</v>
      </c>
      <c r="H492" s="226">
        <v>4016.2</v>
      </c>
      <c r="I492" s="265">
        <f t="shared" si="29"/>
        <v>0</v>
      </c>
    </row>
    <row r="493" spans="1:9" x14ac:dyDescent="0.2">
      <c r="A493" s="202" t="s">
        <v>571</v>
      </c>
      <c r="B493" s="209" t="s">
        <v>1043</v>
      </c>
      <c r="C493" s="209" t="s">
        <v>522</v>
      </c>
      <c r="D493" s="265">
        <v>4016.2</v>
      </c>
      <c r="E493" s="265">
        <v>4016.2</v>
      </c>
      <c r="F493" s="265">
        <f t="shared" si="28"/>
        <v>0</v>
      </c>
      <c r="G493" s="226">
        <v>4016.2</v>
      </c>
      <c r="H493" s="226">
        <v>4016.2</v>
      </c>
      <c r="I493" s="265">
        <f t="shared" si="29"/>
        <v>0</v>
      </c>
    </row>
    <row r="494" spans="1:9" ht="22.5" x14ac:dyDescent="0.2">
      <c r="A494" s="202" t="s">
        <v>939</v>
      </c>
      <c r="B494" s="209" t="s">
        <v>938</v>
      </c>
      <c r="C494" s="209"/>
      <c r="D494" s="265">
        <v>632</v>
      </c>
      <c r="E494" s="265">
        <f>E495+E497</f>
        <v>632</v>
      </c>
      <c r="F494" s="265">
        <f t="shared" si="28"/>
        <v>0</v>
      </c>
      <c r="G494" s="226">
        <v>632</v>
      </c>
      <c r="H494" s="226">
        <f>H495+H497</f>
        <v>632</v>
      </c>
      <c r="I494" s="265">
        <f t="shared" si="29"/>
        <v>0</v>
      </c>
    </row>
    <row r="495" spans="1:9" ht="22.5" x14ac:dyDescent="0.2">
      <c r="A495" s="202" t="s">
        <v>1348</v>
      </c>
      <c r="B495" s="209" t="s">
        <v>938</v>
      </c>
      <c r="C495" s="209" t="s">
        <v>556</v>
      </c>
      <c r="D495" s="265">
        <v>569.9</v>
      </c>
      <c r="E495" s="265">
        <f>E496</f>
        <v>569.9</v>
      </c>
      <c r="F495" s="281">
        <f t="shared" si="28"/>
        <v>0</v>
      </c>
      <c r="G495" s="226">
        <v>569.9</v>
      </c>
      <c r="H495" s="226">
        <f>H496</f>
        <v>569.9</v>
      </c>
      <c r="I495" s="281">
        <f t="shared" si="29"/>
        <v>0</v>
      </c>
    </row>
    <row r="496" spans="1:9" x14ac:dyDescent="0.2">
      <c r="A496" s="202" t="s">
        <v>749</v>
      </c>
      <c r="B496" s="209" t="s">
        <v>938</v>
      </c>
      <c r="C496" s="209" t="s">
        <v>745</v>
      </c>
      <c r="D496" s="265">
        <v>569.9</v>
      </c>
      <c r="E496" s="265">
        <f>572.1-2.2</f>
        <v>569.9</v>
      </c>
      <c r="F496" s="281">
        <f t="shared" si="28"/>
        <v>0</v>
      </c>
      <c r="G496" s="226">
        <v>569.9</v>
      </c>
      <c r="H496" s="226">
        <f>572.1-2.2</f>
        <v>569.9</v>
      </c>
      <c r="I496" s="281">
        <f t="shared" si="29"/>
        <v>0</v>
      </c>
    </row>
    <row r="497" spans="1:9" x14ac:dyDescent="0.2">
      <c r="A497" s="202" t="s">
        <v>1347</v>
      </c>
      <c r="B497" s="209" t="s">
        <v>938</v>
      </c>
      <c r="C497" s="209" t="s">
        <v>535</v>
      </c>
      <c r="D497" s="265">
        <v>62.1</v>
      </c>
      <c r="E497" s="265">
        <f>E498</f>
        <v>62.1</v>
      </c>
      <c r="F497" s="265">
        <f t="shared" si="28"/>
        <v>0</v>
      </c>
      <c r="G497" s="226">
        <v>62.1</v>
      </c>
      <c r="H497" s="226">
        <f>H498</f>
        <v>62.1</v>
      </c>
      <c r="I497" s="265">
        <f t="shared" si="29"/>
        <v>0</v>
      </c>
    </row>
    <row r="498" spans="1:9" x14ac:dyDescent="0.2">
      <c r="A498" s="202" t="s">
        <v>534</v>
      </c>
      <c r="B498" s="209" t="s">
        <v>938</v>
      </c>
      <c r="C498" s="209" t="s">
        <v>529</v>
      </c>
      <c r="D498" s="265">
        <v>62.1</v>
      </c>
      <c r="E498" s="265">
        <f>59.9+2.2</f>
        <v>62.1</v>
      </c>
      <c r="F498" s="265">
        <f t="shared" si="28"/>
        <v>0</v>
      </c>
      <c r="G498" s="226">
        <v>62.1</v>
      </c>
      <c r="H498" s="226">
        <f>59.9+2.2</f>
        <v>62.1</v>
      </c>
      <c r="I498" s="265">
        <f t="shared" si="29"/>
        <v>0</v>
      </c>
    </row>
    <row r="499" spans="1:9" x14ac:dyDescent="0.2">
      <c r="A499" s="199" t="s">
        <v>879</v>
      </c>
      <c r="B499" s="212" t="s">
        <v>878</v>
      </c>
      <c r="C499" s="212"/>
      <c r="D499" s="263">
        <v>12750.8</v>
      </c>
      <c r="E499" s="263">
        <v>12750.8</v>
      </c>
      <c r="F499" s="263">
        <f t="shared" si="28"/>
        <v>0</v>
      </c>
      <c r="G499" s="205">
        <v>12150.8</v>
      </c>
      <c r="H499" s="205">
        <v>12150.8</v>
      </c>
      <c r="I499" s="263">
        <f t="shared" si="29"/>
        <v>0</v>
      </c>
    </row>
    <row r="500" spans="1:9" x14ac:dyDescent="0.2">
      <c r="A500" s="199" t="s">
        <v>1062</v>
      </c>
      <c r="B500" s="212" t="s">
        <v>1061</v>
      </c>
      <c r="C500" s="212"/>
      <c r="D500" s="263">
        <v>5890</v>
      </c>
      <c r="E500" s="263">
        <v>5890</v>
      </c>
      <c r="F500" s="263">
        <f t="shared" si="28"/>
        <v>0</v>
      </c>
      <c r="G500" s="205">
        <v>5890</v>
      </c>
      <c r="H500" s="205">
        <v>5890</v>
      </c>
      <c r="I500" s="263">
        <f t="shared" si="29"/>
        <v>0</v>
      </c>
    </row>
    <row r="501" spans="1:9" ht="22.5" x14ac:dyDescent="0.2">
      <c r="A501" s="199" t="s">
        <v>1060</v>
      </c>
      <c r="B501" s="212" t="s">
        <v>1059</v>
      </c>
      <c r="C501" s="212"/>
      <c r="D501" s="263">
        <v>5890</v>
      </c>
      <c r="E501" s="263">
        <v>5890</v>
      </c>
      <c r="F501" s="263">
        <f t="shared" si="28"/>
        <v>0</v>
      </c>
      <c r="G501" s="205">
        <v>5890</v>
      </c>
      <c r="H501" s="205">
        <v>5890</v>
      </c>
      <c r="I501" s="263">
        <f t="shared" si="29"/>
        <v>0</v>
      </c>
    </row>
    <row r="502" spans="1:9" x14ac:dyDescent="0.2">
      <c r="A502" s="202" t="s">
        <v>1058</v>
      </c>
      <c r="B502" s="209" t="s">
        <v>1057</v>
      </c>
      <c r="C502" s="209"/>
      <c r="D502" s="265">
        <v>5890</v>
      </c>
      <c r="E502" s="265">
        <v>5890</v>
      </c>
      <c r="F502" s="265">
        <f t="shared" si="28"/>
        <v>0</v>
      </c>
      <c r="G502" s="226">
        <v>5890</v>
      </c>
      <c r="H502" s="226">
        <v>5890</v>
      </c>
      <c r="I502" s="265">
        <f t="shared" si="29"/>
        <v>0</v>
      </c>
    </row>
    <row r="503" spans="1:9" x14ac:dyDescent="0.2">
      <c r="A503" s="202" t="s">
        <v>615</v>
      </c>
      <c r="B503" s="209" t="s">
        <v>1057</v>
      </c>
      <c r="C503" s="209" t="s">
        <v>509</v>
      </c>
      <c r="D503" s="265">
        <v>5890</v>
      </c>
      <c r="E503" s="265">
        <v>5890</v>
      </c>
      <c r="F503" s="265">
        <f t="shared" si="28"/>
        <v>0</v>
      </c>
      <c r="G503" s="226">
        <v>5890</v>
      </c>
      <c r="H503" s="226">
        <v>5890</v>
      </c>
      <c r="I503" s="265">
        <f t="shared" si="29"/>
        <v>0</v>
      </c>
    </row>
    <row r="504" spans="1:9" ht="22.5" x14ac:dyDescent="0.2">
      <c r="A504" s="202" t="s">
        <v>1346</v>
      </c>
      <c r="B504" s="209" t="s">
        <v>1057</v>
      </c>
      <c r="C504" s="209" t="s">
        <v>511</v>
      </c>
      <c r="D504" s="265">
        <v>5890</v>
      </c>
      <c r="E504" s="265">
        <v>5890</v>
      </c>
      <c r="F504" s="265">
        <f t="shared" si="28"/>
        <v>0</v>
      </c>
      <c r="G504" s="226">
        <v>5890</v>
      </c>
      <c r="H504" s="226">
        <v>5890</v>
      </c>
      <c r="I504" s="265">
        <f t="shared" si="29"/>
        <v>0</v>
      </c>
    </row>
    <row r="505" spans="1:9" x14ac:dyDescent="0.2">
      <c r="A505" s="199" t="s">
        <v>877</v>
      </c>
      <c r="B505" s="212" t="s">
        <v>876</v>
      </c>
      <c r="C505" s="212"/>
      <c r="D505" s="263">
        <v>6860.8</v>
      </c>
      <c r="E505" s="263">
        <v>6860.8</v>
      </c>
      <c r="F505" s="263">
        <f t="shared" si="28"/>
        <v>0</v>
      </c>
      <c r="G505" s="205">
        <v>6260.8</v>
      </c>
      <c r="H505" s="205">
        <v>6260.8</v>
      </c>
      <c r="I505" s="263">
        <f t="shared" si="29"/>
        <v>0</v>
      </c>
    </row>
    <row r="506" spans="1:9" x14ac:dyDescent="0.2">
      <c r="A506" s="199" t="s">
        <v>875</v>
      </c>
      <c r="B506" s="212" t="s">
        <v>874</v>
      </c>
      <c r="C506" s="212"/>
      <c r="D506" s="263">
        <v>6860.8</v>
      </c>
      <c r="E506" s="263">
        <v>6860.8</v>
      </c>
      <c r="F506" s="263">
        <f t="shared" si="28"/>
        <v>0</v>
      </c>
      <c r="G506" s="205">
        <v>6260.8</v>
      </c>
      <c r="H506" s="205">
        <v>6260.8</v>
      </c>
      <c r="I506" s="263">
        <f t="shared" si="29"/>
        <v>0</v>
      </c>
    </row>
    <row r="507" spans="1:9" ht="22.5" x14ac:dyDescent="0.2">
      <c r="A507" s="202" t="s">
        <v>873</v>
      </c>
      <c r="B507" s="209" t="s">
        <v>872</v>
      </c>
      <c r="C507" s="209"/>
      <c r="D507" s="265">
        <v>6860.8</v>
      </c>
      <c r="E507" s="265">
        <v>6860.8</v>
      </c>
      <c r="F507" s="265">
        <f t="shared" si="28"/>
        <v>0</v>
      </c>
      <c r="G507" s="226">
        <v>6260.8</v>
      </c>
      <c r="H507" s="226">
        <v>6260.8</v>
      </c>
      <c r="I507" s="265">
        <f t="shared" si="29"/>
        <v>0</v>
      </c>
    </row>
    <row r="508" spans="1:9" x14ac:dyDescent="0.2">
      <c r="A508" s="202" t="s">
        <v>1347</v>
      </c>
      <c r="B508" s="209" t="s">
        <v>872</v>
      </c>
      <c r="C508" s="209" t="s">
        <v>535</v>
      </c>
      <c r="D508" s="265">
        <v>6860.8</v>
      </c>
      <c r="E508" s="265">
        <v>6860.8</v>
      </c>
      <c r="F508" s="265">
        <f t="shared" si="28"/>
        <v>0</v>
      </c>
      <c r="G508" s="226">
        <v>6260.8</v>
      </c>
      <c r="H508" s="226">
        <v>6260.8</v>
      </c>
      <c r="I508" s="265">
        <f t="shared" si="29"/>
        <v>0</v>
      </c>
    </row>
    <row r="509" spans="1:9" x14ac:dyDescent="0.2">
      <c r="A509" s="202" t="s">
        <v>534</v>
      </c>
      <c r="B509" s="209" t="s">
        <v>872</v>
      </c>
      <c r="C509" s="209" t="s">
        <v>529</v>
      </c>
      <c r="D509" s="265">
        <v>6860.8</v>
      </c>
      <c r="E509" s="265">
        <v>6860.8</v>
      </c>
      <c r="F509" s="265">
        <f t="shared" si="28"/>
        <v>0</v>
      </c>
      <c r="G509" s="226">
        <v>6260.8</v>
      </c>
      <c r="H509" s="226">
        <v>6260.8</v>
      </c>
      <c r="I509" s="265">
        <f t="shared" si="29"/>
        <v>0</v>
      </c>
    </row>
    <row r="510" spans="1:9" x14ac:dyDescent="0.2">
      <c r="A510" s="199" t="s">
        <v>604</v>
      </c>
      <c r="B510" s="212" t="s">
        <v>603</v>
      </c>
      <c r="C510" s="212"/>
      <c r="D510" s="263">
        <v>1776074.9000000004</v>
      </c>
      <c r="E510" s="263">
        <f>E511+E526+E531+E536</f>
        <v>1684368.1</v>
      </c>
      <c r="F510" s="282">
        <f t="shared" si="28"/>
        <v>-91706.800000000279</v>
      </c>
      <c r="G510" s="205">
        <v>1423908.7999999998</v>
      </c>
      <c r="H510" s="205">
        <f>H511+H526+H531+H536</f>
        <v>1417708.7999999998</v>
      </c>
      <c r="I510" s="282">
        <f t="shared" si="29"/>
        <v>-6200</v>
      </c>
    </row>
    <row r="511" spans="1:9" x14ac:dyDescent="0.2">
      <c r="A511" s="199" t="s">
        <v>1042</v>
      </c>
      <c r="B511" s="212" t="s">
        <v>1041</v>
      </c>
      <c r="C511" s="212"/>
      <c r="D511" s="263">
        <v>242309.1</v>
      </c>
      <c r="E511" s="263">
        <v>242309.1</v>
      </c>
      <c r="F511" s="263">
        <f t="shared" si="28"/>
        <v>0</v>
      </c>
      <c r="G511" s="205">
        <v>242309.1</v>
      </c>
      <c r="H511" s="205">
        <v>242309.1</v>
      </c>
      <c r="I511" s="263">
        <f t="shared" si="29"/>
        <v>0</v>
      </c>
    </row>
    <row r="512" spans="1:9" ht="22.5" x14ac:dyDescent="0.2">
      <c r="A512" s="199" t="s">
        <v>1040</v>
      </c>
      <c r="B512" s="212" t="s">
        <v>1039</v>
      </c>
      <c r="C512" s="212"/>
      <c r="D512" s="263">
        <v>240309.1</v>
      </c>
      <c r="E512" s="263">
        <v>240309.1</v>
      </c>
      <c r="F512" s="263">
        <f t="shared" si="28"/>
        <v>0</v>
      </c>
      <c r="G512" s="205">
        <v>240309.1</v>
      </c>
      <c r="H512" s="205">
        <v>240309.1</v>
      </c>
      <c r="I512" s="263">
        <f t="shared" si="29"/>
        <v>0</v>
      </c>
    </row>
    <row r="513" spans="1:9" ht="22.5" x14ac:dyDescent="0.2">
      <c r="A513" s="202" t="s">
        <v>1038</v>
      </c>
      <c r="B513" s="209" t="s">
        <v>1037</v>
      </c>
      <c r="C513" s="209"/>
      <c r="D513" s="265">
        <v>788.4</v>
      </c>
      <c r="E513" s="265">
        <v>788.4</v>
      </c>
      <c r="F513" s="265">
        <f t="shared" si="28"/>
        <v>0</v>
      </c>
      <c r="G513" s="226">
        <v>788.4</v>
      </c>
      <c r="H513" s="226">
        <v>788.4</v>
      </c>
      <c r="I513" s="265">
        <f t="shared" si="29"/>
        <v>0</v>
      </c>
    </row>
    <row r="514" spans="1:9" x14ac:dyDescent="0.2">
      <c r="A514" s="202" t="s">
        <v>547</v>
      </c>
      <c r="B514" s="209" t="s">
        <v>1037</v>
      </c>
      <c r="C514" s="209" t="s">
        <v>519</v>
      </c>
      <c r="D514" s="265">
        <v>788.4</v>
      </c>
      <c r="E514" s="265">
        <v>788.4</v>
      </c>
      <c r="F514" s="265">
        <f t="shared" si="28"/>
        <v>0</v>
      </c>
      <c r="G514" s="226">
        <v>788.4</v>
      </c>
      <c r="H514" s="226">
        <v>788.4</v>
      </c>
      <c r="I514" s="265">
        <f t="shared" si="29"/>
        <v>0</v>
      </c>
    </row>
    <row r="515" spans="1:9" x14ac:dyDescent="0.2">
      <c r="A515" s="202" t="s">
        <v>571</v>
      </c>
      <c r="B515" s="209" t="s">
        <v>1037</v>
      </c>
      <c r="C515" s="209" t="s">
        <v>522</v>
      </c>
      <c r="D515" s="265">
        <v>788.4</v>
      </c>
      <c r="E515" s="265">
        <v>788.4</v>
      </c>
      <c r="F515" s="265">
        <f t="shared" si="28"/>
        <v>0</v>
      </c>
      <c r="G515" s="226">
        <v>788.4</v>
      </c>
      <c r="H515" s="226">
        <v>788.4</v>
      </c>
      <c r="I515" s="265">
        <f t="shared" si="29"/>
        <v>0</v>
      </c>
    </row>
    <row r="516" spans="1:9" ht="22.5" x14ac:dyDescent="0.2">
      <c r="A516" s="202" t="s">
        <v>1234</v>
      </c>
      <c r="B516" s="209" t="s">
        <v>1233</v>
      </c>
      <c r="C516" s="209"/>
      <c r="D516" s="265">
        <v>193520.7</v>
      </c>
      <c r="E516" s="265">
        <v>193520.7</v>
      </c>
      <c r="F516" s="265">
        <f t="shared" ref="F516:F579" si="37">E516-D516</f>
        <v>0</v>
      </c>
      <c r="G516" s="226">
        <v>193520.7</v>
      </c>
      <c r="H516" s="226">
        <v>193520.7</v>
      </c>
      <c r="I516" s="265">
        <f t="shared" ref="I516:I579" si="38">H516-G516</f>
        <v>0</v>
      </c>
    </row>
    <row r="517" spans="1:9" x14ac:dyDescent="0.2">
      <c r="A517" s="202" t="s">
        <v>547</v>
      </c>
      <c r="B517" s="209" t="s">
        <v>1233</v>
      </c>
      <c r="C517" s="209" t="s">
        <v>519</v>
      </c>
      <c r="D517" s="265">
        <v>193520.7</v>
      </c>
      <c r="E517" s="265">
        <v>193520.7</v>
      </c>
      <c r="F517" s="265">
        <f t="shared" si="37"/>
        <v>0</v>
      </c>
      <c r="G517" s="226">
        <v>193520.7</v>
      </c>
      <c r="H517" s="226">
        <v>193520.7</v>
      </c>
      <c r="I517" s="265">
        <f t="shared" si="38"/>
        <v>0</v>
      </c>
    </row>
    <row r="518" spans="1:9" x14ac:dyDescent="0.2">
      <c r="A518" s="202" t="s">
        <v>571</v>
      </c>
      <c r="B518" s="209" t="s">
        <v>1233</v>
      </c>
      <c r="C518" s="209" t="s">
        <v>522</v>
      </c>
      <c r="D518" s="265">
        <v>193520.7</v>
      </c>
      <c r="E518" s="265">
        <v>193520.7</v>
      </c>
      <c r="F518" s="265">
        <f t="shared" si="37"/>
        <v>0</v>
      </c>
      <c r="G518" s="226">
        <v>193520.7</v>
      </c>
      <c r="H518" s="226">
        <v>193520.7</v>
      </c>
      <c r="I518" s="265">
        <f t="shared" si="38"/>
        <v>0</v>
      </c>
    </row>
    <row r="519" spans="1:9" x14ac:dyDescent="0.2">
      <c r="A519" s="202" t="s">
        <v>1036</v>
      </c>
      <c r="B519" s="209" t="s">
        <v>1035</v>
      </c>
      <c r="C519" s="209"/>
      <c r="D519" s="265">
        <v>46000</v>
      </c>
      <c r="E519" s="265">
        <v>46000</v>
      </c>
      <c r="F519" s="265">
        <f t="shared" si="37"/>
        <v>0</v>
      </c>
      <c r="G519" s="226">
        <v>46000</v>
      </c>
      <c r="H519" s="226">
        <v>46000</v>
      </c>
      <c r="I519" s="265">
        <f t="shared" si="38"/>
        <v>0</v>
      </c>
    </row>
    <row r="520" spans="1:9" x14ac:dyDescent="0.2">
      <c r="A520" s="202" t="s">
        <v>1347</v>
      </c>
      <c r="B520" s="209" t="s">
        <v>1035</v>
      </c>
      <c r="C520" s="209" t="s">
        <v>535</v>
      </c>
      <c r="D520" s="265">
        <v>46000</v>
      </c>
      <c r="E520" s="265">
        <v>46000</v>
      </c>
      <c r="F520" s="265">
        <f t="shared" si="37"/>
        <v>0</v>
      </c>
      <c r="G520" s="226">
        <v>46000</v>
      </c>
      <c r="H520" s="226">
        <v>46000</v>
      </c>
      <c r="I520" s="265">
        <f t="shared" si="38"/>
        <v>0</v>
      </c>
    </row>
    <row r="521" spans="1:9" x14ac:dyDescent="0.2">
      <c r="A521" s="202" t="s">
        <v>534</v>
      </c>
      <c r="B521" s="209" t="s">
        <v>1035</v>
      </c>
      <c r="C521" s="209" t="s">
        <v>529</v>
      </c>
      <c r="D521" s="265">
        <v>46000</v>
      </c>
      <c r="E521" s="265">
        <v>46000</v>
      </c>
      <c r="F521" s="265">
        <f t="shared" si="37"/>
        <v>0</v>
      </c>
      <c r="G521" s="226">
        <v>46000</v>
      </c>
      <c r="H521" s="226">
        <v>46000</v>
      </c>
      <c r="I521" s="265">
        <f t="shared" si="38"/>
        <v>0</v>
      </c>
    </row>
    <row r="522" spans="1:9" ht="22.5" x14ac:dyDescent="0.2">
      <c r="A522" s="199" t="s">
        <v>600</v>
      </c>
      <c r="B522" s="212" t="s">
        <v>1232</v>
      </c>
      <c r="C522" s="212"/>
      <c r="D522" s="263">
        <v>2000</v>
      </c>
      <c r="E522" s="263">
        <v>2000</v>
      </c>
      <c r="F522" s="263">
        <f t="shared" si="37"/>
        <v>0</v>
      </c>
      <c r="G522" s="205">
        <v>2000</v>
      </c>
      <c r="H522" s="205">
        <v>2000</v>
      </c>
      <c r="I522" s="263">
        <f t="shared" si="38"/>
        <v>0</v>
      </c>
    </row>
    <row r="523" spans="1:9" x14ac:dyDescent="0.2">
      <c r="A523" s="202" t="s">
        <v>1231</v>
      </c>
      <c r="B523" s="209" t="s">
        <v>1230</v>
      </c>
      <c r="C523" s="209"/>
      <c r="D523" s="265">
        <v>2000</v>
      </c>
      <c r="E523" s="265">
        <v>2000</v>
      </c>
      <c r="F523" s="265">
        <f t="shared" si="37"/>
        <v>0</v>
      </c>
      <c r="G523" s="226">
        <v>2000</v>
      </c>
      <c r="H523" s="226">
        <v>2000</v>
      </c>
      <c r="I523" s="265">
        <f t="shared" si="38"/>
        <v>0</v>
      </c>
    </row>
    <row r="524" spans="1:9" x14ac:dyDescent="0.2">
      <c r="A524" s="202" t="s">
        <v>1347</v>
      </c>
      <c r="B524" s="209" t="s">
        <v>1230</v>
      </c>
      <c r="C524" s="209" t="s">
        <v>535</v>
      </c>
      <c r="D524" s="265">
        <v>2000</v>
      </c>
      <c r="E524" s="265">
        <v>2000</v>
      </c>
      <c r="F524" s="265">
        <f t="shared" si="37"/>
        <v>0</v>
      </c>
      <c r="G524" s="226">
        <v>2000</v>
      </c>
      <c r="H524" s="226">
        <v>2000</v>
      </c>
      <c r="I524" s="265">
        <f t="shared" si="38"/>
        <v>0</v>
      </c>
    </row>
    <row r="525" spans="1:9" x14ac:dyDescent="0.2">
      <c r="A525" s="202" t="s">
        <v>534</v>
      </c>
      <c r="B525" s="209" t="s">
        <v>1230</v>
      </c>
      <c r="C525" s="209" t="s">
        <v>529</v>
      </c>
      <c r="D525" s="265">
        <v>2000</v>
      </c>
      <c r="E525" s="265">
        <v>2000</v>
      </c>
      <c r="F525" s="265">
        <f t="shared" si="37"/>
        <v>0</v>
      </c>
      <c r="G525" s="226">
        <v>2000</v>
      </c>
      <c r="H525" s="226">
        <v>2000</v>
      </c>
      <c r="I525" s="265">
        <f t="shared" si="38"/>
        <v>0</v>
      </c>
    </row>
    <row r="526" spans="1:9" x14ac:dyDescent="0.2">
      <c r="A526" s="199" t="s">
        <v>893</v>
      </c>
      <c r="B526" s="212" t="s">
        <v>892</v>
      </c>
      <c r="C526" s="212"/>
      <c r="D526" s="263">
        <v>285</v>
      </c>
      <c r="E526" s="263">
        <v>285</v>
      </c>
      <c r="F526" s="263">
        <f t="shared" si="37"/>
        <v>0</v>
      </c>
      <c r="G526" s="205">
        <v>285</v>
      </c>
      <c r="H526" s="205">
        <v>285</v>
      </c>
      <c r="I526" s="263">
        <f t="shared" si="38"/>
        <v>0</v>
      </c>
    </row>
    <row r="527" spans="1:9" ht="22.5" x14ac:dyDescent="0.2">
      <c r="A527" s="199" t="s">
        <v>891</v>
      </c>
      <c r="B527" s="212" t="s">
        <v>890</v>
      </c>
      <c r="C527" s="212"/>
      <c r="D527" s="263">
        <v>285</v>
      </c>
      <c r="E527" s="263">
        <v>285</v>
      </c>
      <c r="F527" s="263">
        <f t="shared" si="37"/>
        <v>0</v>
      </c>
      <c r="G527" s="205">
        <v>285</v>
      </c>
      <c r="H527" s="205">
        <v>285</v>
      </c>
      <c r="I527" s="263">
        <f t="shared" si="38"/>
        <v>0</v>
      </c>
    </row>
    <row r="528" spans="1:9" ht="45" x14ac:dyDescent="0.2">
      <c r="A528" s="202" t="s">
        <v>889</v>
      </c>
      <c r="B528" s="209" t="s">
        <v>888</v>
      </c>
      <c r="C528" s="209"/>
      <c r="D528" s="265">
        <v>285</v>
      </c>
      <c r="E528" s="265">
        <v>285</v>
      </c>
      <c r="F528" s="265">
        <f t="shared" si="37"/>
        <v>0</v>
      </c>
      <c r="G528" s="226">
        <v>285</v>
      </c>
      <c r="H528" s="226">
        <v>285</v>
      </c>
      <c r="I528" s="265">
        <f t="shared" si="38"/>
        <v>0</v>
      </c>
    </row>
    <row r="529" spans="1:9" x14ac:dyDescent="0.2">
      <c r="A529" s="202" t="s">
        <v>1347</v>
      </c>
      <c r="B529" s="209" t="s">
        <v>888</v>
      </c>
      <c r="C529" s="209" t="s">
        <v>535</v>
      </c>
      <c r="D529" s="265">
        <v>285</v>
      </c>
      <c r="E529" s="265">
        <v>285</v>
      </c>
      <c r="F529" s="265">
        <f t="shared" si="37"/>
        <v>0</v>
      </c>
      <c r="G529" s="226">
        <v>285</v>
      </c>
      <c r="H529" s="226">
        <v>285</v>
      </c>
      <c r="I529" s="265">
        <f t="shared" si="38"/>
        <v>0</v>
      </c>
    </row>
    <row r="530" spans="1:9" x14ac:dyDescent="0.2">
      <c r="A530" s="202" t="s">
        <v>534</v>
      </c>
      <c r="B530" s="209" t="s">
        <v>888</v>
      </c>
      <c r="C530" s="209" t="s">
        <v>529</v>
      </c>
      <c r="D530" s="265">
        <v>285</v>
      </c>
      <c r="E530" s="265">
        <v>285</v>
      </c>
      <c r="F530" s="265">
        <f t="shared" si="37"/>
        <v>0</v>
      </c>
      <c r="G530" s="226">
        <v>285</v>
      </c>
      <c r="H530" s="226">
        <v>285</v>
      </c>
      <c r="I530" s="265">
        <f t="shared" si="38"/>
        <v>0</v>
      </c>
    </row>
    <row r="531" spans="1:9" x14ac:dyDescent="0.2">
      <c r="A531" s="199" t="s">
        <v>779</v>
      </c>
      <c r="B531" s="212" t="s">
        <v>778</v>
      </c>
      <c r="C531" s="212"/>
      <c r="D531" s="263">
        <v>138920</v>
      </c>
      <c r="E531" s="263">
        <v>138920</v>
      </c>
      <c r="F531" s="263">
        <f t="shared" si="37"/>
        <v>0</v>
      </c>
      <c r="G531" s="205">
        <v>122400</v>
      </c>
      <c r="H531" s="205">
        <v>122400</v>
      </c>
      <c r="I531" s="263">
        <f t="shared" si="38"/>
        <v>0</v>
      </c>
    </row>
    <row r="532" spans="1:9" x14ac:dyDescent="0.2">
      <c r="A532" s="199" t="s">
        <v>777</v>
      </c>
      <c r="B532" s="212" t="s">
        <v>776</v>
      </c>
      <c r="C532" s="212"/>
      <c r="D532" s="263">
        <v>138920</v>
      </c>
      <c r="E532" s="263">
        <v>138920</v>
      </c>
      <c r="F532" s="263">
        <f t="shared" si="37"/>
        <v>0</v>
      </c>
      <c r="G532" s="205">
        <v>122400</v>
      </c>
      <c r="H532" s="205">
        <v>122400</v>
      </c>
      <c r="I532" s="263">
        <f t="shared" si="38"/>
        <v>0</v>
      </c>
    </row>
    <row r="533" spans="1:9" x14ac:dyDescent="0.2">
      <c r="A533" s="202" t="s">
        <v>774</v>
      </c>
      <c r="B533" s="209" t="s">
        <v>773</v>
      </c>
      <c r="C533" s="209"/>
      <c r="D533" s="265">
        <v>138920</v>
      </c>
      <c r="E533" s="265">
        <v>138920</v>
      </c>
      <c r="F533" s="265">
        <f t="shared" si="37"/>
        <v>0</v>
      </c>
      <c r="G533" s="226">
        <v>122400</v>
      </c>
      <c r="H533" s="226">
        <v>122400</v>
      </c>
      <c r="I533" s="265">
        <f t="shared" si="38"/>
        <v>0</v>
      </c>
    </row>
    <row r="534" spans="1:9" x14ac:dyDescent="0.2">
      <c r="A534" s="202" t="s">
        <v>775</v>
      </c>
      <c r="B534" s="209" t="s">
        <v>773</v>
      </c>
      <c r="C534" s="209" t="s">
        <v>504</v>
      </c>
      <c r="D534" s="265">
        <v>138920</v>
      </c>
      <c r="E534" s="265">
        <v>138920</v>
      </c>
      <c r="F534" s="265">
        <f t="shared" si="37"/>
        <v>0</v>
      </c>
      <c r="G534" s="226">
        <v>122400</v>
      </c>
      <c r="H534" s="226">
        <v>122400</v>
      </c>
      <c r="I534" s="265">
        <f t="shared" si="38"/>
        <v>0</v>
      </c>
    </row>
    <row r="535" spans="1:9" x14ac:dyDescent="0.2">
      <c r="A535" s="202" t="s">
        <v>774</v>
      </c>
      <c r="B535" s="209" t="s">
        <v>773</v>
      </c>
      <c r="C535" s="209" t="s">
        <v>772</v>
      </c>
      <c r="D535" s="265">
        <v>138920</v>
      </c>
      <c r="E535" s="265">
        <v>138920</v>
      </c>
      <c r="F535" s="265">
        <f t="shared" si="37"/>
        <v>0</v>
      </c>
      <c r="G535" s="226">
        <v>122400</v>
      </c>
      <c r="H535" s="226">
        <v>122400</v>
      </c>
      <c r="I535" s="265">
        <f t="shared" si="38"/>
        <v>0</v>
      </c>
    </row>
    <row r="536" spans="1:9" x14ac:dyDescent="0.2">
      <c r="A536" s="199" t="s">
        <v>602</v>
      </c>
      <c r="B536" s="212" t="s">
        <v>601</v>
      </c>
      <c r="C536" s="212"/>
      <c r="D536" s="263">
        <v>1394560.8000000003</v>
      </c>
      <c r="E536" s="263">
        <f>E537</f>
        <v>1302854</v>
      </c>
      <c r="F536" s="282">
        <f t="shared" si="37"/>
        <v>-91706.800000000279</v>
      </c>
      <c r="G536" s="205">
        <v>1058914.6999999997</v>
      </c>
      <c r="H536" s="205">
        <f>H537</f>
        <v>1052714.6999999997</v>
      </c>
      <c r="I536" s="282">
        <f t="shared" si="38"/>
        <v>-6200</v>
      </c>
    </row>
    <row r="537" spans="1:9" ht="22.5" x14ac:dyDescent="0.2">
      <c r="A537" s="199" t="s">
        <v>600</v>
      </c>
      <c r="B537" s="212" t="s">
        <v>599</v>
      </c>
      <c r="C537" s="212"/>
      <c r="D537" s="263">
        <v>1394560.8000000003</v>
      </c>
      <c r="E537" s="263">
        <f>E538+E541+E548+E555+E558+E561+E568+E575+E578+E585+E592+E597+E604+E607</f>
        <v>1302854</v>
      </c>
      <c r="F537" s="282">
        <f t="shared" si="37"/>
        <v>-91706.800000000279</v>
      </c>
      <c r="G537" s="205">
        <v>1058914.6999999997</v>
      </c>
      <c r="H537" s="205">
        <f>H538+H541+H548+H555+H558+H561+H568+H575+H578+H585+H592+H597+H604+H607</f>
        <v>1052714.6999999997</v>
      </c>
      <c r="I537" s="282">
        <f t="shared" si="38"/>
        <v>-6200</v>
      </c>
    </row>
    <row r="538" spans="1:9" x14ac:dyDescent="0.2">
      <c r="A538" s="202" t="s">
        <v>1269</v>
      </c>
      <c r="B538" s="209" t="s">
        <v>1268</v>
      </c>
      <c r="C538" s="209"/>
      <c r="D538" s="265">
        <v>3683.1</v>
      </c>
      <c r="E538" s="265">
        <v>3683.1</v>
      </c>
      <c r="F538" s="265">
        <f t="shared" si="37"/>
        <v>0</v>
      </c>
      <c r="G538" s="226">
        <v>3328.1</v>
      </c>
      <c r="H538" s="226">
        <f>H539</f>
        <v>3328.1</v>
      </c>
      <c r="I538" s="281">
        <f t="shared" si="38"/>
        <v>0</v>
      </c>
    </row>
    <row r="539" spans="1:9" ht="22.5" x14ac:dyDescent="0.2">
      <c r="A539" s="202" t="s">
        <v>1348</v>
      </c>
      <c r="B539" s="209" t="s">
        <v>1268</v>
      </c>
      <c r="C539" s="209" t="s">
        <v>556</v>
      </c>
      <c r="D539" s="265">
        <v>3683.1</v>
      </c>
      <c r="E539" s="265">
        <v>3683.1</v>
      </c>
      <c r="F539" s="265">
        <f t="shared" si="37"/>
        <v>0</v>
      </c>
      <c r="G539" s="226">
        <v>3328.1</v>
      </c>
      <c r="H539" s="226">
        <f>H540</f>
        <v>3328.1</v>
      </c>
      <c r="I539" s="281">
        <f t="shared" si="38"/>
        <v>0</v>
      </c>
    </row>
    <row r="540" spans="1:9" x14ac:dyDescent="0.2">
      <c r="A540" s="202" t="s">
        <v>749</v>
      </c>
      <c r="B540" s="209" t="s">
        <v>1268</v>
      </c>
      <c r="C540" s="209" t="s">
        <v>745</v>
      </c>
      <c r="D540" s="265">
        <v>3683.1</v>
      </c>
      <c r="E540" s="265">
        <v>3683.1</v>
      </c>
      <c r="F540" s="265">
        <f t="shared" si="37"/>
        <v>0</v>
      </c>
      <c r="G540" s="226">
        <v>3328.1</v>
      </c>
      <c r="H540" s="226">
        <f>3683.1-355</f>
        <v>3328.1</v>
      </c>
      <c r="I540" s="281">
        <f t="shared" si="38"/>
        <v>0</v>
      </c>
    </row>
    <row r="541" spans="1:9" x14ac:dyDescent="0.2">
      <c r="A541" s="202" t="s">
        <v>598</v>
      </c>
      <c r="B541" s="209" t="s">
        <v>597</v>
      </c>
      <c r="C541" s="209"/>
      <c r="D541" s="265">
        <v>640122.60000000009</v>
      </c>
      <c r="E541" s="265">
        <f>E542+E544+E546</f>
        <v>548415.80000000005</v>
      </c>
      <c r="F541" s="281">
        <f t="shared" si="37"/>
        <v>-91706.800000000047</v>
      </c>
      <c r="G541" s="226">
        <v>310881.5</v>
      </c>
      <c r="H541" s="226">
        <f>H542+H544+H546</f>
        <v>304681.5</v>
      </c>
      <c r="I541" s="281">
        <f t="shared" si="38"/>
        <v>-6200</v>
      </c>
    </row>
    <row r="542" spans="1:9" ht="22.5" x14ac:dyDescent="0.2">
      <c r="A542" s="202" t="s">
        <v>1348</v>
      </c>
      <c r="B542" s="209" t="s">
        <v>597</v>
      </c>
      <c r="C542" s="209" t="s">
        <v>556</v>
      </c>
      <c r="D542" s="265">
        <v>555961.4</v>
      </c>
      <c r="E542" s="265">
        <f>E543</f>
        <v>464254.60000000003</v>
      </c>
      <c r="F542" s="281">
        <f t="shared" si="37"/>
        <v>-91706.799999999988</v>
      </c>
      <c r="G542" s="226">
        <v>226630.3</v>
      </c>
      <c r="H542" s="226">
        <f>H543</f>
        <v>220430.3</v>
      </c>
      <c r="I542" s="281">
        <f t="shared" si="38"/>
        <v>-6200</v>
      </c>
    </row>
    <row r="543" spans="1:9" x14ac:dyDescent="0.2">
      <c r="A543" s="202" t="s">
        <v>749</v>
      </c>
      <c r="B543" s="209" t="s">
        <v>597</v>
      </c>
      <c r="C543" s="209" t="s">
        <v>745</v>
      </c>
      <c r="D543" s="265">
        <v>555961.4</v>
      </c>
      <c r="E543" s="265">
        <f>'Функциональная 2021-2022'!H94</f>
        <v>464254.60000000003</v>
      </c>
      <c r="F543" s="281">
        <f t="shared" si="37"/>
        <v>-91706.799999999988</v>
      </c>
      <c r="G543" s="226">
        <v>226630.3</v>
      </c>
      <c r="H543" s="226">
        <f>'Функциональная 2021-2022'!N94</f>
        <v>220430.3</v>
      </c>
      <c r="I543" s="281">
        <f t="shared" si="38"/>
        <v>-6200</v>
      </c>
    </row>
    <row r="544" spans="1:9" x14ac:dyDescent="0.2">
      <c r="A544" s="202" t="s">
        <v>1347</v>
      </c>
      <c r="B544" s="209" t="s">
        <v>597</v>
      </c>
      <c r="C544" s="209" t="s">
        <v>535</v>
      </c>
      <c r="D544" s="265">
        <v>82277.8</v>
      </c>
      <c r="E544" s="265">
        <f>E545</f>
        <v>82277.8</v>
      </c>
      <c r="F544" s="281">
        <f t="shared" si="37"/>
        <v>0</v>
      </c>
      <c r="G544" s="226">
        <v>82367.8</v>
      </c>
      <c r="H544" s="226">
        <f>H545</f>
        <v>82367.8</v>
      </c>
      <c r="I544" s="265">
        <f t="shared" si="38"/>
        <v>0</v>
      </c>
    </row>
    <row r="545" spans="1:9" x14ac:dyDescent="0.2">
      <c r="A545" s="202" t="s">
        <v>534</v>
      </c>
      <c r="B545" s="209" t="s">
        <v>597</v>
      </c>
      <c r="C545" s="209" t="s">
        <v>529</v>
      </c>
      <c r="D545" s="265">
        <v>82277.8</v>
      </c>
      <c r="E545" s="265">
        <f>82297-19.2</f>
        <v>82277.8</v>
      </c>
      <c r="F545" s="281">
        <f t="shared" si="37"/>
        <v>0</v>
      </c>
      <c r="G545" s="226">
        <v>82367.8</v>
      </c>
      <c r="H545" s="226">
        <f>82297+70.8</f>
        <v>82367.8</v>
      </c>
      <c r="I545" s="265">
        <f t="shared" si="38"/>
        <v>0</v>
      </c>
    </row>
    <row r="546" spans="1:9" x14ac:dyDescent="0.2">
      <c r="A546" s="202" t="s">
        <v>615</v>
      </c>
      <c r="B546" s="209" t="s">
        <v>597</v>
      </c>
      <c r="C546" s="209" t="s">
        <v>509</v>
      </c>
      <c r="D546" s="265">
        <v>1883.4</v>
      </c>
      <c r="E546" s="265">
        <v>1883.4</v>
      </c>
      <c r="F546" s="265">
        <f t="shared" si="37"/>
        <v>0</v>
      </c>
      <c r="G546" s="226">
        <v>1883.4</v>
      </c>
      <c r="H546" s="226">
        <v>1883.4</v>
      </c>
      <c r="I546" s="265">
        <f t="shared" si="38"/>
        <v>0</v>
      </c>
    </row>
    <row r="547" spans="1:9" x14ac:dyDescent="0.2">
      <c r="A547" s="202" t="s">
        <v>614</v>
      </c>
      <c r="B547" s="209" t="s">
        <v>597</v>
      </c>
      <c r="C547" s="209" t="s">
        <v>613</v>
      </c>
      <c r="D547" s="265">
        <v>1883.4</v>
      </c>
      <c r="E547" s="265">
        <v>1883.4</v>
      </c>
      <c r="F547" s="265">
        <f t="shared" si="37"/>
        <v>0</v>
      </c>
      <c r="G547" s="226">
        <v>1883.4</v>
      </c>
      <c r="H547" s="226">
        <v>1883.4</v>
      </c>
      <c r="I547" s="265">
        <f t="shared" si="38"/>
        <v>0</v>
      </c>
    </row>
    <row r="548" spans="1:9" x14ac:dyDescent="0.2">
      <c r="A548" s="202" t="s">
        <v>763</v>
      </c>
      <c r="B548" s="209" t="s">
        <v>762</v>
      </c>
      <c r="C548" s="209"/>
      <c r="D548" s="265">
        <v>41320</v>
      </c>
      <c r="E548" s="265">
        <v>41320</v>
      </c>
      <c r="F548" s="265">
        <f t="shared" si="37"/>
        <v>0</v>
      </c>
      <c r="G548" s="226">
        <v>35270</v>
      </c>
      <c r="H548" s="226">
        <f>H549+H551+H553</f>
        <v>35270</v>
      </c>
      <c r="I548" s="281">
        <f t="shared" si="38"/>
        <v>0</v>
      </c>
    </row>
    <row r="549" spans="1:9" ht="22.5" x14ac:dyDescent="0.2">
      <c r="A549" s="202" t="s">
        <v>1348</v>
      </c>
      <c r="B549" s="209" t="s">
        <v>762</v>
      </c>
      <c r="C549" s="209" t="s">
        <v>556</v>
      </c>
      <c r="D549" s="265">
        <v>34919.599999999999</v>
      </c>
      <c r="E549" s="265">
        <v>34919.599999999999</v>
      </c>
      <c r="F549" s="265">
        <f t="shared" si="37"/>
        <v>0</v>
      </c>
      <c r="G549" s="226">
        <v>28869.599999999999</v>
      </c>
      <c r="H549" s="226">
        <f>H550</f>
        <v>28869.599999999999</v>
      </c>
      <c r="I549" s="281">
        <f t="shared" si="38"/>
        <v>0</v>
      </c>
    </row>
    <row r="550" spans="1:9" x14ac:dyDescent="0.2">
      <c r="A550" s="202" t="s">
        <v>749</v>
      </c>
      <c r="B550" s="209" t="s">
        <v>762</v>
      </c>
      <c r="C550" s="209" t="s">
        <v>745</v>
      </c>
      <c r="D550" s="265">
        <v>34919.599999999999</v>
      </c>
      <c r="E550" s="265">
        <v>34919.599999999999</v>
      </c>
      <c r="F550" s="265">
        <f t="shared" si="37"/>
        <v>0</v>
      </c>
      <c r="G550" s="226">
        <v>28869.599999999999</v>
      </c>
      <c r="H550" s="226">
        <f>34919.6-6050</f>
        <v>28869.599999999999</v>
      </c>
      <c r="I550" s="281">
        <f t="shared" si="38"/>
        <v>0</v>
      </c>
    </row>
    <row r="551" spans="1:9" x14ac:dyDescent="0.2">
      <c r="A551" s="202" t="s">
        <v>1347</v>
      </c>
      <c r="B551" s="209" t="s">
        <v>762</v>
      </c>
      <c r="C551" s="209" t="s">
        <v>535</v>
      </c>
      <c r="D551" s="265">
        <v>6370.4</v>
      </c>
      <c r="E551" s="265">
        <v>6370.4</v>
      </c>
      <c r="F551" s="265">
        <f t="shared" si="37"/>
        <v>0</v>
      </c>
      <c r="G551" s="226">
        <v>6370.4</v>
      </c>
      <c r="H551" s="226">
        <v>6370.4</v>
      </c>
      <c r="I551" s="265">
        <f t="shared" si="38"/>
        <v>0</v>
      </c>
    </row>
    <row r="552" spans="1:9" x14ac:dyDescent="0.2">
      <c r="A552" s="202" t="s">
        <v>534</v>
      </c>
      <c r="B552" s="209" t="s">
        <v>762</v>
      </c>
      <c r="C552" s="209" t="s">
        <v>529</v>
      </c>
      <c r="D552" s="265">
        <v>6370.4</v>
      </c>
      <c r="E552" s="265">
        <v>6370.4</v>
      </c>
      <c r="F552" s="265">
        <f t="shared" si="37"/>
        <v>0</v>
      </c>
      <c r="G552" s="226">
        <v>6370.4</v>
      </c>
      <c r="H552" s="226">
        <v>6370.4</v>
      </c>
      <c r="I552" s="265">
        <f t="shared" si="38"/>
        <v>0</v>
      </c>
    </row>
    <row r="553" spans="1:9" x14ac:dyDescent="0.2">
      <c r="A553" s="202" t="s">
        <v>615</v>
      </c>
      <c r="B553" s="209" t="s">
        <v>762</v>
      </c>
      <c r="C553" s="209" t="s">
        <v>509</v>
      </c>
      <c r="D553" s="265">
        <v>30</v>
      </c>
      <c r="E553" s="265">
        <v>30</v>
      </c>
      <c r="F553" s="265">
        <f t="shared" si="37"/>
        <v>0</v>
      </c>
      <c r="G553" s="226">
        <v>30</v>
      </c>
      <c r="H553" s="226">
        <v>30</v>
      </c>
      <c r="I553" s="265">
        <f t="shared" si="38"/>
        <v>0</v>
      </c>
    </row>
    <row r="554" spans="1:9" x14ac:dyDescent="0.2">
      <c r="A554" s="202" t="s">
        <v>614</v>
      </c>
      <c r="B554" s="209" t="s">
        <v>762</v>
      </c>
      <c r="C554" s="209" t="s">
        <v>613</v>
      </c>
      <c r="D554" s="265">
        <v>30</v>
      </c>
      <c r="E554" s="265">
        <v>30</v>
      </c>
      <c r="F554" s="265">
        <f t="shared" si="37"/>
        <v>0</v>
      </c>
      <c r="G554" s="226">
        <v>30</v>
      </c>
      <c r="H554" s="226">
        <v>30</v>
      </c>
      <c r="I554" s="265">
        <f t="shared" si="38"/>
        <v>0</v>
      </c>
    </row>
    <row r="555" spans="1:9" x14ac:dyDescent="0.2">
      <c r="A555" s="202" t="s">
        <v>1229</v>
      </c>
      <c r="B555" s="209" t="s">
        <v>1228</v>
      </c>
      <c r="C555" s="209"/>
      <c r="D555" s="265">
        <v>948</v>
      </c>
      <c r="E555" s="265">
        <v>948</v>
      </c>
      <c r="F555" s="265">
        <f t="shared" si="37"/>
        <v>0</v>
      </c>
      <c r="G555" s="226">
        <v>948</v>
      </c>
      <c r="H555" s="226">
        <v>948</v>
      </c>
      <c r="I555" s="265">
        <f t="shared" si="38"/>
        <v>0</v>
      </c>
    </row>
    <row r="556" spans="1:9" x14ac:dyDescent="0.2">
      <c r="A556" s="202" t="s">
        <v>615</v>
      </c>
      <c r="B556" s="209" t="s">
        <v>1228</v>
      </c>
      <c r="C556" s="209" t="s">
        <v>509</v>
      </c>
      <c r="D556" s="265">
        <v>948</v>
      </c>
      <c r="E556" s="265">
        <v>948</v>
      </c>
      <c r="F556" s="265">
        <f t="shared" si="37"/>
        <v>0</v>
      </c>
      <c r="G556" s="226">
        <v>948</v>
      </c>
      <c r="H556" s="226">
        <v>948</v>
      </c>
      <c r="I556" s="265">
        <f t="shared" si="38"/>
        <v>0</v>
      </c>
    </row>
    <row r="557" spans="1:9" x14ac:dyDescent="0.2">
      <c r="A557" s="202" t="s">
        <v>752</v>
      </c>
      <c r="B557" s="209" t="s">
        <v>1228</v>
      </c>
      <c r="C557" s="209" t="s">
        <v>750</v>
      </c>
      <c r="D557" s="265">
        <v>948</v>
      </c>
      <c r="E557" s="265">
        <v>948</v>
      </c>
      <c r="F557" s="265">
        <f t="shared" si="37"/>
        <v>0</v>
      </c>
      <c r="G557" s="226">
        <v>948</v>
      </c>
      <c r="H557" s="226">
        <v>948</v>
      </c>
      <c r="I557" s="265">
        <f t="shared" si="38"/>
        <v>0</v>
      </c>
    </row>
    <row r="558" spans="1:9" x14ac:dyDescent="0.2">
      <c r="A558" s="202" t="s">
        <v>937</v>
      </c>
      <c r="B558" s="209" t="s">
        <v>935</v>
      </c>
      <c r="C558" s="209"/>
      <c r="D558" s="265">
        <v>4785.2</v>
      </c>
      <c r="E558" s="265">
        <v>4785.2</v>
      </c>
      <c r="F558" s="265">
        <f t="shared" si="37"/>
        <v>0</v>
      </c>
      <c r="G558" s="226">
        <v>4785.2</v>
      </c>
      <c r="H558" s="226">
        <v>4785.2</v>
      </c>
      <c r="I558" s="265">
        <f t="shared" si="38"/>
        <v>0</v>
      </c>
    </row>
    <row r="559" spans="1:9" x14ac:dyDescent="0.2">
      <c r="A559" s="202" t="s">
        <v>553</v>
      </c>
      <c r="B559" s="209" t="s">
        <v>935</v>
      </c>
      <c r="C559" s="209" t="s">
        <v>552</v>
      </c>
      <c r="D559" s="265">
        <v>4785.2</v>
      </c>
      <c r="E559" s="265">
        <v>4785.2</v>
      </c>
      <c r="F559" s="265">
        <f t="shared" si="37"/>
        <v>0</v>
      </c>
      <c r="G559" s="226">
        <v>4785.2</v>
      </c>
      <c r="H559" s="226">
        <v>4785.2</v>
      </c>
      <c r="I559" s="265">
        <f t="shared" si="38"/>
        <v>0</v>
      </c>
    </row>
    <row r="560" spans="1:9" x14ac:dyDescent="0.2">
      <c r="A560" s="202" t="s">
        <v>936</v>
      </c>
      <c r="B560" s="209" t="s">
        <v>935</v>
      </c>
      <c r="C560" s="209" t="s">
        <v>934</v>
      </c>
      <c r="D560" s="265">
        <v>4785.2</v>
      </c>
      <c r="E560" s="265">
        <v>4785.2</v>
      </c>
      <c r="F560" s="265">
        <f t="shared" si="37"/>
        <v>0</v>
      </c>
      <c r="G560" s="226">
        <v>4785.2</v>
      </c>
      <c r="H560" s="226">
        <v>4785.2</v>
      </c>
      <c r="I560" s="265">
        <f t="shared" si="38"/>
        <v>0</v>
      </c>
    </row>
    <row r="561" spans="1:9" ht="22.5" x14ac:dyDescent="0.2">
      <c r="A561" s="202" t="s">
        <v>761</v>
      </c>
      <c r="B561" s="209" t="s">
        <v>759</v>
      </c>
      <c r="C561" s="209"/>
      <c r="D561" s="265">
        <v>181031.3</v>
      </c>
      <c r="E561" s="265">
        <v>181031.3</v>
      </c>
      <c r="F561" s="265">
        <f t="shared" si="37"/>
        <v>0</v>
      </c>
      <c r="G561" s="226">
        <v>181031.3</v>
      </c>
      <c r="H561" s="226">
        <v>181031.3</v>
      </c>
      <c r="I561" s="265">
        <f t="shared" si="38"/>
        <v>0</v>
      </c>
    </row>
    <row r="562" spans="1:9" ht="22.5" x14ac:dyDescent="0.2">
      <c r="A562" s="202" t="s">
        <v>1348</v>
      </c>
      <c r="B562" s="209" t="s">
        <v>759</v>
      </c>
      <c r="C562" s="209" t="s">
        <v>556</v>
      </c>
      <c r="D562" s="265">
        <v>173336</v>
      </c>
      <c r="E562" s="265">
        <v>173336</v>
      </c>
      <c r="F562" s="265">
        <f t="shared" si="37"/>
        <v>0</v>
      </c>
      <c r="G562" s="226">
        <v>173336</v>
      </c>
      <c r="H562" s="226">
        <v>173336</v>
      </c>
      <c r="I562" s="265">
        <f t="shared" si="38"/>
        <v>0</v>
      </c>
    </row>
    <row r="563" spans="1:9" x14ac:dyDescent="0.2">
      <c r="A563" s="202" t="s">
        <v>555</v>
      </c>
      <c r="B563" s="209" t="s">
        <v>759</v>
      </c>
      <c r="C563" s="209" t="s">
        <v>554</v>
      </c>
      <c r="D563" s="265">
        <v>173336</v>
      </c>
      <c r="E563" s="265">
        <v>173336</v>
      </c>
      <c r="F563" s="265">
        <f t="shared" si="37"/>
        <v>0</v>
      </c>
      <c r="G563" s="226">
        <v>173336</v>
      </c>
      <c r="H563" s="226">
        <v>173336</v>
      </c>
      <c r="I563" s="265">
        <f t="shared" si="38"/>
        <v>0</v>
      </c>
    </row>
    <row r="564" spans="1:9" x14ac:dyDescent="0.2">
      <c r="A564" s="202" t="s">
        <v>1347</v>
      </c>
      <c r="B564" s="209" t="s">
        <v>759</v>
      </c>
      <c r="C564" s="209" t="s">
        <v>535</v>
      </c>
      <c r="D564" s="265">
        <v>7658.3</v>
      </c>
      <c r="E564" s="265">
        <v>7658.3</v>
      </c>
      <c r="F564" s="265">
        <f t="shared" si="37"/>
        <v>0</v>
      </c>
      <c r="G564" s="226">
        <v>7658.3</v>
      </c>
      <c r="H564" s="226">
        <v>7658.3</v>
      </c>
      <c r="I564" s="265">
        <f t="shared" si="38"/>
        <v>0</v>
      </c>
    </row>
    <row r="565" spans="1:9" x14ac:dyDescent="0.2">
      <c r="A565" s="202" t="s">
        <v>534</v>
      </c>
      <c r="B565" s="209" t="s">
        <v>759</v>
      </c>
      <c r="C565" s="209" t="s">
        <v>529</v>
      </c>
      <c r="D565" s="265">
        <v>7658.3</v>
      </c>
      <c r="E565" s="265">
        <v>7658.3</v>
      </c>
      <c r="F565" s="265">
        <f t="shared" si="37"/>
        <v>0</v>
      </c>
      <c r="G565" s="226">
        <v>7658.3</v>
      </c>
      <c r="H565" s="226">
        <v>7658.3</v>
      </c>
      <c r="I565" s="265">
        <f t="shared" si="38"/>
        <v>0</v>
      </c>
    </row>
    <row r="566" spans="1:9" x14ac:dyDescent="0.2">
      <c r="A566" s="202" t="s">
        <v>615</v>
      </c>
      <c r="B566" s="209" t="s">
        <v>759</v>
      </c>
      <c r="C566" s="209" t="s">
        <v>509</v>
      </c>
      <c r="D566" s="265">
        <v>37</v>
      </c>
      <c r="E566" s="265">
        <v>37</v>
      </c>
      <c r="F566" s="265">
        <f t="shared" si="37"/>
        <v>0</v>
      </c>
      <c r="G566" s="226">
        <v>37</v>
      </c>
      <c r="H566" s="226">
        <v>37</v>
      </c>
      <c r="I566" s="265">
        <f t="shared" si="38"/>
        <v>0</v>
      </c>
    </row>
    <row r="567" spans="1:9" x14ac:dyDescent="0.2">
      <c r="A567" s="202" t="s">
        <v>614</v>
      </c>
      <c r="B567" s="209" t="s">
        <v>759</v>
      </c>
      <c r="C567" s="209" t="s">
        <v>613</v>
      </c>
      <c r="D567" s="265">
        <v>37</v>
      </c>
      <c r="E567" s="265">
        <v>37</v>
      </c>
      <c r="F567" s="265">
        <f t="shared" si="37"/>
        <v>0</v>
      </c>
      <c r="G567" s="226">
        <v>37</v>
      </c>
      <c r="H567" s="226">
        <v>37</v>
      </c>
      <c r="I567" s="265">
        <f t="shared" si="38"/>
        <v>0</v>
      </c>
    </row>
    <row r="568" spans="1:9" ht="22.5" x14ac:dyDescent="0.2">
      <c r="A568" s="202" t="s">
        <v>1227</v>
      </c>
      <c r="B568" s="209" t="s">
        <v>1226</v>
      </c>
      <c r="C568" s="209"/>
      <c r="D568" s="265">
        <v>235702.1</v>
      </c>
      <c r="E568" s="265">
        <v>235702.1</v>
      </c>
      <c r="F568" s="265">
        <f t="shared" si="37"/>
        <v>0</v>
      </c>
      <c r="G568" s="226">
        <v>235702.1</v>
      </c>
      <c r="H568" s="226">
        <v>235702.1</v>
      </c>
      <c r="I568" s="265">
        <f t="shared" si="38"/>
        <v>0</v>
      </c>
    </row>
    <row r="569" spans="1:9" ht="22.5" x14ac:dyDescent="0.2">
      <c r="A569" s="202" t="s">
        <v>1348</v>
      </c>
      <c r="B569" s="209" t="s">
        <v>1226</v>
      </c>
      <c r="C569" s="209" t="s">
        <v>556</v>
      </c>
      <c r="D569" s="265">
        <v>215339.5</v>
      </c>
      <c r="E569" s="265">
        <v>215339.5</v>
      </c>
      <c r="F569" s="265">
        <f t="shared" si="37"/>
        <v>0</v>
      </c>
      <c r="G569" s="226">
        <v>215339.5</v>
      </c>
      <c r="H569" s="226">
        <v>215339.5</v>
      </c>
      <c r="I569" s="265">
        <f t="shared" si="38"/>
        <v>0</v>
      </c>
    </row>
    <row r="570" spans="1:9" x14ac:dyDescent="0.2">
      <c r="A570" s="202" t="s">
        <v>555</v>
      </c>
      <c r="B570" s="209" t="s">
        <v>1226</v>
      </c>
      <c r="C570" s="209" t="s">
        <v>554</v>
      </c>
      <c r="D570" s="265">
        <v>215339.5</v>
      </c>
      <c r="E570" s="265">
        <v>215339.5</v>
      </c>
      <c r="F570" s="265">
        <f t="shared" si="37"/>
        <v>0</v>
      </c>
      <c r="G570" s="226">
        <v>215339.5</v>
      </c>
      <c r="H570" s="226">
        <v>215339.5</v>
      </c>
      <c r="I570" s="265">
        <f t="shared" si="38"/>
        <v>0</v>
      </c>
    </row>
    <row r="571" spans="1:9" x14ac:dyDescent="0.2">
      <c r="A571" s="202" t="s">
        <v>1347</v>
      </c>
      <c r="B571" s="209" t="s">
        <v>1226</v>
      </c>
      <c r="C571" s="209" t="s">
        <v>535</v>
      </c>
      <c r="D571" s="265">
        <v>19859.3</v>
      </c>
      <c r="E571" s="265">
        <v>19859.3</v>
      </c>
      <c r="F571" s="265">
        <f t="shared" si="37"/>
        <v>0</v>
      </c>
      <c r="G571" s="226">
        <v>19859.3</v>
      </c>
      <c r="H571" s="226">
        <v>19859.3</v>
      </c>
      <c r="I571" s="265">
        <f t="shared" si="38"/>
        <v>0</v>
      </c>
    </row>
    <row r="572" spans="1:9" x14ac:dyDescent="0.2">
      <c r="A572" s="202" t="s">
        <v>534</v>
      </c>
      <c r="B572" s="209" t="s">
        <v>1226</v>
      </c>
      <c r="C572" s="209" t="s">
        <v>529</v>
      </c>
      <c r="D572" s="265">
        <v>19859.3</v>
      </c>
      <c r="E572" s="265">
        <v>19859.3</v>
      </c>
      <c r="F572" s="265">
        <f t="shared" si="37"/>
        <v>0</v>
      </c>
      <c r="G572" s="226">
        <v>19859.3</v>
      </c>
      <c r="H572" s="226">
        <v>19859.3</v>
      </c>
      <c r="I572" s="265">
        <f t="shared" si="38"/>
        <v>0</v>
      </c>
    </row>
    <row r="573" spans="1:9" x14ac:dyDescent="0.2">
      <c r="A573" s="202" t="s">
        <v>615</v>
      </c>
      <c r="B573" s="209" t="s">
        <v>1226</v>
      </c>
      <c r="C573" s="209" t="s">
        <v>509</v>
      </c>
      <c r="D573" s="265">
        <v>503.3</v>
      </c>
      <c r="E573" s="265">
        <v>503.3</v>
      </c>
      <c r="F573" s="265">
        <f t="shared" si="37"/>
        <v>0</v>
      </c>
      <c r="G573" s="226">
        <v>503.3</v>
      </c>
      <c r="H573" s="226">
        <v>503.3</v>
      </c>
      <c r="I573" s="265">
        <f t="shared" si="38"/>
        <v>0</v>
      </c>
    </row>
    <row r="574" spans="1:9" x14ac:dyDescent="0.2">
      <c r="A574" s="202" t="s">
        <v>614</v>
      </c>
      <c r="B574" s="209" t="s">
        <v>1226</v>
      </c>
      <c r="C574" s="209" t="s">
        <v>613</v>
      </c>
      <c r="D574" s="265">
        <v>503.3</v>
      </c>
      <c r="E574" s="265">
        <v>503.3</v>
      </c>
      <c r="F574" s="265">
        <f t="shared" si="37"/>
        <v>0</v>
      </c>
      <c r="G574" s="226">
        <v>503.3</v>
      </c>
      <c r="H574" s="226">
        <v>503.3</v>
      </c>
      <c r="I574" s="265">
        <f t="shared" si="38"/>
        <v>0</v>
      </c>
    </row>
    <row r="575" spans="1:9" ht="22.5" x14ac:dyDescent="0.2">
      <c r="A575" s="202" t="s">
        <v>885</v>
      </c>
      <c r="B575" s="209" t="s">
        <v>884</v>
      </c>
      <c r="C575" s="209"/>
      <c r="D575" s="265">
        <v>16835.099999999999</v>
      </c>
      <c r="E575" s="265">
        <v>16835.099999999999</v>
      </c>
      <c r="F575" s="265">
        <f t="shared" si="37"/>
        <v>0</v>
      </c>
      <c r="G575" s="226">
        <v>16835.099999999999</v>
      </c>
      <c r="H575" s="226">
        <v>16835.099999999999</v>
      </c>
      <c r="I575" s="265">
        <f t="shared" si="38"/>
        <v>0</v>
      </c>
    </row>
    <row r="576" spans="1:9" x14ac:dyDescent="0.2">
      <c r="A576" s="202" t="s">
        <v>547</v>
      </c>
      <c r="B576" s="209" t="s">
        <v>884</v>
      </c>
      <c r="C576" s="209" t="s">
        <v>519</v>
      </c>
      <c r="D576" s="265">
        <v>16835.099999999999</v>
      </c>
      <c r="E576" s="265">
        <v>16835.099999999999</v>
      </c>
      <c r="F576" s="265">
        <f t="shared" si="37"/>
        <v>0</v>
      </c>
      <c r="G576" s="226">
        <v>16835.099999999999</v>
      </c>
      <c r="H576" s="226">
        <v>16835.099999999999</v>
      </c>
      <c r="I576" s="265">
        <f t="shared" si="38"/>
        <v>0</v>
      </c>
    </row>
    <row r="577" spans="1:9" x14ac:dyDescent="0.2">
      <c r="A577" s="202" t="s">
        <v>571</v>
      </c>
      <c r="B577" s="209" t="s">
        <v>884</v>
      </c>
      <c r="C577" s="209" t="s">
        <v>522</v>
      </c>
      <c r="D577" s="265">
        <v>16835.099999999999</v>
      </c>
      <c r="E577" s="265">
        <v>16835.099999999999</v>
      </c>
      <c r="F577" s="265">
        <f t="shared" si="37"/>
        <v>0</v>
      </c>
      <c r="G577" s="226">
        <v>16835.099999999999</v>
      </c>
      <c r="H577" s="226">
        <v>16835.099999999999</v>
      </c>
      <c r="I577" s="265">
        <f t="shared" si="38"/>
        <v>0</v>
      </c>
    </row>
    <row r="578" spans="1:9" ht="22.5" x14ac:dyDescent="0.2">
      <c r="A578" s="202" t="s">
        <v>933</v>
      </c>
      <c r="B578" s="209" t="s">
        <v>932</v>
      </c>
      <c r="C578" s="209"/>
      <c r="D578" s="265">
        <v>81927.7</v>
      </c>
      <c r="E578" s="265">
        <v>81927.7</v>
      </c>
      <c r="F578" s="265">
        <f t="shared" si="37"/>
        <v>0</v>
      </c>
      <c r="G578" s="226">
        <v>81927.7</v>
      </c>
      <c r="H578" s="226">
        <v>81927.7</v>
      </c>
      <c r="I578" s="265">
        <f t="shared" si="38"/>
        <v>0</v>
      </c>
    </row>
    <row r="579" spans="1:9" ht="22.5" x14ac:dyDescent="0.2">
      <c r="A579" s="202" t="s">
        <v>1348</v>
      </c>
      <c r="B579" s="209" t="s">
        <v>932</v>
      </c>
      <c r="C579" s="209" t="s">
        <v>556</v>
      </c>
      <c r="D579" s="265">
        <v>78966.3</v>
      </c>
      <c r="E579" s="265">
        <v>78966.3</v>
      </c>
      <c r="F579" s="265">
        <f t="shared" si="37"/>
        <v>0</v>
      </c>
      <c r="G579" s="226">
        <v>78966.3</v>
      </c>
      <c r="H579" s="226">
        <v>78966.3</v>
      </c>
      <c r="I579" s="265">
        <f t="shared" si="38"/>
        <v>0</v>
      </c>
    </row>
    <row r="580" spans="1:9" x14ac:dyDescent="0.2">
      <c r="A580" s="202" t="s">
        <v>555</v>
      </c>
      <c r="B580" s="209" t="s">
        <v>932</v>
      </c>
      <c r="C580" s="209" t="s">
        <v>554</v>
      </c>
      <c r="D580" s="265">
        <v>78966.3</v>
      </c>
      <c r="E580" s="265">
        <v>78966.3</v>
      </c>
      <c r="F580" s="265">
        <f t="shared" ref="F580:F643" si="39">E580-D580</f>
        <v>0</v>
      </c>
      <c r="G580" s="226">
        <v>78966.3</v>
      </c>
      <c r="H580" s="226">
        <v>78966.3</v>
      </c>
      <c r="I580" s="265">
        <f t="shared" ref="I580:I643" si="40">H580-G580</f>
        <v>0</v>
      </c>
    </row>
    <row r="581" spans="1:9" x14ac:dyDescent="0.2">
      <c r="A581" s="202" t="s">
        <v>1347</v>
      </c>
      <c r="B581" s="209" t="s">
        <v>932</v>
      </c>
      <c r="C581" s="209" t="s">
        <v>535</v>
      </c>
      <c r="D581" s="265">
        <v>2861.4</v>
      </c>
      <c r="E581" s="265">
        <v>2861.4</v>
      </c>
      <c r="F581" s="265">
        <f t="shared" si="39"/>
        <v>0</v>
      </c>
      <c r="G581" s="226">
        <v>2861.4</v>
      </c>
      <c r="H581" s="226">
        <v>2861.4</v>
      </c>
      <c r="I581" s="265">
        <f t="shared" si="40"/>
        <v>0</v>
      </c>
    </row>
    <row r="582" spans="1:9" x14ac:dyDescent="0.2">
      <c r="A582" s="202" t="s">
        <v>534</v>
      </c>
      <c r="B582" s="209" t="s">
        <v>932</v>
      </c>
      <c r="C582" s="209" t="s">
        <v>529</v>
      </c>
      <c r="D582" s="265">
        <v>2861.4</v>
      </c>
      <c r="E582" s="265">
        <v>2861.4</v>
      </c>
      <c r="F582" s="265">
        <f t="shared" si="39"/>
        <v>0</v>
      </c>
      <c r="G582" s="226">
        <v>2861.4</v>
      </c>
      <c r="H582" s="226">
        <v>2861.4</v>
      </c>
      <c r="I582" s="265">
        <f t="shared" si="40"/>
        <v>0</v>
      </c>
    </row>
    <row r="583" spans="1:9" x14ac:dyDescent="0.2">
      <c r="A583" s="202" t="s">
        <v>615</v>
      </c>
      <c r="B583" s="209" t="s">
        <v>932</v>
      </c>
      <c r="C583" s="209" t="s">
        <v>509</v>
      </c>
      <c r="D583" s="265">
        <v>100</v>
      </c>
      <c r="E583" s="265">
        <v>100</v>
      </c>
      <c r="F583" s="265">
        <f t="shared" si="39"/>
        <v>0</v>
      </c>
      <c r="G583" s="226">
        <v>100</v>
      </c>
      <c r="H583" s="226">
        <v>100</v>
      </c>
      <c r="I583" s="265">
        <f t="shared" si="40"/>
        <v>0</v>
      </c>
    </row>
    <row r="584" spans="1:9" x14ac:dyDescent="0.2">
      <c r="A584" s="202" t="s">
        <v>614</v>
      </c>
      <c r="B584" s="209" t="s">
        <v>932</v>
      </c>
      <c r="C584" s="209" t="s">
        <v>613</v>
      </c>
      <c r="D584" s="265">
        <v>100</v>
      </c>
      <c r="E584" s="265">
        <v>100</v>
      </c>
      <c r="F584" s="265">
        <f t="shared" si="39"/>
        <v>0</v>
      </c>
      <c r="G584" s="226">
        <v>100</v>
      </c>
      <c r="H584" s="226">
        <v>100</v>
      </c>
      <c r="I584" s="265">
        <f t="shared" si="40"/>
        <v>0</v>
      </c>
    </row>
    <row r="585" spans="1:9" ht="22.5" x14ac:dyDescent="0.2">
      <c r="A585" s="202" t="s">
        <v>931</v>
      </c>
      <c r="B585" s="209" t="s">
        <v>930</v>
      </c>
      <c r="C585" s="209"/>
      <c r="D585" s="265">
        <v>46377.1</v>
      </c>
      <c r="E585" s="265">
        <v>46377.1</v>
      </c>
      <c r="F585" s="265">
        <f t="shared" si="39"/>
        <v>0</v>
      </c>
      <c r="G585" s="226">
        <v>46377.1</v>
      </c>
      <c r="H585" s="226">
        <v>46377.1</v>
      </c>
      <c r="I585" s="265">
        <f t="shared" si="40"/>
        <v>0</v>
      </c>
    </row>
    <row r="586" spans="1:9" ht="22.5" x14ac:dyDescent="0.2">
      <c r="A586" s="202" t="s">
        <v>1348</v>
      </c>
      <c r="B586" s="209" t="s">
        <v>930</v>
      </c>
      <c r="C586" s="209" t="s">
        <v>556</v>
      </c>
      <c r="D586" s="265">
        <v>40196.6</v>
      </c>
      <c r="E586" s="265">
        <v>40196.6</v>
      </c>
      <c r="F586" s="265">
        <f t="shared" si="39"/>
        <v>0</v>
      </c>
      <c r="G586" s="226">
        <v>40196.6</v>
      </c>
      <c r="H586" s="226">
        <v>40196.6</v>
      </c>
      <c r="I586" s="265">
        <f t="shared" si="40"/>
        <v>0</v>
      </c>
    </row>
    <row r="587" spans="1:9" x14ac:dyDescent="0.2">
      <c r="A587" s="202" t="s">
        <v>555</v>
      </c>
      <c r="B587" s="209" t="s">
        <v>930</v>
      </c>
      <c r="C587" s="209" t="s">
        <v>554</v>
      </c>
      <c r="D587" s="265">
        <v>40196.6</v>
      </c>
      <c r="E587" s="265">
        <v>40196.6</v>
      </c>
      <c r="F587" s="265">
        <f t="shared" si="39"/>
        <v>0</v>
      </c>
      <c r="G587" s="226">
        <v>40196.6</v>
      </c>
      <c r="H587" s="226">
        <v>40196.6</v>
      </c>
      <c r="I587" s="265">
        <f t="shared" si="40"/>
        <v>0</v>
      </c>
    </row>
    <row r="588" spans="1:9" x14ac:dyDescent="0.2">
      <c r="A588" s="202" t="s">
        <v>1347</v>
      </c>
      <c r="B588" s="209" t="s">
        <v>930</v>
      </c>
      <c r="C588" s="209" t="s">
        <v>535</v>
      </c>
      <c r="D588" s="265">
        <v>6162.4</v>
      </c>
      <c r="E588" s="265">
        <v>6162.4</v>
      </c>
      <c r="F588" s="265">
        <f t="shared" si="39"/>
        <v>0</v>
      </c>
      <c r="G588" s="226">
        <v>6162.4</v>
      </c>
      <c r="H588" s="226">
        <v>6162.4</v>
      </c>
      <c r="I588" s="265">
        <f t="shared" si="40"/>
        <v>0</v>
      </c>
    </row>
    <row r="589" spans="1:9" x14ac:dyDescent="0.2">
      <c r="A589" s="202" t="s">
        <v>534</v>
      </c>
      <c r="B589" s="209" t="s">
        <v>930</v>
      </c>
      <c r="C589" s="209" t="s">
        <v>529</v>
      </c>
      <c r="D589" s="265">
        <v>6162.4</v>
      </c>
      <c r="E589" s="265">
        <v>6162.4</v>
      </c>
      <c r="F589" s="265">
        <f t="shared" si="39"/>
        <v>0</v>
      </c>
      <c r="G589" s="226">
        <v>6162.4</v>
      </c>
      <c r="H589" s="226">
        <v>6162.4</v>
      </c>
      <c r="I589" s="265">
        <f t="shared" si="40"/>
        <v>0</v>
      </c>
    </row>
    <row r="590" spans="1:9" x14ac:dyDescent="0.2">
      <c r="A590" s="202" t="s">
        <v>615</v>
      </c>
      <c r="B590" s="209" t="s">
        <v>930</v>
      </c>
      <c r="C590" s="209" t="s">
        <v>509</v>
      </c>
      <c r="D590" s="265">
        <v>18.100000000000001</v>
      </c>
      <c r="E590" s="265">
        <v>18.100000000000001</v>
      </c>
      <c r="F590" s="265">
        <f t="shared" si="39"/>
        <v>0</v>
      </c>
      <c r="G590" s="226">
        <v>18.100000000000001</v>
      </c>
      <c r="H590" s="226">
        <v>18.100000000000001</v>
      </c>
      <c r="I590" s="265">
        <f t="shared" si="40"/>
        <v>0</v>
      </c>
    </row>
    <row r="591" spans="1:9" x14ac:dyDescent="0.2">
      <c r="A591" s="202" t="s">
        <v>614</v>
      </c>
      <c r="B591" s="209" t="s">
        <v>930</v>
      </c>
      <c r="C591" s="209" t="s">
        <v>613</v>
      </c>
      <c r="D591" s="265">
        <v>18.100000000000001</v>
      </c>
      <c r="E591" s="265">
        <v>18.100000000000001</v>
      </c>
      <c r="F591" s="265">
        <f t="shared" si="39"/>
        <v>0</v>
      </c>
      <c r="G591" s="226">
        <v>18.100000000000001</v>
      </c>
      <c r="H591" s="226">
        <v>18.100000000000001</v>
      </c>
      <c r="I591" s="265">
        <f t="shared" si="40"/>
        <v>0</v>
      </c>
    </row>
    <row r="592" spans="1:9" ht="22.5" x14ac:dyDescent="0.2">
      <c r="A592" s="202" t="s">
        <v>1225</v>
      </c>
      <c r="B592" s="209" t="s">
        <v>1224</v>
      </c>
      <c r="C592" s="209"/>
      <c r="D592" s="265">
        <v>28844.7</v>
      </c>
      <c r="E592" s="265">
        <v>28844.7</v>
      </c>
      <c r="F592" s="265">
        <f t="shared" si="39"/>
        <v>0</v>
      </c>
      <c r="G592" s="226">
        <v>28844.7</v>
      </c>
      <c r="H592" s="226">
        <v>28844.7</v>
      </c>
      <c r="I592" s="265">
        <f t="shared" si="40"/>
        <v>0</v>
      </c>
    </row>
    <row r="593" spans="1:9" ht="22.5" x14ac:dyDescent="0.2">
      <c r="A593" s="202" t="s">
        <v>1348</v>
      </c>
      <c r="B593" s="209" t="s">
        <v>1224</v>
      </c>
      <c r="C593" s="209" t="s">
        <v>556</v>
      </c>
      <c r="D593" s="265">
        <v>26990.5</v>
      </c>
      <c r="E593" s="265">
        <v>26990.5</v>
      </c>
      <c r="F593" s="265">
        <f t="shared" si="39"/>
        <v>0</v>
      </c>
      <c r="G593" s="226">
        <v>26990.5</v>
      </c>
      <c r="H593" s="226">
        <v>26990.5</v>
      </c>
      <c r="I593" s="265">
        <f t="shared" si="40"/>
        <v>0</v>
      </c>
    </row>
    <row r="594" spans="1:9" x14ac:dyDescent="0.2">
      <c r="A594" s="202" t="s">
        <v>555</v>
      </c>
      <c r="B594" s="209" t="s">
        <v>1224</v>
      </c>
      <c r="C594" s="209" t="s">
        <v>554</v>
      </c>
      <c r="D594" s="265">
        <v>26990.5</v>
      </c>
      <c r="E594" s="265">
        <v>26990.5</v>
      </c>
      <c r="F594" s="265">
        <f t="shared" si="39"/>
        <v>0</v>
      </c>
      <c r="G594" s="226">
        <v>26990.5</v>
      </c>
      <c r="H594" s="226">
        <v>26990.5</v>
      </c>
      <c r="I594" s="265">
        <f t="shared" si="40"/>
        <v>0</v>
      </c>
    </row>
    <row r="595" spans="1:9" x14ac:dyDescent="0.2">
      <c r="A595" s="202" t="s">
        <v>1347</v>
      </c>
      <c r="B595" s="209" t="s">
        <v>1224</v>
      </c>
      <c r="C595" s="209" t="s">
        <v>535</v>
      </c>
      <c r="D595" s="265">
        <v>1854.2</v>
      </c>
      <c r="E595" s="265">
        <v>1854.2</v>
      </c>
      <c r="F595" s="265">
        <f t="shared" si="39"/>
        <v>0</v>
      </c>
      <c r="G595" s="226">
        <v>1854.2</v>
      </c>
      <c r="H595" s="226">
        <v>1854.2</v>
      </c>
      <c r="I595" s="265">
        <f t="shared" si="40"/>
        <v>0</v>
      </c>
    </row>
    <row r="596" spans="1:9" x14ac:dyDescent="0.2">
      <c r="A596" s="202" t="s">
        <v>534</v>
      </c>
      <c r="B596" s="209" t="s">
        <v>1224</v>
      </c>
      <c r="C596" s="209" t="s">
        <v>529</v>
      </c>
      <c r="D596" s="265">
        <v>1854.2</v>
      </c>
      <c r="E596" s="265">
        <v>1854.2</v>
      </c>
      <c r="F596" s="265">
        <f t="shared" si="39"/>
        <v>0</v>
      </c>
      <c r="G596" s="226">
        <v>1854.2</v>
      </c>
      <c r="H596" s="226">
        <v>1854.2</v>
      </c>
      <c r="I596" s="265">
        <f t="shared" si="40"/>
        <v>0</v>
      </c>
    </row>
    <row r="597" spans="1:9" ht="22.5" x14ac:dyDescent="0.2">
      <c r="A597" s="202" t="s">
        <v>929</v>
      </c>
      <c r="B597" s="209" t="s">
        <v>928</v>
      </c>
      <c r="C597" s="209"/>
      <c r="D597" s="265">
        <v>49400.800000000003</v>
      </c>
      <c r="E597" s="265">
        <v>49400.800000000003</v>
      </c>
      <c r="F597" s="265">
        <f t="shared" si="39"/>
        <v>0</v>
      </c>
      <c r="G597" s="226">
        <v>49400.800000000003</v>
      </c>
      <c r="H597" s="226">
        <v>49400.800000000003</v>
      </c>
      <c r="I597" s="265">
        <f t="shared" si="40"/>
        <v>0</v>
      </c>
    </row>
    <row r="598" spans="1:9" ht="22.5" x14ac:dyDescent="0.2">
      <c r="A598" s="202" t="s">
        <v>1348</v>
      </c>
      <c r="B598" s="209" t="s">
        <v>928</v>
      </c>
      <c r="C598" s="209" t="s">
        <v>556</v>
      </c>
      <c r="D598" s="265">
        <v>43427.8</v>
      </c>
      <c r="E598" s="265">
        <v>43427.8</v>
      </c>
      <c r="F598" s="265">
        <f t="shared" si="39"/>
        <v>0</v>
      </c>
      <c r="G598" s="226">
        <v>43427.8</v>
      </c>
      <c r="H598" s="226">
        <v>43427.8</v>
      </c>
      <c r="I598" s="265">
        <f t="shared" si="40"/>
        <v>0</v>
      </c>
    </row>
    <row r="599" spans="1:9" x14ac:dyDescent="0.2">
      <c r="A599" s="202" t="s">
        <v>555</v>
      </c>
      <c r="B599" s="209" t="s">
        <v>928</v>
      </c>
      <c r="C599" s="209" t="s">
        <v>554</v>
      </c>
      <c r="D599" s="265">
        <v>43427.8</v>
      </c>
      <c r="E599" s="265">
        <v>43427.8</v>
      </c>
      <c r="F599" s="265">
        <f t="shared" si="39"/>
        <v>0</v>
      </c>
      <c r="G599" s="226">
        <v>43427.8</v>
      </c>
      <c r="H599" s="226">
        <v>43427.8</v>
      </c>
      <c r="I599" s="265">
        <f t="shared" si="40"/>
        <v>0</v>
      </c>
    </row>
    <row r="600" spans="1:9" x14ac:dyDescent="0.2">
      <c r="A600" s="202" t="s">
        <v>1347</v>
      </c>
      <c r="B600" s="209" t="s">
        <v>928</v>
      </c>
      <c r="C600" s="209" t="s">
        <v>535</v>
      </c>
      <c r="D600" s="265">
        <v>5421</v>
      </c>
      <c r="E600" s="265">
        <v>5421</v>
      </c>
      <c r="F600" s="265">
        <f t="shared" si="39"/>
        <v>0</v>
      </c>
      <c r="G600" s="226">
        <v>5421</v>
      </c>
      <c r="H600" s="226">
        <v>5421</v>
      </c>
      <c r="I600" s="265">
        <f t="shared" si="40"/>
        <v>0</v>
      </c>
    </row>
    <row r="601" spans="1:9" x14ac:dyDescent="0.2">
      <c r="A601" s="202" t="s">
        <v>534</v>
      </c>
      <c r="B601" s="209" t="s">
        <v>928</v>
      </c>
      <c r="C601" s="209" t="s">
        <v>529</v>
      </c>
      <c r="D601" s="265">
        <v>5421</v>
      </c>
      <c r="E601" s="265">
        <v>5421</v>
      </c>
      <c r="F601" s="265">
        <f t="shared" si="39"/>
        <v>0</v>
      </c>
      <c r="G601" s="226">
        <v>5421</v>
      </c>
      <c r="H601" s="226">
        <v>5421</v>
      </c>
      <c r="I601" s="265">
        <f t="shared" si="40"/>
        <v>0</v>
      </c>
    </row>
    <row r="602" spans="1:9" x14ac:dyDescent="0.2">
      <c r="A602" s="202" t="s">
        <v>615</v>
      </c>
      <c r="B602" s="209" t="s">
        <v>928</v>
      </c>
      <c r="C602" s="209" t="s">
        <v>509</v>
      </c>
      <c r="D602" s="265">
        <v>552</v>
      </c>
      <c r="E602" s="265">
        <v>552</v>
      </c>
      <c r="F602" s="265">
        <f t="shared" si="39"/>
        <v>0</v>
      </c>
      <c r="G602" s="226">
        <v>552</v>
      </c>
      <c r="H602" s="226">
        <v>552</v>
      </c>
      <c r="I602" s="265">
        <f t="shared" si="40"/>
        <v>0</v>
      </c>
    </row>
    <row r="603" spans="1:9" x14ac:dyDescent="0.2">
      <c r="A603" s="202" t="s">
        <v>614</v>
      </c>
      <c r="B603" s="209" t="s">
        <v>928</v>
      </c>
      <c r="C603" s="209" t="s">
        <v>613</v>
      </c>
      <c r="D603" s="265">
        <v>552</v>
      </c>
      <c r="E603" s="265">
        <v>552</v>
      </c>
      <c r="F603" s="265">
        <f t="shared" si="39"/>
        <v>0</v>
      </c>
      <c r="G603" s="226">
        <v>552</v>
      </c>
      <c r="H603" s="226">
        <v>552</v>
      </c>
      <c r="I603" s="265">
        <f t="shared" si="40"/>
        <v>0</v>
      </c>
    </row>
    <row r="604" spans="1:9" ht="22.5" x14ac:dyDescent="0.2">
      <c r="A604" s="202" t="s">
        <v>883</v>
      </c>
      <c r="B604" s="209" t="s">
        <v>882</v>
      </c>
      <c r="C604" s="209"/>
      <c r="D604" s="265">
        <v>11079.1</v>
      </c>
      <c r="E604" s="265">
        <v>11079.1</v>
      </c>
      <c r="F604" s="265">
        <f t="shared" si="39"/>
        <v>0</v>
      </c>
      <c r="G604" s="226">
        <v>11079.1</v>
      </c>
      <c r="H604" s="226">
        <v>11079.1</v>
      </c>
      <c r="I604" s="265">
        <f t="shared" si="40"/>
        <v>0</v>
      </c>
    </row>
    <row r="605" spans="1:9" x14ac:dyDescent="0.2">
      <c r="A605" s="202" t="s">
        <v>547</v>
      </c>
      <c r="B605" s="209" t="s">
        <v>882</v>
      </c>
      <c r="C605" s="209" t="s">
        <v>519</v>
      </c>
      <c r="D605" s="265">
        <v>11079.1</v>
      </c>
      <c r="E605" s="265">
        <v>11079.1</v>
      </c>
      <c r="F605" s="265">
        <f t="shared" si="39"/>
        <v>0</v>
      </c>
      <c r="G605" s="226">
        <v>11079.1</v>
      </c>
      <c r="H605" s="226">
        <v>11079.1</v>
      </c>
      <c r="I605" s="265">
        <f t="shared" si="40"/>
        <v>0</v>
      </c>
    </row>
    <row r="606" spans="1:9" x14ac:dyDescent="0.2">
      <c r="A606" s="202" t="s">
        <v>571</v>
      </c>
      <c r="B606" s="209" t="s">
        <v>882</v>
      </c>
      <c r="C606" s="209" t="s">
        <v>522</v>
      </c>
      <c r="D606" s="265">
        <v>11079.1</v>
      </c>
      <c r="E606" s="265">
        <v>11079.1</v>
      </c>
      <c r="F606" s="265">
        <f t="shared" si="39"/>
        <v>0</v>
      </c>
      <c r="G606" s="226">
        <v>11079.1</v>
      </c>
      <c r="H606" s="226">
        <v>11079.1</v>
      </c>
      <c r="I606" s="265">
        <f t="shared" si="40"/>
        <v>0</v>
      </c>
    </row>
    <row r="607" spans="1:9" ht="22.5" x14ac:dyDescent="0.2">
      <c r="A607" s="202" t="s">
        <v>927</v>
      </c>
      <c r="B607" s="209" t="s">
        <v>926</v>
      </c>
      <c r="C607" s="209"/>
      <c r="D607" s="265">
        <v>52504</v>
      </c>
      <c r="E607" s="265">
        <v>52504</v>
      </c>
      <c r="F607" s="265">
        <f t="shared" si="39"/>
        <v>0</v>
      </c>
      <c r="G607" s="226">
        <v>52504</v>
      </c>
      <c r="H607" s="226">
        <v>52504</v>
      </c>
      <c r="I607" s="265">
        <f t="shared" si="40"/>
        <v>0</v>
      </c>
    </row>
    <row r="608" spans="1:9" ht="22.5" x14ac:dyDescent="0.2">
      <c r="A608" s="202" t="s">
        <v>1348</v>
      </c>
      <c r="B608" s="209" t="s">
        <v>926</v>
      </c>
      <c r="C608" s="209" t="s">
        <v>556</v>
      </c>
      <c r="D608" s="265">
        <v>47186.400000000001</v>
      </c>
      <c r="E608" s="265">
        <v>47186.400000000001</v>
      </c>
      <c r="F608" s="265">
        <f t="shared" si="39"/>
        <v>0</v>
      </c>
      <c r="G608" s="226">
        <v>47186.400000000001</v>
      </c>
      <c r="H608" s="226">
        <v>47186.400000000001</v>
      </c>
      <c r="I608" s="265">
        <f t="shared" si="40"/>
        <v>0</v>
      </c>
    </row>
    <row r="609" spans="1:9" x14ac:dyDescent="0.2">
      <c r="A609" s="202" t="s">
        <v>555</v>
      </c>
      <c r="B609" s="209" t="s">
        <v>926</v>
      </c>
      <c r="C609" s="209" t="s">
        <v>554</v>
      </c>
      <c r="D609" s="265">
        <v>47186.400000000001</v>
      </c>
      <c r="E609" s="265">
        <v>47186.400000000001</v>
      </c>
      <c r="F609" s="265">
        <f t="shared" si="39"/>
        <v>0</v>
      </c>
      <c r="G609" s="226">
        <v>47186.400000000001</v>
      </c>
      <c r="H609" s="226">
        <v>47186.400000000001</v>
      </c>
      <c r="I609" s="265">
        <f t="shared" si="40"/>
        <v>0</v>
      </c>
    </row>
    <row r="610" spans="1:9" x14ac:dyDescent="0.2">
      <c r="A610" s="202" t="s">
        <v>1347</v>
      </c>
      <c r="B610" s="209" t="s">
        <v>926</v>
      </c>
      <c r="C610" s="209" t="s">
        <v>535</v>
      </c>
      <c r="D610" s="265">
        <v>5234.7</v>
      </c>
      <c r="E610" s="265">
        <v>5234.7</v>
      </c>
      <c r="F610" s="265">
        <f t="shared" si="39"/>
        <v>0</v>
      </c>
      <c r="G610" s="226">
        <v>5234.7</v>
      </c>
      <c r="H610" s="226">
        <v>5234.7</v>
      </c>
      <c r="I610" s="265">
        <f t="shared" si="40"/>
        <v>0</v>
      </c>
    </row>
    <row r="611" spans="1:9" x14ac:dyDescent="0.2">
      <c r="A611" s="202" t="s">
        <v>534</v>
      </c>
      <c r="B611" s="209" t="s">
        <v>926</v>
      </c>
      <c r="C611" s="209" t="s">
        <v>529</v>
      </c>
      <c r="D611" s="265">
        <v>5234.7</v>
      </c>
      <c r="E611" s="265">
        <v>5234.7</v>
      </c>
      <c r="F611" s="265">
        <f t="shared" si="39"/>
        <v>0</v>
      </c>
      <c r="G611" s="226">
        <v>5234.7</v>
      </c>
      <c r="H611" s="226">
        <v>5234.7</v>
      </c>
      <c r="I611" s="265">
        <f t="shared" si="40"/>
        <v>0</v>
      </c>
    </row>
    <row r="612" spans="1:9" x14ac:dyDescent="0.2">
      <c r="A612" s="202" t="s">
        <v>615</v>
      </c>
      <c r="B612" s="209" t="s">
        <v>926</v>
      </c>
      <c r="C612" s="209" t="s">
        <v>509</v>
      </c>
      <c r="D612" s="265">
        <v>82.9</v>
      </c>
      <c r="E612" s="265">
        <v>82.9</v>
      </c>
      <c r="F612" s="265">
        <f t="shared" si="39"/>
        <v>0</v>
      </c>
      <c r="G612" s="226">
        <v>82.9</v>
      </c>
      <c r="H612" s="226">
        <v>82.9</v>
      </c>
      <c r="I612" s="265">
        <f t="shared" si="40"/>
        <v>0</v>
      </c>
    </row>
    <row r="613" spans="1:9" x14ac:dyDescent="0.2">
      <c r="A613" s="202" t="s">
        <v>614</v>
      </c>
      <c r="B613" s="209" t="s">
        <v>926</v>
      </c>
      <c r="C613" s="209" t="s">
        <v>613</v>
      </c>
      <c r="D613" s="265">
        <v>82.9</v>
      </c>
      <c r="E613" s="265">
        <v>82.9</v>
      </c>
      <c r="F613" s="265">
        <f t="shared" si="39"/>
        <v>0</v>
      </c>
      <c r="G613" s="226">
        <v>82.9</v>
      </c>
      <c r="H613" s="226">
        <v>82.9</v>
      </c>
      <c r="I613" s="265">
        <f t="shared" si="40"/>
        <v>0</v>
      </c>
    </row>
    <row r="614" spans="1:9" ht="22.5" x14ac:dyDescent="0.2">
      <c r="A614" s="199" t="s">
        <v>588</v>
      </c>
      <c r="B614" s="212" t="s">
        <v>587</v>
      </c>
      <c r="C614" s="212"/>
      <c r="D614" s="263">
        <v>156921.30000000002</v>
      </c>
      <c r="E614" s="263">
        <f>E615+E645+E666+E671</f>
        <v>156921.30000000002</v>
      </c>
      <c r="F614" s="282">
        <f t="shared" si="39"/>
        <v>0</v>
      </c>
      <c r="G614" s="205">
        <v>158665.30000000002</v>
      </c>
      <c r="H614" s="205">
        <f>H615+H645+H666+H671</f>
        <v>158665.30000000002</v>
      </c>
      <c r="I614" s="282">
        <f t="shared" si="40"/>
        <v>0</v>
      </c>
    </row>
    <row r="615" spans="1:9" ht="22.5" x14ac:dyDescent="0.2">
      <c r="A615" s="199" t="s">
        <v>807</v>
      </c>
      <c r="B615" s="212" t="s">
        <v>806</v>
      </c>
      <c r="C615" s="212"/>
      <c r="D615" s="263">
        <v>78952.7</v>
      </c>
      <c r="E615" s="263">
        <v>78952.7</v>
      </c>
      <c r="F615" s="263">
        <f t="shared" si="39"/>
        <v>0</v>
      </c>
      <c r="G615" s="205">
        <v>78952.7</v>
      </c>
      <c r="H615" s="205">
        <v>78952.7</v>
      </c>
      <c r="I615" s="263">
        <f t="shared" si="40"/>
        <v>0</v>
      </c>
    </row>
    <row r="616" spans="1:9" ht="22.5" x14ac:dyDescent="0.2">
      <c r="A616" s="199" t="s">
        <v>805</v>
      </c>
      <c r="B616" s="212" t="s">
        <v>804</v>
      </c>
      <c r="C616" s="212"/>
      <c r="D616" s="263">
        <v>74815.7</v>
      </c>
      <c r="E616" s="263">
        <v>74815.7</v>
      </c>
      <c r="F616" s="263">
        <f t="shared" si="39"/>
        <v>0</v>
      </c>
      <c r="G616" s="205">
        <v>74815.7</v>
      </c>
      <c r="H616" s="205">
        <v>74815.7</v>
      </c>
      <c r="I616" s="263">
        <f t="shared" si="40"/>
        <v>0</v>
      </c>
    </row>
    <row r="617" spans="1:9" ht="56.25" x14ac:dyDescent="0.2">
      <c r="A617" s="202" t="s">
        <v>803</v>
      </c>
      <c r="B617" s="209" t="s">
        <v>802</v>
      </c>
      <c r="C617" s="209"/>
      <c r="D617" s="265">
        <v>11581.7</v>
      </c>
      <c r="E617" s="265">
        <v>11581.7</v>
      </c>
      <c r="F617" s="265">
        <f t="shared" si="39"/>
        <v>0</v>
      </c>
      <c r="G617" s="226">
        <v>11581.7</v>
      </c>
      <c r="H617" s="226">
        <v>11581.7</v>
      </c>
      <c r="I617" s="265">
        <f t="shared" si="40"/>
        <v>0</v>
      </c>
    </row>
    <row r="618" spans="1:9" x14ac:dyDescent="0.2">
      <c r="A618" s="202" t="s">
        <v>1347</v>
      </c>
      <c r="B618" s="209" t="s">
        <v>802</v>
      </c>
      <c r="C618" s="209" t="s">
        <v>535</v>
      </c>
      <c r="D618" s="265">
        <v>11581.7</v>
      </c>
      <c r="E618" s="265">
        <v>11581.7</v>
      </c>
      <c r="F618" s="265">
        <f t="shared" si="39"/>
        <v>0</v>
      </c>
      <c r="G618" s="226">
        <v>11581.7</v>
      </c>
      <c r="H618" s="226">
        <v>11581.7</v>
      </c>
      <c r="I618" s="265">
        <f t="shared" si="40"/>
        <v>0</v>
      </c>
    </row>
    <row r="619" spans="1:9" x14ac:dyDescent="0.2">
      <c r="A619" s="202" t="s">
        <v>534</v>
      </c>
      <c r="B619" s="209" t="s">
        <v>802</v>
      </c>
      <c r="C619" s="209" t="s">
        <v>529</v>
      </c>
      <c r="D619" s="265">
        <v>11581.7</v>
      </c>
      <c r="E619" s="265">
        <v>11581.7</v>
      </c>
      <c r="F619" s="265">
        <f t="shared" si="39"/>
        <v>0</v>
      </c>
      <c r="G619" s="226">
        <v>11581.7</v>
      </c>
      <c r="H619" s="226">
        <v>11581.7</v>
      </c>
      <c r="I619" s="265">
        <f t="shared" si="40"/>
        <v>0</v>
      </c>
    </row>
    <row r="620" spans="1:9" ht="56.25" x14ac:dyDescent="0.2">
      <c r="A620" s="202" t="s">
        <v>801</v>
      </c>
      <c r="B620" s="209" t="s">
        <v>800</v>
      </c>
      <c r="C620" s="209"/>
      <c r="D620" s="265">
        <v>43086.3</v>
      </c>
      <c r="E620" s="265">
        <v>43086.3</v>
      </c>
      <c r="F620" s="265">
        <f t="shared" si="39"/>
        <v>0</v>
      </c>
      <c r="G620" s="226">
        <v>43086.3</v>
      </c>
      <c r="H620" s="226">
        <v>43086.3</v>
      </c>
      <c r="I620" s="265">
        <f t="shared" si="40"/>
        <v>0</v>
      </c>
    </row>
    <row r="621" spans="1:9" x14ac:dyDescent="0.2">
      <c r="A621" s="202" t="s">
        <v>547</v>
      </c>
      <c r="B621" s="209" t="s">
        <v>800</v>
      </c>
      <c r="C621" s="209" t="s">
        <v>519</v>
      </c>
      <c r="D621" s="265">
        <v>43086.3</v>
      </c>
      <c r="E621" s="265">
        <v>43086.3</v>
      </c>
      <c r="F621" s="265">
        <f t="shared" si="39"/>
        <v>0</v>
      </c>
      <c r="G621" s="226">
        <v>43086.3</v>
      </c>
      <c r="H621" s="226">
        <v>43086.3</v>
      </c>
      <c r="I621" s="265">
        <f t="shared" si="40"/>
        <v>0</v>
      </c>
    </row>
    <row r="622" spans="1:9" x14ac:dyDescent="0.2">
      <c r="A622" s="202" t="s">
        <v>546</v>
      </c>
      <c r="B622" s="209" t="s">
        <v>800</v>
      </c>
      <c r="C622" s="209" t="s">
        <v>544</v>
      </c>
      <c r="D622" s="265">
        <v>43086.3</v>
      </c>
      <c r="E622" s="265">
        <v>43086.3</v>
      </c>
      <c r="F622" s="265">
        <f t="shared" si="39"/>
        <v>0</v>
      </c>
      <c r="G622" s="226">
        <v>43086.3</v>
      </c>
      <c r="H622" s="226">
        <v>43086.3</v>
      </c>
      <c r="I622" s="265">
        <f t="shared" si="40"/>
        <v>0</v>
      </c>
    </row>
    <row r="623" spans="1:9" ht="56.25" x14ac:dyDescent="0.2">
      <c r="A623" s="202" t="s">
        <v>810</v>
      </c>
      <c r="B623" s="209" t="s">
        <v>809</v>
      </c>
      <c r="C623" s="209"/>
      <c r="D623" s="265">
        <v>20147.7</v>
      </c>
      <c r="E623" s="265">
        <v>20147.7</v>
      </c>
      <c r="F623" s="265">
        <f t="shared" si="39"/>
        <v>0</v>
      </c>
      <c r="G623" s="226">
        <v>20147.7</v>
      </c>
      <c r="H623" s="226">
        <v>20147.7</v>
      </c>
      <c r="I623" s="265">
        <f t="shared" si="40"/>
        <v>0</v>
      </c>
    </row>
    <row r="624" spans="1:9" x14ac:dyDescent="0.2">
      <c r="A624" s="202" t="s">
        <v>547</v>
      </c>
      <c r="B624" s="209" t="s">
        <v>809</v>
      </c>
      <c r="C624" s="209" t="s">
        <v>519</v>
      </c>
      <c r="D624" s="265">
        <v>20147.7</v>
      </c>
      <c r="E624" s="265">
        <v>20147.7</v>
      </c>
      <c r="F624" s="265">
        <f t="shared" si="39"/>
        <v>0</v>
      </c>
      <c r="G624" s="226">
        <v>20147.7</v>
      </c>
      <c r="H624" s="226">
        <v>20147.7</v>
      </c>
      <c r="I624" s="265">
        <f t="shared" si="40"/>
        <v>0</v>
      </c>
    </row>
    <row r="625" spans="1:9" x14ac:dyDescent="0.2">
      <c r="A625" s="202" t="s">
        <v>546</v>
      </c>
      <c r="B625" s="209" t="s">
        <v>809</v>
      </c>
      <c r="C625" s="209" t="s">
        <v>544</v>
      </c>
      <c r="D625" s="265">
        <v>20147.7</v>
      </c>
      <c r="E625" s="265">
        <v>20147.7</v>
      </c>
      <c r="F625" s="265">
        <f t="shared" si="39"/>
        <v>0</v>
      </c>
      <c r="G625" s="226">
        <v>20147.7</v>
      </c>
      <c r="H625" s="226">
        <v>20147.7</v>
      </c>
      <c r="I625" s="265">
        <f t="shared" si="40"/>
        <v>0</v>
      </c>
    </row>
    <row r="626" spans="1:9" x14ac:dyDescent="0.2">
      <c r="A626" s="199" t="s">
        <v>799</v>
      </c>
      <c r="B626" s="212" t="s">
        <v>798</v>
      </c>
      <c r="C626" s="212"/>
      <c r="D626" s="263">
        <v>4137</v>
      </c>
      <c r="E626" s="263">
        <v>4137</v>
      </c>
      <c r="F626" s="263">
        <f t="shared" si="39"/>
        <v>0</v>
      </c>
      <c r="G626" s="205">
        <v>4137</v>
      </c>
      <c r="H626" s="205">
        <v>4137</v>
      </c>
      <c r="I626" s="263">
        <f t="shared" si="40"/>
        <v>0</v>
      </c>
    </row>
    <row r="627" spans="1:9" ht="22.5" x14ac:dyDescent="0.2">
      <c r="A627" s="202" t="s">
        <v>797</v>
      </c>
      <c r="B627" s="209" t="s">
        <v>796</v>
      </c>
      <c r="C627" s="209"/>
      <c r="D627" s="265">
        <v>534</v>
      </c>
      <c r="E627" s="265">
        <v>534</v>
      </c>
      <c r="F627" s="265">
        <f t="shared" si="39"/>
        <v>0</v>
      </c>
      <c r="G627" s="226">
        <v>534</v>
      </c>
      <c r="H627" s="226">
        <v>534</v>
      </c>
      <c r="I627" s="265">
        <f t="shared" si="40"/>
        <v>0</v>
      </c>
    </row>
    <row r="628" spans="1:9" x14ac:dyDescent="0.2">
      <c r="A628" s="202" t="s">
        <v>1347</v>
      </c>
      <c r="B628" s="209" t="s">
        <v>796</v>
      </c>
      <c r="C628" s="209" t="s">
        <v>535</v>
      </c>
      <c r="D628" s="265">
        <v>534</v>
      </c>
      <c r="E628" s="265">
        <v>534</v>
      </c>
      <c r="F628" s="265">
        <f t="shared" si="39"/>
        <v>0</v>
      </c>
      <c r="G628" s="226">
        <v>534</v>
      </c>
      <c r="H628" s="226">
        <v>534</v>
      </c>
      <c r="I628" s="265">
        <f t="shared" si="40"/>
        <v>0</v>
      </c>
    </row>
    <row r="629" spans="1:9" x14ac:dyDescent="0.2">
      <c r="A629" s="202" t="s">
        <v>534</v>
      </c>
      <c r="B629" s="209" t="s">
        <v>796</v>
      </c>
      <c r="C629" s="209" t="s">
        <v>529</v>
      </c>
      <c r="D629" s="265">
        <v>534</v>
      </c>
      <c r="E629" s="265">
        <v>534</v>
      </c>
      <c r="F629" s="265">
        <f t="shared" si="39"/>
        <v>0</v>
      </c>
      <c r="G629" s="226">
        <v>534</v>
      </c>
      <c r="H629" s="226">
        <v>534</v>
      </c>
      <c r="I629" s="265">
        <f t="shared" si="40"/>
        <v>0</v>
      </c>
    </row>
    <row r="630" spans="1:9" ht="33.75" x14ac:dyDescent="0.2">
      <c r="A630" s="202" t="s">
        <v>1543</v>
      </c>
      <c r="B630" s="209" t="s">
        <v>795</v>
      </c>
      <c r="C630" s="209"/>
      <c r="D630" s="265">
        <v>1750</v>
      </c>
      <c r="E630" s="265">
        <v>1750</v>
      </c>
      <c r="F630" s="265">
        <f t="shared" si="39"/>
        <v>0</v>
      </c>
      <c r="G630" s="226">
        <v>1750</v>
      </c>
      <c r="H630" s="226">
        <v>1750</v>
      </c>
      <c r="I630" s="265">
        <f t="shared" si="40"/>
        <v>0</v>
      </c>
    </row>
    <row r="631" spans="1:9" x14ac:dyDescent="0.2">
      <c r="A631" s="202" t="s">
        <v>1347</v>
      </c>
      <c r="B631" s="209" t="s">
        <v>795</v>
      </c>
      <c r="C631" s="209" t="s">
        <v>535</v>
      </c>
      <c r="D631" s="265">
        <v>1750</v>
      </c>
      <c r="E631" s="265">
        <v>1750</v>
      </c>
      <c r="F631" s="265">
        <f t="shared" si="39"/>
        <v>0</v>
      </c>
      <c r="G631" s="226">
        <v>1750</v>
      </c>
      <c r="H631" s="226">
        <v>1750</v>
      </c>
      <c r="I631" s="265">
        <f t="shared" si="40"/>
        <v>0</v>
      </c>
    </row>
    <row r="632" spans="1:9" x14ac:dyDescent="0.2">
      <c r="A632" s="202" t="s">
        <v>534</v>
      </c>
      <c r="B632" s="209" t="s">
        <v>795</v>
      </c>
      <c r="C632" s="209" t="s">
        <v>529</v>
      </c>
      <c r="D632" s="265">
        <v>1750</v>
      </c>
      <c r="E632" s="265">
        <v>1750</v>
      </c>
      <c r="F632" s="265">
        <f t="shared" si="39"/>
        <v>0</v>
      </c>
      <c r="G632" s="226">
        <v>1750</v>
      </c>
      <c r="H632" s="226">
        <v>1750</v>
      </c>
      <c r="I632" s="265">
        <f t="shared" si="40"/>
        <v>0</v>
      </c>
    </row>
    <row r="633" spans="1:9" ht="33.75" x14ac:dyDescent="0.2">
      <c r="A633" s="202" t="s">
        <v>794</v>
      </c>
      <c r="B633" s="209" t="s">
        <v>793</v>
      </c>
      <c r="C633" s="209"/>
      <c r="D633" s="265">
        <v>500</v>
      </c>
      <c r="E633" s="265">
        <v>500</v>
      </c>
      <c r="F633" s="265">
        <f t="shared" si="39"/>
        <v>0</v>
      </c>
      <c r="G633" s="226">
        <v>500</v>
      </c>
      <c r="H633" s="226">
        <v>500</v>
      </c>
      <c r="I633" s="265">
        <f t="shared" si="40"/>
        <v>0</v>
      </c>
    </row>
    <row r="634" spans="1:9" x14ac:dyDescent="0.2">
      <c r="A634" s="202" t="s">
        <v>1347</v>
      </c>
      <c r="B634" s="209" t="s">
        <v>793</v>
      </c>
      <c r="C634" s="209" t="s">
        <v>535</v>
      </c>
      <c r="D634" s="265">
        <v>500</v>
      </c>
      <c r="E634" s="265">
        <v>500</v>
      </c>
      <c r="F634" s="265">
        <f t="shared" si="39"/>
        <v>0</v>
      </c>
      <c r="G634" s="226">
        <v>500</v>
      </c>
      <c r="H634" s="226">
        <v>500</v>
      </c>
      <c r="I634" s="265">
        <f t="shared" si="40"/>
        <v>0</v>
      </c>
    </row>
    <row r="635" spans="1:9" x14ac:dyDescent="0.2">
      <c r="A635" s="202" t="s">
        <v>534</v>
      </c>
      <c r="B635" s="209" t="s">
        <v>793</v>
      </c>
      <c r="C635" s="209" t="s">
        <v>529</v>
      </c>
      <c r="D635" s="265">
        <v>500</v>
      </c>
      <c r="E635" s="265">
        <v>500</v>
      </c>
      <c r="F635" s="265">
        <f t="shared" si="39"/>
        <v>0</v>
      </c>
      <c r="G635" s="226">
        <v>500</v>
      </c>
      <c r="H635" s="226">
        <v>500</v>
      </c>
      <c r="I635" s="265">
        <f t="shared" si="40"/>
        <v>0</v>
      </c>
    </row>
    <row r="636" spans="1:9" ht="33.75" x14ac:dyDescent="0.2">
      <c r="A636" s="202" t="s">
        <v>792</v>
      </c>
      <c r="B636" s="209" t="s">
        <v>791</v>
      </c>
      <c r="C636" s="209"/>
      <c r="D636" s="265">
        <v>500</v>
      </c>
      <c r="E636" s="265">
        <v>500</v>
      </c>
      <c r="F636" s="265">
        <f t="shared" si="39"/>
        <v>0</v>
      </c>
      <c r="G636" s="226">
        <v>500</v>
      </c>
      <c r="H636" s="226">
        <v>500</v>
      </c>
      <c r="I636" s="265">
        <f t="shared" si="40"/>
        <v>0</v>
      </c>
    </row>
    <row r="637" spans="1:9" x14ac:dyDescent="0.2">
      <c r="A637" s="202" t="s">
        <v>1347</v>
      </c>
      <c r="B637" s="209" t="s">
        <v>791</v>
      </c>
      <c r="C637" s="209" t="s">
        <v>535</v>
      </c>
      <c r="D637" s="265">
        <v>500</v>
      </c>
      <c r="E637" s="265">
        <v>500</v>
      </c>
      <c r="F637" s="265">
        <f t="shared" si="39"/>
        <v>0</v>
      </c>
      <c r="G637" s="226">
        <v>500</v>
      </c>
      <c r="H637" s="226">
        <v>500</v>
      </c>
      <c r="I637" s="265">
        <f t="shared" si="40"/>
        <v>0</v>
      </c>
    </row>
    <row r="638" spans="1:9" x14ac:dyDescent="0.2">
      <c r="A638" s="202" t="s">
        <v>534</v>
      </c>
      <c r="B638" s="209" t="s">
        <v>791</v>
      </c>
      <c r="C638" s="209" t="s">
        <v>529</v>
      </c>
      <c r="D638" s="265">
        <v>500</v>
      </c>
      <c r="E638" s="265">
        <v>500</v>
      </c>
      <c r="F638" s="265">
        <f t="shared" si="39"/>
        <v>0</v>
      </c>
      <c r="G638" s="226">
        <v>500</v>
      </c>
      <c r="H638" s="226">
        <v>500</v>
      </c>
      <c r="I638" s="265">
        <f t="shared" si="40"/>
        <v>0</v>
      </c>
    </row>
    <row r="639" spans="1:9" ht="33.75" x14ac:dyDescent="0.2">
      <c r="A639" s="202" t="s">
        <v>790</v>
      </c>
      <c r="B639" s="209" t="s">
        <v>789</v>
      </c>
      <c r="C639" s="209"/>
      <c r="D639" s="265">
        <v>603</v>
      </c>
      <c r="E639" s="265">
        <v>603</v>
      </c>
      <c r="F639" s="265">
        <f t="shared" si="39"/>
        <v>0</v>
      </c>
      <c r="G639" s="226">
        <v>603</v>
      </c>
      <c r="H639" s="226">
        <v>603</v>
      </c>
      <c r="I639" s="265">
        <f t="shared" si="40"/>
        <v>0</v>
      </c>
    </row>
    <row r="640" spans="1:9" x14ac:dyDescent="0.2">
      <c r="A640" s="202" t="s">
        <v>547</v>
      </c>
      <c r="B640" s="209" t="s">
        <v>789</v>
      </c>
      <c r="C640" s="209" t="s">
        <v>519</v>
      </c>
      <c r="D640" s="265">
        <v>603</v>
      </c>
      <c r="E640" s="265">
        <v>603</v>
      </c>
      <c r="F640" s="265">
        <f t="shared" si="39"/>
        <v>0</v>
      </c>
      <c r="G640" s="226">
        <v>603</v>
      </c>
      <c r="H640" s="226">
        <v>603</v>
      </c>
      <c r="I640" s="265">
        <f t="shared" si="40"/>
        <v>0</v>
      </c>
    </row>
    <row r="641" spans="1:9" x14ac:dyDescent="0.2">
      <c r="A641" s="202" t="s">
        <v>546</v>
      </c>
      <c r="B641" s="209" t="s">
        <v>789</v>
      </c>
      <c r="C641" s="209" t="s">
        <v>544</v>
      </c>
      <c r="D641" s="265">
        <v>603</v>
      </c>
      <c r="E641" s="265">
        <v>603</v>
      </c>
      <c r="F641" s="265">
        <f t="shared" si="39"/>
        <v>0</v>
      </c>
      <c r="G641" s="226">
        <v>603</v>
      </c>
      <c r="H641" s="226">
        <v>603</v>
      </c>
      <c r="I641" s="265">
        <f t="shared" si="40"/>
        <v>0</v>
      </c>
    </row>
    <row r="642" spans="1:9" ht="33.75" x14ac:dyDescent="0.2">
      <c r="A642" s="202" t="s">
        <v>788</v>
      </c>
      <c r="B642" s="209" t="s">
        <v>787</v>
      </c>
      <c r="C642" s="209"/>
      <c r="D642" s="265">
        <v>250</v>
      </c>
      <c r="E642" s="265">
        <v>250</v>
      </c>
      <c r="F642" s="265">
        <f t="shared" si="39"/>
        <v>0</v>
      </c>
      <c r="G642" s="226">
        <v>250</v>
      </c>
      <c r="H642" s="226">
        <v>250</v>
      </c>
      <c r="I642" s="265">
        <f t="shared" si="40"/>
        <v>0</v>
      </c>
    </row>
    <row r="643" spans="1:9" x14ac:dyDescent="0.2">
      <c r="A643" s="202" t="s">
        <v>1347</v>
      </c>
      <c r="B643" s="209" t="s">
        <v>787</v>
      </c>
      <c r="C643" s="209" t="s">
        <v>535</v>
      </c>
      <c r="D643" s="265">
        <v>250</v>
      </c>
      <c r="E643" s="265">
        <v>250</v>
      </c>
      <c r="F643" s="265">
        <f t="shared" si="39"/>
        <v>0</v>
      </c>
      <c r="G643" s="226">
        <v>250</v>
      </c>
      <c r="H643" s="226">
        <v>250</v>
      </c>
      <c r="I643" s="265">
        <f t="shared" si="40"/>
        <v>0</v>
      </c>
    </row>
    <row r="644" spans="1:9" x14ac:dyDescent="0.2">
      <c r="A644" s="202" t="s">
        <v>534</v>
      </c>
      <c r="B644" s="209" t="s">
        <v>787</v>
      </c>
      <c r="C644" s="209" t="s">
        <v>529</v>
      </c>
      <c r="D644" s="265">
        <v>250</v>
      </c>
      <c r="E644" s="265">
        <v>250</v>
      </c>
      <c r="F644" s="265">
        <f t="shared" ref="F644:F707" si="41">E644-D644</f>
        <v>0</v>
      </c>
      <c r="G644" s="226">
        <v>250</v>
      </c>
      <c r="H644" s="226">
        <v>250</v>
      </c>
      <c r="I644" s="265">
        <f t="shared" ref="I644:I707" si="42">H644-G644</f>
        <v>0</v>
      </c>
    </row>
    <row r="645" spans="1:9" x14ac:dyDescent="0.2">
      <c r="A645" s="199" t="s">
        <v>586</v>
      </c>
      <c r="B645" s="212" t="s">
        <v>585</v>
      </c>
      <c r="C645" s="212"/>
      <c r="D645" s="263">
        <v>77523.700000000012</v>
      </c>
      <c r="E645" s="263">
        <f>E646</f>
        <v>77523.700000000012</v>
      </c>
      <c r="F645" s="282">
        <f t="shared" si="41"/>
        <v>0</v>
      </c>
      <c r="G645" s="205">
        <v>77523.700000000012</v>
      </c>
      <c r="H645" s="205">
        <f>H646</f>
        <v>77523.700000000012</v>
      </c>
      <c r="I645" s="282">
        <f t="shared" si="42"/>
        <v>0</v>
      </c>
    </row>
    <row r="646" spans="1:9" ht="33.75" x14ac:dyDescent="0.2">
      <c r="A646" s="199" t="s">
        <v>584</v>
      </c>
      <c r="B646" s="212" t="s">
        <v>583</v>
      </c>
      <c r="C646" s="212"/>
      <c r="D646" s="263">
        <v>77523.700000000012</v>
      </c>
      <c r="E646" s="263">
        <f>E647+E653+E656+E659+E662</f>
        <v>77523.700000000012</v>
      </c>
      <c r="F646" s="282">
        <f t="shared" si="41"/>
        <v>0</v>
      </c>
      <c r="G646" s="205">
        <v>77523.700000000012</v>
      </c>
      <c r="H646" s="205">
        <f>H647+H653+H656+H659+H662</f>
        <v>77523.700000000012</v>
      </c>
      <c r="I646" s="282">
        <f t="shared" si="42"/>
        <v>0</v>
      </c>
    </row>
    <row r="647" spans="1:9" x14ac:dyDescent="0.2">
      <c r="A647" s="202" t="s">
        <v>582</v>
      </c>
      <c r="B647" s="209" t="s">
        <v>581</v>
      </c>
      <c r="C647" s="209"/>
      <c r="D647" s="265">
        <v>6970.6</v>
      </c>
      <c r="E647" s="265">
        <f>E648+E650</f>
        <v>6970.6</v>
      </c>
      <c r="F647" s="281">
        <f t="shared" si="41"/>
        <v>0</v>
      </c>
      <c r="G647" s="226">
        <v>6970.6</v>
      </c>
      <c r="H647" s="226">
        <f>H648+H650</f>
        <v>6970.6</v>
      </c>
      <c r="I647" s="281">
        <f t="shared" si="42"/>
        <v>0</v>
      </c>
    </row>
    <row r="648" spans="1:9" x14ac:dyDescent="0.2">
      <c r="A648" s="202" t="s">
        <v>1347</v>
      </c>
      <c r="B648" s="209" t="s">
        <v>581</v>
      </c>
      <c r="C648" s="209" t="s">
        <v>535</v>
      </c>
      <c r="D648" s="265">
        <v>1592.9</v>
      </c>
      <c r="E648" s="265">
        <v>1592.9</v>
      </c>
      <c r="F648" s="265">
        <f t="shared" si="41"/>
        <v>0</v>
      </c>
      <c r="G648" s="226">
        <v>1592.9</v>
      </c>
      <c r="H648" s="226">
        <v>1592.9</v>
      </c>
      <c r="I648" s="265">
        <f t="shared" si="42"/>
        <v>0</v>
      </c>
    </row>
    <row r="649" spans="1:9" x14ac:dyDescent="0.2">
      <c r="A649" s="202" t="s">
        <v>534</v>
      </c>
      <c r="B649" s="209" t="s">
        <v>581</v>
      </c>
      <c r="C649" s="209" t="s">
        <v>529</v>
      </c>
      <c r="D649" s="265">
        <v>1592.9</v>
      </c>
      <c r="E649" s="265">
        <v>1592.9</v>
      </c>
      <c r="F649" s="265">
        <f t="shared" si="41"/>
        <v>0</v>
      </c>
      <c r="G649" s="226">
        <v>1592.9</v>
      </c>
      <c r="H649" s="226">
        <v>1592.9</v>
      </c>
      <c r="I649" s="265">
        <f t="shared" si="42"/>
        <v>0</v>
      </c>
    </row>
    <row r="650" spans="1:9" x14ac:dyDescent="0.2">
      <c r="A650" s="202" t="s">
        <v>547</v>
      </c>
      <c r="B650" s="209" t="s">
        <v>581</v>
      </c>
      <c r="C650" s="209" t="s">
        <v>519</v>
      </c>
      <c r="D650" s="265">
        <v>5377.7</v>
      </c>
      <c r="E650" s="265">
        <f>E651+E652</f>
        <v>5377.7</v>
      </c>
      <c r="F650" s="281">
        <f t="shared" si="41"/>
        <v>0</v>
      </c>
      <c r="G650" s="226">
        <v>5377.7</v>
      </c>
      <c r="H650" s="226">
        <f>H651+H652</f>
        <v>5377.7</v>
      </c>
      <c r="I650" s="281">
        <f t="shared" si="42"/>
        <v>0</v>
      </c>
    </row>
    <row r="651" spans="1:9" x14ac:dyDescent="0.2">
      <c r="A651" s="202" t="s">
        <v>571</v>
      </c>
      <c r="B651" s="209" t="s">
        <v>581</v>
      </c>
      <c r="C651" s="209" t="s">
        <v>522</v>
      </c>
      <c r="D651" s="265">
        <v>4077.6</v>
      </c>
      <c r="E651" s="265">
        <f>4077.6</f>
        <v>4077.6</v>
      </c>
      <c r="F651" s="281">
        <f t="shared" si="41"/>
        <v>0</v>
      </c>
      <c r="G651" s="226">
        <v>4077.6</v>
      </c>
      <c r="H651" s="226">
        <f>4077.6</f>
        <v>4077.6</v>
      </c>
      <c r="I651" s="281">
        <f t="shared" si="42"/>
        <v>0</v>
      </c>
    </row>
    <row r="652" spans="1:9" x14ac:dyDescent="0.2">
      <c r="A652" s="202" t="s">
        <v>546</v>
      </c>
      <c r="B652" s="209" t="s">
        <v>581</v>
      </c>
      <c r="C652" s="209" t="s">
        <v>544</v>
      </c>
      <c r="D652" s="265">
        <v>1300.0999999999999</v>
      </c>
      <c r="E652" s="265">
        <f>1300.1</f>
        <v>1300.0999999999999</v>
      </c>
      <c r="F652" s="281">
        <f t="shared" si="41"/>
        <v>0</v>
      </c>
      <c r="G652" s="226">
        <v>1300.0999999999999</v>
      </c>
      <c r="H652" s="226">
        <f>1300.1</f>
        <v>1300.0999999999999</v>
      </c>
      <c r="I652" s="281">
        <f t="shared" si="42"/>
        <v>0</v>
      </c>
    </row>
    <row r="653" spans="1:9" ht="22.5" x14ac:dyDescent="0.2">
      <c r="A653" s="202" t="s">
        <v>1544</v>
      </c>
      <c r="B653" s="209" t="s">
        <v>1149</v>
      </c>
      <c r="C653" s="209"/>
      <c r="D653" s="265">
        <v>459.6</v>
      </c>
      <c r="E653" s="265">
        <f>E654</f>
        <v>459.6</v>
      </c>
      <c r="F653" s="265">
        <f t="shared" si="41"/>
        <v>0</v>
      </c>
      <c r="G653" s="226">
        <v>459.6</v>
      </c>
      <c r="H653" s="226">
        <f>H654</f>
        <v>459.6</v>
      </c>
      <c r="I653" s="265">
        <f t="shared" si="42"/>
        <v>0</v>
      </c>
    </row>
    <row r="654" spans="1:9" s="406" customFormat="1" x14ac:dyDescent="0.2">
      <c r="A654" s="202" t="s">
        <v>547</v>
      </c>
      <c r="B654" s="209" t="s">
        <v>1149</v>
      </c>
      <c r="C654" s="209">
        <v>600</v>
      </c>
      <c r="D654" s="265">
        <v>459.6</v>
      </c>
      <c r="E654" s="265">
        <f>E655</f>
        <v>459.6</v>
      </c>
      <c r="F654" s="265">
        <f t="shared" si="41"/>
        <v>0</v>
      </c>
      <c r="G654" s="226">
        <v>459.6</v>
      </c>
      <c r="H654" s="226">
        <f>H655</f>
        <v>459.6</v>
      </c>
      <c r="I654" s="265">
        <f t="shared" si="42"/>
        <v>0</v>
      </c>
    </row>
    <row r="655" spans="1:9" s="406" customFormat="1" x14ac:dyDescent="0.2">
      <c r="A655" s="202" t="s">
        <v>571</v>
      </c>
      <c r="B655" s="209" t="s">
        <v>1149</v>
      </c>
      <c r="C655" s="209">
        <v>610</v>
      </c>
      <c r="D655" s="265">
        <v>459.6</v>
      </c>
      <c r="E655" s="265">
        <f>'Функциональная 2021-2022'!H314</f>
        <v>459.6</v>
      </c>
      <c r="F655" s="265">
        <f t="shared" si="41"/>
        <v>0</v>
      </c>
      <c r="G655" s="226">
        <v>459.6</v>
      </c>
      <c r="H655" s="226">
        <f>'Функциональная 2021-2022'!N314</f>
        <v>459.6</v>
      </c>
      <c r="I655" s="265">
        <f t="shared" si="42"/>
        <v>0</v>
      </c>
    </row>
    <row r="656" spans="1:9" ht="22.5" x14ac:dyDescent="0.2">
      <c r="A656" s="202" t="s">
        <v>1148</v>
      </c>
      <c r="B656" s="209" t="s">
        <v>1147</v>
      </c>
      <c r="C656" s="209"/>
      <c r="D656" s="265">
        <v>138.69999999999999</v>
      </c>
      <c r="E656" s="265">
        <v>138.69999999999999</v>
      </c>
      <c r="F656" s="265">
        <f t="shared" si="41"/>
        <v>0</v>
      </c>
      <c r="G656" s="226">
        <v>138.69999999999999</v>
      </c>
      <c r="H656" s="226">
        <v>138.69999999999999</v>
      </c>
      <c r="I656" s="265">
        <f t="shared" si="42"/>
        <v>0</v>
      </c>
    </row>
    <row r="657" spans="1:9" x14ac:dyDescent="0.2">
      <c r="A657" s="202" t="s">
        <v>547</v>
      </c>
      <c r="B657" s="209" t="s">
        <v>1147</v>
      </c>
      <c r="C657" s="209" t="s">
        <v>519</v>
      </c>
      <c r="D657" s="265">
        <v>138.69999999999999</v>
      </c>
      <c r="E657" s="265">
        <v>138.69999999999999</v>
      </c>
      <c r="F657" s="265">
        <f t="shared" si="41"/>
        <v>0</v>
      </c>
      <c r="G657" s="226">
        <v>138.69999999999999</v>
      </c>
      <c r="H657" s="226">
        <v>138.69999999999999</v>
      </c>
      <c r="I657" s="265">
        <f t="shared" si="42"/>
        <v>0</v>
      </c>
    </row>
    <row r="658" spans="1:9" x14ac:dyDescent="0.2">
      <c r="A658" s="202" t="s">
        <v>571</v>
      </c>
      <c r="B658" s="209" t="s">
        <v>1147</v>
      </c>
      <c r="C658" s="209" t="s">
        <v>522</v>
      </c>
      <c r="D658" s="265">
        <v>138.69999999999999</v>
      </c>
      <c r="E658" s="265">
        <v>138.69999999999999</v>
      </c>
      <c r="F658" s="265">
        <f t="shared" si="41"/>
        <v>0</v>
      </c>
      <c r="G658" s="226">
        <v>138.69999999999999</v>
      </c>
      <c r="H658" s="226">
        <v>138.69999999999999</v>
      </c>
      <c r="I658" s="265">
        <f t="shared" si="42"/>
        <v>0</v>
      </c>
    </row>
    <row r="659" spans="1:9" ht="22.5" x14ac:dyDescent="0.2">
      <c r="A659" s="202" t="s">
        <v>887</v>
      </c>
      <c r="B659" s="209" t="s">
        <v>886</v>
      </c>
      <c r="C659" s="209"/>
      <c r="D659" s="265">
        <v>950</v>
      </c>
      <c r="E659" s="265">
        <v>950</v>
      </c>
      <c r="F659" s="265">
        <f t="shared" si="41"/>
        <v>0</v>
      </c>
      <c r="G659" s="226">
        <v>950</v>
      </c>
      <c r="H659" s="226">
        <v>950</v>
      </c>
      <c r="I659" s="265">
        <f t="shared" si="42"/>
        <v>0</v>
      </c>
    </row>
    <row r="660" spans="1:9" x14ac:dyDescent="0.2">
      <c r="A660" s="202" t="s">
        <v>1347</v>
      </c>
      <c r="B660" s="209" t="s">
        <v>886</v>
      </c>
      <c r="C660" s="209" t="s">
        <v>535</v>
      </c>
      <c r="D660" s="265">
        <v>950</v>
      </c>
      <c r="E660" s="265">
        <v>950</v>
      </c>
      <c r="F660" s="265">
        <f t="shared" si="41"/>
        <v>0</v>
      </c>
      <c r="G660" s="226">
        <v>950</v>
      </c>
      <c r="H660" s="226">
        <v>950</v>
      </c>
      <c r="I660" s="265">
        <f t="shared" si="42"/>
        <v>0</v>
      </c>
    </row>
    <row r="661" spans="1:9" x14ac:dyDescent="0.2">
      <c r="A661" s="202" t="s">
        <v>534</v>
      </c>
      <c r="B661" s="209" t="s">
        <v>886</v>
      </c>
      <c r="C661" s="209" t="s">
        <v>529</v>
      </c>
      <c r="D661" s="265">
        <v>950</v>
      </c>
      <c r="E661" s="265">
        <v>950</v>
      </c>
      <c r="F661" s="265">
        <f t="shared" si="41"/>
        <v>0</v>
      </c>
      <c r="G661" s="226">
        <v>950</v>
      </c>
      <c r="H661" s="226">
        <v>950</v>
      </c>
      <c r="I661" s="265">
        <f t="shared" si="42"/>
        <v>0</v>
      </c>
    </row>
    <row r="662" spans="1:9" ht="22.5" x14ac:dyDescent="0.2">
      <c r="A662" s="202" t="s">
        <v>611</v>
      </c>
      <c r="B662" s="209" t="s">
        <v>608</v>
      </c>
      <c r="C662" s="209"/>
      <c r="D662" s="265">
        <v>69004.800000000003</v>
      </c>
      <c r="E662" s="265">
        <v>69004.800000000003</v>
      </c>
      <c r="F662" s="265">
        <f t="shared" si="41"/>
        <v>0</v>
      </c>
      <c r="G662" s="226">
        <v>69004.800000000003</v>
      </c>
      <c r="H662" s="226">
        <v>69004.800000000003</v>
      </c>
      <c r="I662" s="265">
        <f t="shared" si="42"/>
        <v>0</v>
      </c>
    </row>
    <row r="663" spans="1:9" x14ac:dyDescent="0.2">
      <c r="A663" s="202" t="s">
        <v>547</v>
      </c>
      <c r="B663" s="209" t="s">
        <v>608</v>
      </c>
      <c r="C663" s="209" t="s">
        <v>519</v>
      </c>
      <c r="D663" s="265">
        <v>69004.800000000003</v>
      </c>
      <c r="E663" s="265">
        <v>69004.800000000003</v>
      </c>
      <c r="F663" s="265">
        <f t="shared" si="41"/>
        <v>0</v>
      </c>
      <c r="G663" s="226">
        <v>69004.800000000003</v>
      </c>
      <c r="H663" s="226">
        <v>69004.800000000003</v>
      </c>
      <c r="I663" s="265">
        <f t="shared" si="42"/>
        <v>0</v>
      </c>
    </row>
    <row r="664" spans="1:9" x14ac:dyDescent="0.2">
      <c r="A664" s="202" t="s">
        <v>571</v>
      </c>
      <c r="B664" s="209" t="s">
        <v>608</v>
      </c>
      <c r="C664" s="209" t="s">
        <v>522</v>
      </c>
      <c r="D664" s="265">
        <v>44527.9</v>
      </c>
      <c r="E664" s="265">
        <v>44527.9</v>
      </c>
      <c r="F664" s="265">
        <f t="shared" si="41"/>
        <v>0</v>
      </c>
      <c r="G664" s="226">
        <v>44527.9</v>
      </c>
      <c r="H664" s="226">
        <v>44527.9</v>
      </c>
      <c r="I664" s="265">
        <f t="shared" si="42"/>
        <v>0</v>
      </c>
    </row>
    <row r="665" spans="1:9" x14ac:dyDescent="0.2">
      <c r="A665" s="202" t="s">
        <v>546</v>
      </c>
      <c r="B665" s="209" t="s">
        <v>608</v>
      </c>
      <c r="C665" s="209" t="s">
        <v>544</v>
      </c>
      <c r="D665" s="265">
        <v>24476.9</v>
      </c>
      <c r="E665" s="265">
        <v>24476.9</v>
      </c>
      <c r="F665" s="265">
        <f t="shared" si="41"/>
        <v>0</v>
      </c>
      <c r="G665" s="226">
        <v>24476.9</v>
      </c>
      <c r="H665" s="226">
        <v>24476.9</v>
      </c>
      <c r="I665" s="265">
        <f t="shared" si="42"/>
        <v>0</v>
      </c>
    </row>
    <row r="666" spans="1:9" x14ac:dyDescent="0.2">
      <c r="A666" s="199" t="s">
        <v>602</v>
      </c>
      <c r="B666" s="212" t="s">
        <v>1211</v>
      </c>
      <c r="C666" s="212"/>
      <c r="D666" s="263">
        <v>6</v>
      </c>
      <c r="E666" s="263">
        <f>E667</f>
        <v>6</v>
      </c>
      <c r="F666" s="282">
        <f t="shared" si="41"/>
        <v>0</v>
      </c>
      <c r="G666" s="205">
        <v>1750</v>
      </c>
      <c r="H666" s="205">
        <f>H667</f>
        <v>1750</v>
      </c>
      <c r="I666" s="282">
        <f t="shared" si="42"/>
        <v>0</v>
      </c>
    </row>
    <row r="667" spans="1:9" ht="22.5" x14ac:dyDescent="0.2">
      <c r="A667" s="199" t="s">
        <v>1210</v>
      </c>
      <c r="B667" s="212" t="s">
        <v>1209</v>
      </c>
      <c r="C667" s="212"/>
      <c r="D667" s="263">
        <v>6</v>
      </c>
      <c r="E667" s="263">
        <f>E668</f>
        <v>6</v>
      </c>
      <c r="F667" s="282">
        <f t="shared" si="41"/>
        <v>0</v>
      </c>
      <c r="G667" s="205">
        <v>1750</v>
      </c>
      <c r="H667" s="205">
        <f>H668</f>
        <v>1750</v>
      </c>
      <c r="I667" s="282">
        <f t="shared" si="42"/>
        <v>0</v>
      </c>
    </row>
    <row r="668" spans="1:9" ht="22.5" x14ac:dyDescent="0.2">
      <c r="A668" s="202" t="s">
        <v>1208</v>
      </c>
      <c r="B668" s="209" t="s">
        <v>1207</v>
      </c>
      <c r="C668" s="209"/>
      <c r="D668" s="265">
        <v>6</v>
      </c>
      <c r="E668" s="265">
        <f>E669</f>
        <v>6</v>
      </c>
      <c r="F668" s="281">
        <f t="shared" si="41"/>
        <v>0</v>
      </c>
      <c r="G668" s="226">
        <v>1750</v>
      </c>
      <c r="H668" s="226">
        <f>H669</f>
        <v>1750</v>
      </c>
      <c r="I668" s="281">
        <f t="shared" si="42"/>
        <v>0</v>
      </c>
    </row>
    <row r="669" spans="1:9" x14ac:dyDescent="0.2">
      <c r="A669" s="202" t="s">
        <v>1347</v>
      </c>
      <c r="B669" s="209" t="s">
        <v>1207</v>
      </c>
      <c r="C669" s="209" t="s">
        <v>535</v>
      </c>
      <c r="D669" s="265">
        <v>6</v>
      </c>
      <c r="E669" s="265">
        <f>E670</f>
        <v>6</v>
      </c>
      <c r="F669" s="281">
        <f t="shared" si="41"/>
        <v>0</v>
      </c>
      <c r="G669" s="226">
        <v>1750</v>
      </c>
      <c r="H669" s="226">
        <f>H670</f>
        <v>1750</v>
      </c>
      <c r="I669" s="281">
        <f t="shared" si="42"/>
        <v>0</v>
      </c>
    </row>
    <row r="670" spans="1:9" x14ac:dyDescent="0.2">
      <c r="A670" s="202" t="s">
        <v>534</v>
      </c>
      <c r="B670" s="209" t="s">
        <v>1207</v>
      </c>
      <c r="C670" s="209" t="s">
        <v>529</v>
      </c>
      <c r="D670" s="265">
        <v>6</v>
      </c>
      <c r="E670" s="265">
        <f>'Функциональная 2021-2022'!H196</f>
        <v>6</v>
      </c>
      <c r="F670" s="281">
        <f t="shared" si="41"/>
        <v>0</v>
      </c>
      <c r="G670" s="226">
        <v>1750</v>
      </c>
      <c r="H670" s="226">
        <f>'Функциональная 2021-2022'!N196</f>
        <v>1750</v>
      </c>
      <c r="I670" s="281">
        <f t="shared" si="42"/>
        <v>0</v>
      </c>
    </row>
    <row r="671" spans="1:9" x14ac:dyDescent="0.2">
      <c r="A671" s="199" t="s">
        <v>1056</v>
      </c>
      <c r="B671" s="212" t="s">
        <v>1055</v>
      </c>
      <c r="C671" s="212"/>
      <c r="D671" s="263">
        <v>438.9</v>
      </c>
      <c r="E671" s="263">
        <v>438.9</v>
      </c>
      <c r="F671" s="263">
        <f t="shared" si="41"/>
        <v>0</v>
      </c>
      <c r="G671" s="205">
        <v>438.9</v>
      </c>
      <c r="H671" s="205">
        <v>438.9</v>
      </c>
      <c r="I671" s="263">
        <f t="shared" si="42"/>
        <v>0</v>
      </c>
    </row>
    <row r="672" spans="1:9" x14ac:dyDescent="0.2">
      <c r="A672" s="199" t="s">
        <v>1054</v>
      </c>
      <c r="B672" s="212" t="s">
        <v>1053</v>
      </c>
      <c r="C672" s="212"/>
      <c r="D672" s="263">
        <v>438.9</v>
      </c>
      <c r="E672" s="263">
        <v>438.9</v>
      </c>
      <c r="F672" s="263">
        <f t="shared" si="41"/>
        <v>0</v>
      </c>
      <c r="G672" s="205">
        <v>438.9</v>
      </c>
      <c r="H672" s="205">
        <v>438.9</v>
      </c>
      <c r="I672" s="263">
        <f t="shared" si="42"/>
        <v>0</v>
      </c>
    </row>
    <row r="673" spans="1:9" x14ac:dyDescent="0.2">
      <c r="A673" s="202" t="s">
        <v>1052</v>
      </c>
      <c r="B673" s="209" t="s">
        <v>1051</v>
      </c>
      <c r="C673" s="209"/>
      <c r="D673" s="265">
        <v>438.9</v>
      </c>
      <c r="E673" s="265">
        <v>438.9</v>
      </c>
      <c r="F673" s="265">
        <f t="shared" si="41"/>
        <v>0</v>
      </c>
      <c r="G673" s="226">
        <v>438.9</v>
      </c>
      <c r="H673" s="226">
        <v>438.9</v>
      </c>
      <c r="I673" s="265">
        <f t="shared" si="42"/>
        <v>0</v>
      </c>
    </row>
    <row r="674" spans="1:9" x14ac:dyDescent="0.2">
      <c r="A674" s="202" t="s">
        <v>1347</v>
      </c>
      <c r="B674" s="209" t="s">
        <v>1051</v>
      </c>
      <c r="C674" s="209" t="s">
        <v>535</v>
      </c>
      <c r="D674" s="265">
        <v>438.9</v>
      </c>
      <c r="E674" s="265">
        <v>438.9</v>
      </c>
      <c r="F674" s="265">
        <f t="shared" si="41"/>
        <v>0</v>
      </c>
      <c r="G674" s="226">
        <v>438.9</v>
      </c>
      <c r="H674" s="226">
        <v>438.9</v>
      </c>
      <c r="I674" s="265">
        <f t="shared" si="42"/>
        <v>0</v>
      </c>
    </row>
    <row r="675" spans="1:9" x14ac:dyDescent="0.2">
      <c r="A675" s="202" t="s">
        <v>534</v>
      </c>
      <c r="B675" s="209" t="s">
        <v>1051</v>
      </c>
      <c r="C675" s="209" t="s">
        <v>529</v>
      </c>
      <c r="D675" s="265">
        <v>438.9</v>
      </c>
      <c r="E675" s="265">
        <v>438.9</v>
      </c>
      <c r="F675" s="265">
        <f t="shared" si="41"/>
        <v>0</v>
      </c>
      <c r="G675" s="226">
        <v>438.9</v>
      </c>
      <c r="H675" s="226">
        <v>438.9</v>
      </c>
      <c r="I675" s="265">
        <f t="shared" si="42"/>
        <v>0</v>
      </c>
    </row>
    <row r="676" spans="1:9" x14ac:dyDescent="0.2">
      <c r="A676" s="199" t="s">
        <v>1117</v>
      </c>
      <c r="B676" s="212" t="s">
        <v>1116</v>
      </c>
      <c r="C676" s="212"/>
      <c r="D676" s="263">
        <v>640229.9</v>
      </c>
      <c r="E676" s="263">
        <f>E677+E688</f>
        <v>640229.9</v>
      </c>
      <c r="F676" s="282">
        <f t="shared" si="41"/>
        <v>0</v>
      </c>
      <c r="G676" s="205">
        <v>642330.9</v>
      </c>
      <c r="H676" s="205">
        <f>H677+H688</f>
        <v>642330.9</v>
      </c>
      <c r="I676" s="282">
        <f t="shared" si="42"/>
        <v>0</v>
      </c>
    </row>
    <row r="677" spans="1:9" x14ac:dyDescent="0.2">
      <c r="A677" s="199" t="s">
        <v>1130</v>
      </c>
      <c r="B677" s="212" t="s">
        <v>1129</v>
      </c>
      <c r="C677" s="212"/>
      <c r="D677" s="263">
        <v>57922</v>
      </c>
      <c r="E677" s="263">
        <f>E678</f>
        <v>57922</v>
      </c>
      <c r="F677" s="282">
        <f t="shared" si="41"/>
        <v>0</v>
      </c>
      <c r="G677" s="205">
        <v>57922</v>
      </c>
      <c r="H677" s="205">
        <f>H678</f>
        <v>57922</v>
      </c>
      <c r="I677" s="282">
        <f t="shared" si="42"/>
        <v>0</v>
      </c>
    </row>
    <row r="678" spans="1:9" ht="33.75" x14ac:dyDescent="0.2">
      <c r="A678" s="199" t="s">
        <v>1128</v>
      </c>
      <c r="B678" s="212" t="s">
        <v>1127</v>
      </c>
      <c r="C678" s="212"/>
      <c r="D678" s="263">
        <v>57922</v>
      </c>
      <c r="E678" s="263">
        <f>E679+E682+E685</f>
        <v>57922</v>
      </c>
      <c r="F678" s="282">
        <f t="shared" si="41"/>
        <v>0</v>
      </c>
      <c r="G678" s="205">
        <v>57922</v>
      </c>
      <c r="H678" s="205">
        <f>H679+H682+H685</f>
        <v>57922</v>
      </c>
      <c r="I678" s="282">
        <f t="shared" si="42"/>
        <v>0</v>
      </c>
    </row>
    <row r="679" spans="1:9" ht="22.5" x14ac:dyDescent="0.2">
      <c r="A679" s="202" t="s">
        <v>1126</v>
      </c>
      <c r="B679" s="209" t="s">
        <v>1125</v>
      </c>
      <c r="C679" s="209"/>
      <c r="D679" s="265">
        <v>6000</v>
      </c>
      <c r="E679" s="265">
        <v>6000</v>
      </c>
      <c r="F679" s="265">
        <f t="shared" si="41"/>
        <v>0</v>
      </c>
      <c r="G679" s="226">
        <v>6000</v>
      </c>
      <c r="H679" s="226">
        <v>6000</v>
      </c>
      <c r="I679" s="281">
        <f t="shared" si="42"/>
        <v>0</v>
      </c>
    </row>
    <row r="680" spans="1:9" x14ac:dyDescent="0.2">
      <c r="A680" s="202" t="s">
        <v>1347</v>
      </c>
      <c r="B680" s="209" t="s">
        <v>1125</v>
      </c>
      <c r="C680" s="209" t="s">
        <v>535</v>
      </c>
      <c r="D680" s="265">
        <v>6000</v>
      </c>
      <c r="E680" s="265">
        <v>6000</v>
      </c>
      <c r="F680" s="265">
        <f t="shared" si="41"/>
        <v>0</v>
      </c>
      <c r="G680" s="226">
        <v>6000</v>
      </c>
      <c r="H680" s="226">
        <v>6000</v>
      </c>
      <c r="I680" s="281">
        <f t="shared" si="42"/>
        <v>0</v>
      </c>
    </row>
    <row r="681" spans="1:9" x14ac:dyDescent="0.2">
      <c r="A681" s="202" t="s">
        <v>534</v>
      </c>
      <c r="B681" s="209" t="s">
        <v>1125</v>
      </c>
      <c r="C681" s="209" t="s">
        <v>529</v>
      </c>
      <c r="D681" s="265">
        <v>6000</v>
      </c>
      <c r="E681" s="265">
        <v>6000</v>
      </c>
      <c r="F681" s="265">
        <f t="shared" si="41"/>
        <v>0</v>
      </c>
      <c r="G681" s="226">
        <v>6000</v>
      </c>
      <c r="H681" s="226">
        <v>6000</v>
      </c>
      <c r="I681" s="281">
        <f t="shared" si="42"/>
        <v>0</v>
      </c>
    </row>
    <row r="682" spans="1:9" ht="22.5" x14ac:dyDescent="0.2">
      <c r="A682" s="202" t="s">
        <v>1124</v>
      </c>
      <c r="B682" s="209" t="s">
        <v>1123</v>
      </c>
      <c r="C682" s="209"/>
      <c r="D682" s="265">
        <v>3500</v>
      </c>
      <c r="E682" s="265">
        <v>3500</v>
      </c>
      <c r="F682" s="265">
        <f t="shared" si="41"/>
        <v>0</v>
      </c>
      <c r="G682" s="226">
        <v>3500</v>
      </c>
      <c r="H682" s="226">
        <v>3500</v>
      </c>
      <c r="I682" s="281">
        <f t="shared" si="42"/>
        <v>0</v>
      </c>
    </row>
    <row r="683" spans="1:9" x14ac:dyDescent="0.2">
      <c r="A683" s="202" t="s">
        <v>1347</v>
      </c>
      <c r="B683" s="209" t="s">
        <v>1123</v>
      </c>
      <c r="C683" s="209" t="s">
        <v>535</v>
      </c>
      <c r="D683" s="265">
        <v>3500</v>
      </c>
      <c r="E683" s="265">
        <v>3500</v>
      </c>
      <c r="F683" s="265">
        <f t="shared" si="41"/>
        <v>0</v>
      </c>
      <c r="G683" s="226">
        <v>3500</v>
      </c>
      <c r="H683" s="226">
        <v>3500</v>
      </c>
      <c r="I683" s="281">
        <f t="shared" si="42"/>
        <v>0</v>
      </c>
    </row>
    <row r="684" spans="1:9" x14ac:dyDescent="0.2">
      <c r="A684" s="202" t="s">
        <v>534</v>
      </c>
      <c r="B684" s="209" t="s">
        <v>1123</v>
      </c>
      <c r="C684" s="209" t="s">
        <v>529</v>
      </c>
      <c r="D684" s="265">
        <v>3500</v>
      </c>
      <c r="E684" s="265">
        <v>3500</v>
      </c>
      <c r="F684" s="265">
        <f t="shared" si="41"/>
        <v>0</v>
      </c>
      <c r="G684" s="226">
        <v>3500</v>
      </c>
      <c r="H684" s="226">
        <v>3500</v>
      </c>
      <c r="I684" s="281">
        <f t="shared" si="42"/>
        <v>0</v>
      </c>
    </row>
    <row r="685" spans="1:9" ht="22.5" x14ac:dyDescent="0.2">
      <c r="A685" s="202" t="s">
        <v>1122</v>
      </c>
      <c r="B685" s="209" t="s">
        <v>1121</v>
      </c>
      <c r="C685" s="209"/>
      <c r="D685" s="265">
        <v>48422</v>
      </c>
      <c r="E685" s="265">
        <f>E686</f>
        <v>48422</v>
      </c>
      <c r="F685" s="281">
        <f t="shared" si="41"/>
        <v>0</v>
      </c>
      <c r="G685" s="226">
        <v>48422</v>
      </c>
      <c r="H685" s="226">
        <f>H686</f>
        <v>48422</v>
      </c>
      <c r="I685" s="281">
        <f t="shared" si="42"/>
        <v>0</v>
      </c>
    </row>
    <row r="686" spans="1:9" x14ac:dyDescent="0.2">
      <c r="A686" s="202" t="s">
        <v>1347</v>
      </c>
      <c r="B686" s="209" t="s">
        <v>1121</v>
      </c>
      <c r="C686" s="209" t="s">
        <v>535</v>
      </c>
      <c r="D686" s="265">
        <v>48422</v>
      </c>
      <c r="E686" s="265">
        <f>E687</f>
        <v>48422</v>
      </c>
      <c r="F686" s="281">
        <f t="shared" si="41"/>
        <v>0</v>
      </c>
      <c r="G686" s="226">
        <v>48422</v>
      </c>
      <c r="H686" s="226">
        <f>H687</f>
        <v>48422</v>
      </c>
      <c r="I686" s="281">
        <f t="shared" si="42"/>
        <v>0</v>
      </c>
    </row>
    <row r="687" spans="1:9" x14ac:dyDescent="0.2">
      <c r="A687" s="202" t="s">
        <v>534</v>
      </c>
      <c r="B687" s="209" t="s">
        <v>1121</v>
      </c>
      <c r="C687" s="209" t="s">
        <v>529</v>
      </c>
      <c r="D687" s="265">
        <v>48422</v>
      </c>
      <c r="E687" s="265">
        <f>'Функциональная 2021-2022'!H351</f>
        <v>48422</v>
      </c>
      <c r="F687" s="281">
        <f t="shared" si="41"/>
        <v>0</v>
      </c>
      <c r="G687" s="226">
        <v>48422</v>
      </c>
      <c r="H687" s="226">
        <f>'Функциональная 2021-2022'!N351</f>
        <v>48422</v>
      </c>
      <c r="I687" s="281">
        <f t="shared" si="42"/>
        <v>0</v>
      </c>
    </row>
    <row r="688" spans="1:9" x14ac:dyDescent="0.2">
      <c r="A688" s="199" t="s">
        <v>1115</v>
      </c>
      <c r="B688" s="212" t="s">
        <v>1114</v>
      </c>
      <c r="C688" s="212"/>
      <c r="D688" s="263">
        <v>582307.9</v>
      </c>
      <c r="E688" s="263">
        <v>582307.9</v>
      </c>
      <c r="F688" s="263">
        <f t="shared" si="41"/>
        <v>0</v>
      </c>
      <c r="G688" s="205">
        <v>584408.9</v>
      </c>
      <c r="H688" s="205">
        <v>584408.9</v>
      </c>
      <c r="I688" s="263">
        <f t="shared" si="42"/>
        <v>0</v>
      </c>
    </row>
    <row r="689" spans="1:9" ht="22.5" x14ac:dyDescent="0.2">
      <c r="A689" s="199" t="s">
        <v>1113</v>
      </c>
      <c r="B689" s="212" t="s">
        <v>1112</v>
      </c>
      <c r="C689" s="212"/>
      <c r="D689" s="263">
        <v>582307.9</v>
      </c>
      <c r="E689" s="263">
        <v>582307.9</v>
      </c>
      <c r="F689" s="263">
        <f t="shared" si="41"/>
        <v>0</v>
      </c>
      <c r="G689" s="205">
        <v>584408.9</v>
      </c>
      <c r="H689" s="205">
        <v>584408.9</v>
      </c>
      <c r="I689" s="263">
        <f t="shared" si="42"/>
        <v>0</v>
      </c>
    </row>
    <row r="690" spans="1:9" ht="22.5" x14ac:dyDescent="0.2">
      <c r="A690" s="202" t="s">
        <v>1111</v>
      </c>
      <c r="B690" s="209" t="s">
        <v>1110</v>
      </c>
      <c r="C690" s="209"/>
      <c r="D690" s="265">
        <v>12124.1</v>
      </c>
      <c r="E690" s="265">
        <v>12124.1</v>
      </c>
      <c r="F690" s="265">
        <f t="shared" si="41"/>
        <v>0</v>
      </c>
      <c r="G690" s="226">
        <v>12124.1</v>
      </c>
      <c r="H690" s="226">
        <v>12124.1</v>
      </c>
      <c r="I690" s="265">
        <f t="shared" si="42"/>
        <v>0</v>
      </c>
    </row>
    <row r="691" spans="1:9" x14ac:dyDescent="0.2">
      <c r="A691" s="202" t="s">
        <v>1347</v>
      </c>
      <c r="B691" s="209" t="s">
        <v>1110</v>
      </c>
      <c r="C691" s="209" t="s">
        <v>535</v>
      </c>
      <c r="D691" s="265">
        <v>12124.1</v>
      </c>
      <c r="E691" s="265">
        <v>12124.1</v>
      </c>
      <c r="F691" s="265">
        <f t="shared" si="41"/>
        <v>0</v>
      </c>
      <c r="G691" s="226">
        <v>12124.1</v>
      </c>
      <c r="H691" s="226">
        <v>12124.1</v>
      </c>
      <c r="I691" s="265">
        <f t="shared" si="42"/>
        <v>0</v>
      </c>
    </row>
    <row r="692" spans="1:9" x14ac:dyDescent="0.2">
      <c r="A692" s="202" t="s">
        <v>534</v>
      </c>
      <c r="B692" s="209" t="s">
        <v>1110</v>
      </c>
      <c r="C692" s="209" t="s">
        <v>529</v>
      </c>
      <c r="D692" s="265">
        <v>12124.1</v>
      </c>
      <c r="E692" s="265">
        <v>12124.1</v>
      </c>
      <c r="F692" s="265">
        <f t="shared" si="41"/>
        <v>0</v>
      </c>
      <c r="G692" s="226">
        <v>12124.1</v>
      </c>
      <c r="H692" s="226">
        <v>12124.1</v>
      </c>
      <c r="I692" s="265">
        <f t="shared" si="42"/>
        <v>0</v>
      </c>
    </row>
    <row r="693" spans="1:9" ht="22.5" x14ac:dyDescent="0.2">
      <c r="A693" s="202" t="s">
        <v>1099</v>
      </c>
      <c r="B693" s="209" t="s">
        <v>1109</v>
      </c>
      <c r="C693" s="209"/>
      <c r="D693" s="265">
        <v>4791.2</v>
      </c>
      <c r="E693" s="265">
        <v>4791.2</v>
      </c>
      <c r="F693" s="265">
        <f t="shared" si="41"/>
        <v>0</v>
      </c>
      <c r="G693" s="226">
        <v>4791.2</v>
      </c>
      <c r="H693" s="226">
        <v>4791.2</v>
      </c>
      <c r="I693" s="265">
        <f t="shared" si="42"/>
        <v>0</v>
      </c>
    </row>
    <row r="694" spans="1:9" x14ac:dyDescent="0.2">
      <c r="A694" s="202" t="s">
        <v>1347</v>
      </c>
      <c r="B694" s="209" t="s">
        <v>1109</v>
      </c>
      <c r="C694" s="209" t="s">
        <v>535</v>
      </c>
      <c r="D694" s="265">
        <v>4791.2</v>
      </c>
      <c r="E694" s="265">
        <v>4791.2</v>
      </c>
      <c r="F694" s="265">
        <f t="shared" si="41"/>
        <v>0</v>
      </c>
      <c r="G694" s="226">
        <v>4791.2</v>
      </c>
      <c r="H694" s="226">
        <v>4791.2</v>
      </c>
      <c r="I694" s="265">
        <f t="shared" si="42"/>
        <v>0</v>
      </c>
    </row>
    <row r="695" spans="1:9" x14ac:dyDescent="0.2">
      <c r="A695" s="202" t="s">
        <v>534</v>
      </c>
      <c r="B695" s="209" t="s">
        <v>1109</v>
      </c>
      <c r="C695" s="209" t="s">
        <v>529</v>
      </c>
      <c r="D695" s="265">
        <v>4791.2</v>
      </c>
      <c r="E695" s="265">
        <v>4791.2</v>
      </c>
      <c r="F695" s="265">
        <f t="shared" si="41"/>
        <v>0</v>
      </c>
      <c r="G695" s="226">
        <v>4791.2</v>
      </c>
      <c r="H695" s="226">
        <v>4791.2</v>
      </c>
      <c r="I695" s="265">
        <f t="shared" si="42"/>
        <v>0</v>
      </c>
    </row>
    <row r="696" spans="1:9" ht="22.5" x14ac:dyDescent="0.2">
      <c r="A696" s="202" t="s">
        <v>1108</v>
      </c>
      <c r="B696" s="209" t="s">
        <v>1107</v>
      </c>
      <c r="C696" s="209"/>
      <c r="D696" s="265">
        <v>36971.4</v>
      </c>
      <c r="E696" s="265">
        <v>36971.4</v>
      </c>
      <c r="F696" s="265">
        <f t="shared" si="41"/>
        <v>0</v>
      </c>
      <c r="G696" s="226">
        <v>36971.4</v>
      </c>
      <c r="H696" s="226">
        <v>36971.4</v>
      </c>
      <c r="I696" s="265">
        <f t="shared" si="42"/>
        <v>0</v>
      </c>
    </row>
    <row r="697" spans="1:9" ht="22.5" x14ac:dyDescent="0.2">
      <c r="A697" s="202" t="s">
        <v>1348</v>
      </c>
      <c r="B697" s="209" t="s">
        <v>1107</v>
      </c>
      <c r="C697" s="209" t="s">
        <v>556</v>
      </c>
      <c r="D697" s="265">
        <v>28096.2</v>
      </c>
      <c r="E697" s="265">
        <v>28096.2</v>
      </c>
      <c r="F697" s="265">
        <f t="shared" si="41"/>
        <v>0</v>
      </c>
      <c r="G697" s="226">
        <v>28096.2</v>
      </c>
      <c r="H697" s="226">
        <v>28096.2</v>
      </c>
      <c r="I697" s="265">
        <f t="shared" si="42"/>
        <v>0</v>
      </c>
    </row>
    <row r="698" spans="1:9" x14ac:dyDescent="0.2">
      <c r="A698" s="202" t="s">
        <v>555</v>
      </c>
      <c r="B698" s="209" t="s">
        <v>1107</v>
      </c>
      <c r="C698" s="209" t="s">
        <v>554</v>
      </c>
      <c r="D698" s="265">
        <v>28096.2</v>
      </c>
      <c r="E698" s="265">
        <v>28096.2</v>
      </c>
      <c r="F698" s="265">
        <f t="shared" si="41"/>
        <v>0</v>
      </c>
      <c r="G698" s="226">
        <v>28096.2</v>
      </c>
      <c r="H698" s="226">
        <v>28096.2</v>
      </c>
      <c r="I698" s="265">
        <f t="shared" si="42"/>
        <v>0</v>
      </c>
    </row>
    <row r="699" spans="1:9" x14ac:dyDescent="0.2">
      <c r="A699" s="202" t="s">
        <v>1347</v>
      </c>
      <c r="B699" s="209" t="s">
        <v>1107</v>
      </c>
      <c r="C699" s="209" t="s">
        <v>535</v>
      </c>
      <c r="D699" s="265">
        <v>7068.9</v>
      </c>
      <c r="E699" s="265">
        <v>7068.9</v>
      </c>
      <c r="F699" s="265">
        <f t="shared" si="41"/>
        <v>0</v>
      </c>
      <c r="G699" s="226">
        <v>7068.9</v>
      </c>
      <c r="H699" s="226">
        <v>7068.9</v>
      </c>
      <c r="I699" s="265">
        <f t="shared" si="42"/>
        <v>0</v>
      </c>
    </row>
    <row r="700" spans="1:9" x14ac:dyDescent="0.2">
      <c r="A700" s="202" t="s">
        <v>534</v>
      </c>
      <c r="B700" s="209" t="s">
        <v>1107</v>
      </c>
      <c r="C700" s="209" t="s">
        <v>529</v>
      </c>
      <c r="D700" s="265">
        <v>7068.9</v>
      </c>
      <c r="E700" s="265">
        <v>7068.9</v>
      </c>
      <c r="F700" s="265">
        <f t="shared" si="41"/>
        <v>0</v>
      </c>
      <c r="G700" s="226">
        <v>7068.9</v>
      </c>
      <c r="H700" s="226">
        <v>7068.9</v>
      </c>
      <c r="I700" s="265">
        <f t="shared" si="42"/>
        <v>0</v>
      </c>
    </row>
    <row r="701" spans="1:9" x14ac:dyDescent="0.2">
      <c r="A701" s="202" t="s">
        <v>615</v>
      </c>
      <c r="B701" s="209" t="s">
        <v>1107</v>
      </c>
      <c r="C701" s="209" t="s">
        <v>509</v>
      </c>
      <c r="D701" s="265">
        <v>1806.3</v>
      </c>
      <c r="E701" s="265">
        <v>1806.3</v>
      </c>
      <c r="F701" s="265">
        <f t="shared" si="41"/>
        <v>0</v>
      </c>
      <c r="G701" s="226">
        <v>1806.3</v>
      </c>
      <c r="H701" s="226">
        <v>1806.3</v>
      </c>
      <c r="I701" s="265">
        <f t="shared" si="42"/>
        <v>0</v>
      </c>
    </row>
    <row r="702" spans="1:9" x14ac:dyDescent="0.2">
      <c r="A702" s="202" t="s">
        <v>614</v>
      </c>
      <c r="B702" s="209" t="s">
        <v>1107</v>
      </c>
      <c r="C702" s="209" t="s">
        <v>613</v>
      </c>
      <c r="D702" s="265">
        <v>1806.3</v>
      </c>
      <c r="E702" s="265">
        <v>1806.3</v>
      </c>
      <c r="F702" s="265">
        <f t="shared" si="41"/>
        <v>0</v>
      </c>
      <c r="G702" s="226">
        <v>1806.3</v>
      </c>
      <c r="H702" s="226">
        <v>1806.3</v>
      </c>
      <c r="I702" s="265">
        <f t="shared" si="42"/>
        <v>0</v>
      </c>
    </row>
    <row r="703" spans="1:9" ht="22.5" x14ac:dyDescent="0.2">
      <c r="A703" s="202" t="s">
        <v>1106</v>
      </c>
      <c r="B703" s="209" t="s">
        <v>1105</v>
      </c>
      <c r="C703" s="209"/>
      <c r="D703" s="265">
        <v>2750</v>
      </c>
      <c r="E703" s="265">
        <v>2750</v>
      </c>
      <c r="F703" s="265">
        <f t="shared" si="41"/>
        <v>0</v>
      </c>
      <c r="G703" s="226">
        <v>2750</v>
      </c>
      <c r="H703" s="226">
        <v>2750</v>
      </c>
      <c r="I703" s="265">
        <f t="shared" si="42"/>
        <v>0</v>
      </c>
    </row>
    <row r="704" spans="1:9" x14ac:dyDescent="0.2">
      <c r="A704" s="202" t="s">
        <v>547</v>
      </c>
      <c r="B704" s="209" t="s">
        <v>1105</v>
      </c>
      <c r="C704" s="209" t="s">
        <v>519</v>
      </c>
      <c r="D704" s="265">
        <v>2750</v>
      </c>
      <c r="E704" s="265">
        <v>2750</v>
      </c>
      <c r="F704" s="265">
        <f t="shared" si="41"/>
        <v>0</v>
      </c>
      <c r="G704" s="226">
        <v>2750</v>
      </c>
      <c r="H704" s="226">
        <v>2750</v>
      </c>
      <c r="I704" s="265">
        <f t="shared" si="42"/>
        <v>0</v>
      </c>
    </row>
    <row r="705" spans="1:9" x14ac:dyDescent="0.2">
      <c r="A705" s="202" t="s">
        <v>571</v>
      </c>
      <c r="B705" s="209" t="s">
        <v>1105</v>
      </c>
      <c r="C705" s="209" t="s">
        <v>522</v>
      </c>
      <c r="D705" s="265">
        <v>2750</v>
      </c>
      <c r="E705" s="265">
        <v>2750</v>
      </c>
      <c r="F705" s="265">
        <f t="shared" si="41"/>
        <v>0</v>
      </c>
      <c r="G705" s="226">
        <v>2750</v>
      </c>
      <c r="H705" s="226">
        <v>2750</v>
      </c>
      <c r="I705" s="265">
        <f t="shared" si="42"/>
        <v>0</v>
      </c>
    </row>
    <row r="706" spans="1:9" ht="22.5" x14ac:dyDescent="0.2">
      <c r="A706" s="202" t="s">
        <v>1104</v>
      </c>
      <c r="B706" s="209" t="s">
        <v>1103</v>
      </c>
      <c r="C706" s="209"/>
      <c r="D706" s="265">
        <v>197770.7</v>
      </c>
      <c r="E706" s="265">
        <v>197770.7</v>
      </c>
      <c r="F706" s="265">
        <f t="shared" si="41"/>
        <v>0</v>
      </c>
      <c r="G706" s="226">
        <v>197660.7</v>
      </c>
      <c r="H706" s="226">
        <v>197660.7</v>
      </c>
      <c r="I706" s="265">
        <f t="shared" si="42"/>
        <v>0</v>
      </c>
    </row>
    <row r="707" spans="1:9" x14ac:dyDescent="0.2">
      <c r="A707" s="202" t="s">
        <v>1347</v>
      </c>
      <c r="B707" s="209" t="s">
        <v>1103</v>
      </c>
      <c r="C707" s="209" t="s">
        <v>535</v>
      </c>
      <c r="D707" s="265">
        <v>197770.7</v>
      </c>
      <c r="E707" s="265">
        <v>197770.7</v>
      </c>
      <c r="F707" s="265">
        <f t="shared" si="41"/>
        <v>0</v>
      </c>
      <c r="G707" s="226">
        <v>197660.7</v>
      </c>
      <c r="H707" s="226">
        <v>197660.7</v>
      </c>
      <c r="I707" s="265">
        <f t="shared" si="42"/>
        <v>0</v>
      </c>
    </row>
    <row r="708" spans="1:9" x14ac:dyDescent="0.2">
      <c r="A708" s="202" t="s">
        <v>534</v>
      </c>
      <c r="B708" s="209" t="s">
        <v>1103</v>
      </c>
      <c r="C708" s="209" t="s">
        <v>529</v>
      </c>
      <c r="D708" s="265">
        <v>197770.7</v>
      </c>
      <c r="E708" s="265">
        <v>197770.7</v>
      </c>
      <c r="F708" s="265">
        <f t="shared" ref="F708:F765" si="43">E708-D708</f>
        <v>0</v>
      </c>
      <c r="G708" s="226">
        <v>197660.7</v>
      </c>
      <c r="H708" s="226">
        <v>197660.7</v>
      </c>
      <c r="I708" s="265">
        <f t="shared" ref="I708:I765" si="44">H708-G708</f>
        <v>0</v>
      </c>
    </row>
    <row r="709" spans="1:9" ht="22.5" x14ac:dyDescent="0.2">
      <c r="A709" s="202" t="s">
        <v>1545</v>
      </c>
      <c r="B709" s="209" t="s">
        <v>1102</v>
      </c>
      <c r="C709" s="209"/>
      <c r="D709" s="265">
        <v>157791.79999999999</v>
      </c>
      <c r="E709" s="265">
        <f>E710</f>
        <v>157791.79999999999</v>
      </c>
      <c r="F709" s="265">
        <f t="shared" si="43"/>
        <v>0</v>
      </c>
      <c r="G709" s="226">
        <v>157791.79999999999</v>
      </c>
      <c r="H709" s="226">
        <f>H710</f>
        <v>157791.79999999999</v>
      </c>
      <c r="I709" s="265">
        <f t="shared" si="44"/>
        <v>0</v>
      </c>
    </row>
    <row r="710" spans="1:9" s="406" customFormat="1" x14ac:dyDescent="0.2">
      <c r="A710" s="202" t="s">
        <v>547</v>
      </c>
      <c r="B710" s="209" t="s">
        <v>1102</v>
      </c>
      <c r="C710" s="209">
        <v>600</v>
      </c>
      <c r="D710" s="265">
        <v>157791.79999999999</v>
      </c>
      <c r="E710" s="265">
        <f>E711</f>
        <v>157791.79999999999</v>
      </c>
      <c r="F710" s="265">
        <f t="shared" si="43"/>
        <v>0</v>
      </c>
      <c r="G710" s="226">
        <v>157791.79999999999</v>
      </c>
      <c r="H710" s="226">
        <f>H711</f>
        <v>157791.79999999999</v>
      </c>
      <c r="I710" s="265">
        <f t="shared" si="44"/>
        <v>0</v>
      </c>
    </row>
    <row r="711" spans="1:9" s="406" customFormat="1" x14ac:dyDescent="0.2">
      <c r="A711" s="202" t="s">
        <v>571</v>
      </c>
      <c r="B711" s="209" t="s">
        <v>1102</v>
      </c>
      <c r="C711" s="209">
        <v>610</v>
      </c>
      <c r="D711" s="265">
        <v>157791.79999999999</v>
      </c>
      <c r="E711" s="265">
        <f>'Функциональная 2021-2022'!H386</f>
        <v>157791.79999999999</v>
      </c>
      <c r="F711" s="265">
        <f t="shared" si="43"/>
        <v>0</v>
      </c>
      <c r="G711" s="226">
        <v>157791.79999999999</v>
      </c>
      <c r="H711" s="226">
        <f>'Функциональная 2021-2022'!N386</f>
        <v>157791.79999999999</v>
      </c>
      <c r="I711" s="265">
        <f t="shared" si="44"/>
        <v>0</v>
      </c>
    </row>
    <row r="712" spans="1:9" ht="22.5" x14ac:dyDescent="0.2">
      <c r="A712" s="202" t="s">
        <v>1101</v>
      </c>
      <c r="B712" s="209" t="s">
        <v>1100</v>
      </c>
      <c r="C712" s="209"/>
      <c r="D712" s="265">
        <v>41792.699999999997</v>
      </c>
      <c r="E712" s="265">
        <v>41792.699999999997</v>
      </c>
      <c r="F712" s="265">
        <f t="shared" si="43"/>
        <v>0</v>
      </c>
      <c r="G712" s="226">
        <v>41792.699999999997</v>
      </c>
      <c r="H712" s="226">
        <v>41792.699999999997</v>
      </c>
      <c r="I712" s="265">
        <f t="shared" si="44"/>
        <v>0</v>
      </c>
    </row>
    <row r="713" spans="1:9" x14ac:dyDescent="0.2">
      <c r="A713" s="202" t="s">
        <v>1347</v>
      </c>
      <c r="B713" s="209" t="s">
        <v>1100</v>
      </c>
      <c r="C713" s="209" t="s">
        <v>535</v>
      </c>
      <c r="D713" s="265">
        <v>41792.699999999997</v>
      </c>
      <c r="E713" s="265">
        <v>41792.699999999997</v>
      </c>
      <c r="F713" s="265">
        <f t="shared" si="43"/>
        <v>0</v>
      </c>
      <c r="G713" s="226">
        <v>41792.699999999997</v>
      </c>
      <c r="H713" s="226">
        <v>41792.699999999997</v>
      </c>
      <c r="I713" s="265">
        <f t="shared" si="44"/>
        <v>0</v>
      </c>
    </row>
    <row r="714" spans="1:9" x14ac:dyDescent="0.2">
      <c r="A714" s="202" t="s">
        <v>534</v>
      </c>
      <c r="B714" s="209" t="s">
        <v>1100</v>
      </c>
      <c r="C714" s="209" t="s">
        <v>529</v>
      </c>
      <c r="D714" s="265">
        <v>41792.699999999997</v>
      </c>
      <c r="E714" s="265">
        <v>41792.699999999997</v>
      </c>
      <c r="F714" s="265">
        <f t="shared" si="43"/>
        <v>0</v>
      </c>
      <c r="G714" s="226">
        <v>41792.699999999997</v>
      </c>
      <c r="H714" s="226">
        <v>41792.699999999997</v>
      </c>
      <c r="I714" s="265">
        <f t="shared" si="44"/>
        <v>0</v>
      </c>
    </row>
    <row r="715" spans="1:9" ht="22.5" x14ac:dyDescent="0.2">
      <c r="A715" s="202" t="s">
        <v>1099</v>
      </c>
      <c r="B715" s="209" t="s">
        <v>1098</v>
      </c>
      <c r="C715" s="209"/>
      <c r="D715" s="265">
        <v>9581</v>
      </c>
      <c r="E715" s="265">
        <v>9581</v>
      </c>
      <c r="F715" s="265">
        <f t="shared" si="43"/>
        <v>0</v>
      </c>
      <c r="G715" s="226">
        <v>9581</v>
      </c>
      <c r="H715" s="226">
        <v>9581</v>
      </c>
      <c r="I715" s="265">
        <f t="shared" si="44"/>
        <v>0</v>
      </c>
    </row>
    <row r="716" spans="1:9" ht="22.5" x14ac:dyDescent="0.2">
      <c r="A716" s="202" t="s">
        <v>1348</v>
      </c>
      <c r="B716" s="209" t="s">
        <v>1098</v>
      </c>
      <c r="C716" s="209" t="s">
        <v>556</v>
      </c>
      <c r="D716" s="265">
        <v>5217.3</v>
      </c>
      <c r="E716" s="265">
        <v>5217.3</v>
      </c>
      <c r="F716" s="265">
        <f t="shared" si="43"/>
        <v>0</v>
      </c>
      <c r="G716" s="226">
        <v>5217.3</v>
      </c>
      <c r="H716" s="226">
        <v>5217.3</v>
      </c>
      <c r="I716" s="265">
        <f t="shared" si="44"/>
        <v>0</v>
      </c>
    </row>
    <row r="717" spans="1:9" x14ac:dyDescent="0.2">
      <c r="A717" s="202" t="s">
        <v>555</v>
      </c>
      <c r="B717" s="209" t="s">
        <v>1098</v>
      </c>
      <c r="C717" s="209" t="s">
        <v>554</v>
      </c>
      <c r="D717" s="265">
        <v>5217.3</v>
      </c>
      <c r="E717" s="265">
        <v>5217.3</v>
      </c>
      <c r="F717" s="265">
        <f t="shared" si="43"/>
        <v>0</v>
      </c>
      <c r="G717" s="226">
        <v>5217.3</v>
      </c>
      <c r="H717" s="226">
        <v>5217.3</v>
      </c>
      <c r="I717" s="265">
        <f t="shared" si="44"/>
        <v>0</v>
      </c>
    </row>
    <row r="718" spans="1:9" x14ac:dyDescent="0.2">
      <c r="A718" s="202" t="s">
        <v>1347</v>
      </c>
      <c r="B718" s="209" t="s">
        <v>1098</v>
      </c>
      <c r="C718" s="209" t="s">
        <v>535</v>
      </c>
      <c r="D718" s="265">
        <v>4263.7</v>
      </c>
      <c r="E718" s="265">
        <v>4263.7</v>
      </c>
      <c r="F718" s="265">
        <f t="shared" si="43"/>
        <v>0</v>
      </c>
      <c r="G718" s="226">
        <v>4263.7</v>
      </c>
      <c r="H718" s="226">
        <v>4263.7</v>
      </c>
      <c r="I718" s="265">
        <f t="shared" si="44"/>
        <v>0</v>
      </c>
    </row>
    <row r="719" spans="1:9" x14ac:dyDescent="0.2">
      <c r="A719" s="202" t="s">
        <v>534</v>
      </c>
      <c r="B719" s="209" t="s">
        <v>1098</v>
      </c>
      <c r="C719" s="209" t="s">
        <v>529</v>
      </c>
      <c r="D719" s="265">
        <v>4263.7</v>
      </c>
      <c r="E719" s="265">
        <v>4263.7</v>
      </c>
      <c r="F719" s="265">
        <f t="shared" si="43"/>
        <v>0</v>
      </c>
      <c r="G719" s="226">
        <v>4263.7</v>
      </c>
      <c r="H719" s="226">
        <v>4263.7</v>
      </c>
      <c r="I719" s="265">
        <f t="shared" si="44"/>
        <v>0</v>
      </c>
    </row>
    <row r="720" spans="1:9" x14ac:dyDescent="0.2">
      <c r="A720" s="202" t="s">
        <v>615</v>
      </c>
      <c r="B720" s="209" t="s">
        <v>1098</v>
      </c>
      <c r="C720" s="209" t="s">
        <v>509</v>
      </c>
      <c r="D720" s="265">
        <v>100</v>
      </c>
      <c r="E720" s="265">
        <v>100</v>
      </c>
      <c r="F720" s="265">
        <f t="shared" si="43"/>
        <v>0</v>
      </c>
      <c r="G720" s="226">
        <v>100</v>
      </c>
      <c r="H720" s="226">
        <v>100</v>
      </c>
      <c r="I720" s="265">
        <f t="shared" si="44"/>
        <v>0</v>
      </c>
    </row>
    <row r="721" spans="1:9" x14ac:dyDescent="0.2">
      <c r="A721" s="202" t="s">
        <v>614</v>
      </c>
      <c r="B721" s="209" t="s">
        <v>1098</v>
      </c>
      <c r="C721" s="209" t="s">
        <v>613</v>
      </c>
      <c r="D721" s="265">
        <v>100</v>
      </c>
      <c r="E721" s="265">
        <v>100</v>
      </c>
      <c r="F721" s="265">
        <f t="shared" si="43"/>
        <v>0</v>
      </c>
      <c r="G721" s="226">
        <v>100</v>
      </c>
      <c r="H721" s="226">
        <v>100</v>
      </c>
      <c r="I721" s="265">
        <f t="shared" si="44"/>
        <v>0</v>
      </c>
    </row>
    <row r="722" spans="1:9" x14ac:dyDescent="0.2">
      <c r="A722" s="202" t="s">
        <v>1097</v>
      </c>
      <c r="B722" s="209" t="s">
        <v>1096</v>
      </c>
      <c r="C722" s="209"/>
      <c r="D722" s="265">
        <v>50</v>
      </c>
      <c r="E722" s="265">
        <v>50</v>
      </c>
      <c r="F722" s="265">
        <f t="shared" si="43"/>
        <v>0</v>
      </c>
      <c r="G722" s="226">
        <v>50</v>
      </c>
      <c r="H722" s="226">
        <v>50</v>
      </c>
      <c r="I722" s="265">
        <f t="shared" si="44"/>
        <v>0</v>
      </c>
    </row>
    <row r="723" spans="1:9" x14ac:dyDescent="0.2">
      <c r="A723" s="202" t="s">
        <v>1347</v>
      </c>
      <c r="B723" s="209" t="s">
        <v>1096</v>
      </c>
      <c r="C723" s="209" t="s">
        <v>535</v>
      </c>
      <c r="D723" s="265">
        <v>50</v>
      </c>
      <c r="E723" s="265">
        <v>50</v>
      </c>
      <c r="F723" s="265">
        <f t="shared" si="43"/>
        <v>0</v>
      </c>
      <c r="G723" s="226">
        <v>50</v>
      </c>
      <c r="H723" s="226">
        <v>50</v>
      </c>
      <c r="I723" s="265">
        <f t="shared" si="44"/>
        <v>0</v>
      </c>
    </row>
    <row r="724" spans="1:9" x14ac:dyDescent="0.2">
      <c r="A724" s="202" t="s">
        <v>534</v>
      </c>
      <c r="B724" s="209" t="s">
        <v>1096</v>
      </c>
      <c r="C724" s="209" t="s">
        <v>529</v>
      </c>
      <c r="D724" s="265">
        <v>50</v>
      </c>
      <c r="E724" s="265">
        <v>50</v>
      </c>
      <c r="F724" s="265">
        <f t="shared" si="43"/>
        <v>0</v>
      </c>
      <c r="G724" s="226">
        <v>50</v>
      </c>
      <c r="H724" s="226">
        <v>50</v>
      </c>
      <c r="I724" s="265">
        <f t="shared" si="44"/>
        <v>0</v>
      </c>
    </row>
    <row r="725" spans="1:9" x14ac:dyDescent="0.2">
      <c r="A725" s="202" t="s">
        <v>1095</v>
      </c>
      <c r="B725" s="209" t="s">
        <v>1094</v>
      </c>
      <c r="C725" s="209"/>
      <c r="D725" s="265">
        <v>50</v>
      </c>
      <c r="E725" s="265">
        <v>50</v>
      </c>
      <c r="F725" s="265">
        <f t="shared" si="43"/>
        <v>0</v>
      </c>
      <c r="G725" s="226">
        <v>50</v>
      </c>
      <c r="H725" s="226">
        <v>50</v>
      </c>
      <c r="I725" s="265">
        <f t="shared" si="44"/>
        <v>0</v>
      </c>
    </row>
    <row r="726" spans="1:9" x14ac:dyDescent="0.2">
      <c r="A726" s="202" t="s">
        <v>1347</v>
      </c>
      <c r="B726" s="209" t="s">
        <v>1094</v>
      </c>
      <c r="C726" s="209" t="s">
        <v>535</v>
      </c>
      <c r="D726" s="265">
        <v>50</v>
      </c>
      <c r="E726" s="265">
        <v>50</v>
      </c>
      <c r="F726" s="265">
        <f t="shared" si="43"/>
        <v>0</v>
      </c>
      <c r="G726" s="226">
        <v>50</v>
      </c>
      <c r="H726" s="226">
        <v>50</v>
      </c>
      <c r="I726" s="265">
        <f t="shared" si="44"/>
        <v>0</v>
      </c>
    </row>
    <row r="727" spans="1:9" x14ac:dyDescent="0.2">
      <c r="A727" s="202" t="s">
        <v>534</v>
      </c>
      <c r="B727" s="209" t="s">
        <v>1094</v>
      </c>
      <c r="C727" s="209" t="s">
        <v>529</v>
      </c>
      <c r="D727" s="265">
        <v>50</v>
      </c>
      <c r="E727" s="265">
        <v>50</v>
      </c>
      <c r="F727" s="265">
        <f t="shared" si="43"/>
        <v>0</v>
      </c>
      <c r="G727" s="226">
        <v>50</v>
      </c>
      <c r="H727" s="226">
        <v>50</v>
      </c>
      <c r="I727" s="265">
        <f t="shared" si="44"/>
        <v>0</v>
      </c>
    </row>
    <row r="728" spans="1:9" x14ac:dyDescent="0.2">
      <c r="A728" s="202" t="s">
        <v>1093</v>
      </c>
      <c r="B728" s="209" t="s">
        <v>1092</v>
      </c>
      <c r="C728" s="209"/>
      <c r="D728" s="265">
        <v>7430</v>
      </c>
      <c r="E728" s="265">
        <v>7430</v>
      </c>
      <c r="F728" s="265">
        <f t="shared" si="43"/>
        <v>0</v>
      </c>
      <c r="G728" s="226">
        <v>7430</v>
      </c>
      <c r="H728" s="226">
        <v>7430</v>
      </c>
      <c r="I728" s="265">
        <f t="shared" si="44"/>
        <v>0</v>
      </c>
    </row>
    <row r="729" spans="1:9" x14ac:dyDescent="0.2">
      <c r="A729" s="202" t="s">
        <v>1347</v>
      </c>
      <c r="B729" s="209" t="s">
        <v>1092</v>
      </c>
      <c r="C729" s="209" t="s">
        <v>535</v>
      </c>
      <c r="D729" s="265">
        <v>7430</v>
      </c>
      <c r="E729" s="265">
        <v>7430</v>
      </c>
      <c r="F729" s="265">
        <f t="shared" si="43"/>
        <v>0</v>
      </c>
      <c r="G729" s="226">
        <v>7430</v>
      </c>
      <c r="H729" s="226">
        <v>7430</v>
      </c>
      <c r="I729" s="265">
        <f t="shared" si="44"/>
        <v>0</v>
      </c>
    </row>
    <row r="730" spans="1:9" x14ac:dyDescent="0.2">
      <c r="A730" s="202" t="s">
        <v>534</v>
      </c>
      <c r="B730" s="209" t="s">
        <v>1092</v>
      </c>
      <c r="C730" s="209" t="s">
        <v>529</v>
      </c>
      <c r="D730" s="265">
        <v>7430</v>
      </c>
      <c r="E730" s="265">
        <v>7430</v>
      </c>
      <c r="F730" s="265">
        <f t="shared" si="43"/>
        <v>0</v>
      </c>
      <c r="G730" s="226">
        <v>7430</v>
      </c>
      <c r="H730" s="226">
        <v>7430</v>
      </c>
      <c r="I730" s="265">
        <f t="shared" si="44"/>
        <v>0</v>
      </c>
    </row>
    <row r="731" spans="1:9" x14ac:dyDescent="0.2">
      <c r="A731" s="202" t="s">
        <v>1546</v>
      </c>
      <c r="B731" s="209" t="s">
        <v>1091</v>
      </c>
      <c r="C731" s="209"/>
      <c r="D731" s="265">
        <v>660</v>
      </c>
      <c r="E731" s="265">
        <f>E732</f>
        <v>660</v>
      </c>
      <c r="F731" s="265">
        <f t="shared" si="43"/>
        <v>0</v>
      </c>
      <c r="G731" s="226">
        <v>660</v>
      </c>
      <c r="H731" s="226">
        <f>H732</f>
        <v>660</v>
      </c>
      <c r="I731" s="265">
        <f t="shared" si="44"/>
        <v>0</v>
      </c>
    </row>
    <row r="732" spans="1:9" s="406" customFormat="1" x14ac:dyDescent="0.2">
      <c r="A732" s="202" t="s">
        <v>547</v>
      </c>
      <c r="B732" s="209" t="s">
        <v>1091</v>
      </c>
      <c r="C732" s="209">
        <v>600</v>
      </c>
      <c r="D732" s="265">
        <v>660</v>
      </c>
      <c r="E732" s="265">
        <f>E733</f>
        <v>660</v>
      </c>
      <c r="F732" s="265">
        <f t="shared" si="43"/>
        <v>0</v>
      </c>
      <c r="G732" s="226">
        <v>660</v>
      </c>
      <c r="H732" s="226">
        <f>H733</f>
        <v>660</v>
      </c>
      <c r="I732" s="265">
        <f t="shared" si="44"/>
        <v>0</v>
      </c>
    </row>
    <row r="733" spans="1:9" s="406" customFormat="1" x14ac:dyDescent="0.2">
      <c r="A733" s="202" t="s">
        <v>571</v>
      </c>
      <c r="B733" s="209" t="s">
        <v>1091</v>
      </c>
      <c r="C733" s="209">
        <v>610</v>
      </c>
      <c r="D733" s="265">
        <v>660</v>
      </c>
      <c r="E733" s="265">
        <f>'Функциональная 2021-2022'!H408</f>
        <v>660</v>
      </c>
      <c r="F733" s="265">
        <f t="shared" si="43"/>
        <v>0</v>
      </c>
      <c r="G733" s="226">
        <v>660</v>
      </c>
      <c r="H733" s="226">
        <f>'Функциональная 2021-2022'!N408</f>
        <v>660</v>
      </c>
      <c r="I733" s="265">
        <f t="shared" si="44"/>
        <v>0</v>
      </c>
    </row>
    <row r="734" spans="1:9" x14ac:dyDescent="0.2">
      <c r="A734" s="202" t="s">
        <v>1090</v>
      </c>
      <c r="B734" s="209" t="s">
        <v>1089</v>
      </c>
      <c r="C734" s="209"/>
      <c r="D734" s="265">
        <v>70</v>
      </c>
      <c r="E734" s="265">
        <v>70</v>
      </c>
      <c r="F734" s="265">
        <f t="shared" si="43"/>
        <v>0</v>
      </c>
      <c r="G734" s="226">
        <v>70</v>
      </c>
      <c r="H734" s="226">
        <v>70</v>
      </c>
      <c r="I734" s="265">
        <f t="shared" si="44"/>
        <v>0</v>
      </c>
    </row>
    <row r="735" spans="1:9" x14ac:dyDescent="0.2">
      <c r="A735" s="202" t="s">
        <v>1347</v>
      </c>
      <c r="B735" s="209" t="s">
        <v>1089</v>
      </c>
      <c r="C735" s="209" t="s">
        <v>535</v>
      </c>
      <c r="D735" s="265">
        <v>70</v>
      </c>
      <c r="E735" s="265">
        <v>70</v>
      </c>
      <c r="F735" s="265">
        <f t="shared" si="43"/>
        <v>0</v>
      </c>
      <c r="G735" s="226">
        <v>70</v>
      </c>
      <c r="H735" s="226">
        <v>70</v>
      </c>
      <c r="I735" s="265">
        <f t="shared" si="44"/>
        <v>0</v>
      </c>
    </row>
    <row r="736" spans="1:9" x14ac:dyDescent="0.2">
      <c r="A736" s="202" t="s">
        <v>534</v>
      </c>
      <c r="B736" s="209" t="s">
        <v>1089</v>
      </c>
      <c r="C736" s="209" t="s">
        <v>529</v>
      </c>
      <c r="D736" s="265">
        <v>70</v>
      </c>
      <c r="E736" s="265">
        <v>70</v>
      </c>
      <c r="F736" s="265">
        <f t="shared" si="43"/>
        <v>0</v>
      </c>
      <c r="G736" s="226">
        <v>70</v>
      </c>
      <c r="H736" s="226">
        <v>70</v>
      </c>
      <c r="I736" s="265">
        <f t="shared" si="44"/>
        <v>0</v>
      </c>
    </row>
    <row r="737" spans="1:9" x14ac:dyDescent="0.2">
      <c r="A737" s="202" t="s">
        <v>1088</v>
      </c>
      <c r="B737" s="209" t="s">
        <v>1087</v>
      </c>
      <c r="C737" s="209"/>
      <c r="D737" s="265">
        <v>1250</v>
      </c>
      <c r="E737" s="265">
        <v>1250</v>
      </c>
      <c r="F737" s="265">
        <f t="shared" si="43"/>
        <v>0</v>
      </c>
      <c r="G737" s="226">
        <v>1250</v>
      </c>
      <c r="H737" s="226">
        <v>1250</v>
      </c>
      <c r="I737" s="265">
        <f t="shared" si="44"/>
        <v>0</v>
      </c>
    </row>
    <row r="738" spans="1:9" x14ac:dyDescent="0.2">
      <c r="A738" s="202" t="s">
        <v>547</v>
      </c>
      <c r="B738" s="209" t="s">
        <v>1087</v>
      </c>
      <c r="C738" s="209" t="s">
        <v>519</v>
      </c>
      <c r="D738" s="265">
        <v>1250</v>
      </c>
      <c r="E738" s="265">
        <v>1250</v>
      </c>
      <c r="F738" s="265">
        <f t="shared" si="43"/>
        <v>0</v>
      </c>
      <c r="G738" s="226">
        <v>1250</v>
      </c>
      <c r="H738" s="226">
        <v>1250</v>
      </c>
      <c r="I738" s="265">
        <f t="shared" si="44"/>
        <v>0</v>
      </c>
    </row>
    <row r="739" spans="1:9" x14ac:dyDescent="0.2">
      <c r="A739" s="202" t="s">
        <v>571</v>
      </c>
      <c r="B739" s="209" t="s">
        <v>1087</v>
      </c>
      <c r="C739" s="209" t="s">
        <v>522</v>
      </c>
      <c r="D739" s="265">
        <v>1250</v>
      </c>
      <c r="E739" s="265">
        <v>1250</v>
      </c>
      <c r="F739" s="265">
        <f t="shared" si="43"/>
        <v>0</v>
      </c>
      <c r="G739" s="226">
        <v>1250</v>
      </c>
      <c r="H739" s="226">
        <v>1250</v>
      </c>
      <c r="I739" s="265">
        <f t="shared" si="44"/>
        <v>0</v>
      </c>
    </row>
    <row r="740" spans="1:9" ht="22.5" x14ac:dyDescent="0.2">
      <c r="A740" s="202" t="s">
        <v>1086</v>
      </c>
      <c r="B740" s="209" t="s">
        <v>1085</v>
      </c>
      <c r="C740" s="209"/>
      <c r="D740" s="265">
        <v>14000</v>
      </c>
      <c r="E740" s="265">
        <v>14000</v>
      </c>
      <c r="F740" s="265">
        <f t="shared" si="43"/>
        <v>0</v>
      </c>
      <c r="G740" s="226">
        <v>18000</v>
      </c>
      <c r="H740" s="226">
        <v>18000</v>
      </c>
      <c r="I740" s="265">
        <f t="shared" si="44"/>
        <v>0</v>
      </c>
    </row>
    <row r="741" spans="1:9" x14ac:dyDescent="0.2">
      <c r="A741" s="202" t="s">
        <v>1347</v>
      </c>
      <c r="B741" s="209" t="s">
        <v>1085</v>
      </c>
      <c r="C741" s="209" t="s">
        <v>535</v>
      </c>
      <c r="D741" s="265">
        <v>14000</v>
      </c>
      <c r="E741" s="265">
        <v>14000</v>
      </c>
      <c r="F741" s="265">
        <f t="shared" si="43"/>
        <v>0</v>
      </c>
      <c r="G741" s="226">
        <v>18000</v>
      </c>
      <c r="H741" s="226">
        <v>18000</v>
      </c>
      <c r="I741" s="265">
        <f t="shared" si="44"/>
        <v>0</v>
      </c>
    </row>
    <row r="742" spans="1:9" x14ac:dyDescent="0.2">
      <c r="A742" s="202" t="s">
        <v>534</v>
      </c>
      <c r="B742" s="209" t="s">
        <v>1085</v>
      </c>
      <c r="C742" s="209" t="s">
        <v>529</v>
      </c>
      <c r="D742" s="265">
        <v>14000</v>
      </c>
      <c r="E742" s="265">
        <v>14000</v>
      </c>
      <c r="F742" s="265">
        <f t="shared" si="43"/>
        <v>0</v>
      </c>
      <c r="G742" s="226">
        <v>18000</v>
      </c>
      <c r="H742" s="226">
        <v>18000</v>
      </c>
      <c r="I742" s="265">
        <f t="shared" si="44"/>
        <v>0</v>
      </c>
    </row>
    <row r="743" spans="1:9" ht="22.5" x14ac:dyDescent="0.2">
      <c r="A743" s="202" t="s">
        <v>1084</v>
      </c>
      <c r="B743" s="209" t="s">
        <v>1083</v>
      </c>
      <c r="C743" s="209"/>
      <c r="D743" s="265">
        <v>65225</v>
      </c>
      <c r="E743" s="265">
        <v>65225</v>
      </c>
      <c r="F743" s="265">
        <f t="shared" si="43"/>
        <v>0</v>
      </c>
      <c r="G743" s="226">
        <v>73436</v>
      </c>
      <c r="H743" s="226">
        <v>73436</v>
      </c>
      <c r="I743" s="265">
        <f t="shared" si="44"/>
        <v>0</v>
      </c>
    </row>
    <row r="744" spans="1:9" x14ac:dyDescent="0.2">
      <c r="A744" s="202" t="s">
        <v>1347</v>
      </c>
      <c r="B744" s="209" t="s">
        <v>1083</v>
      </c>
      <c r="C744" s="209" t="s">
        <v>535</v>
      </c>
      <c r="D744" s="265">
        <v>65225</v>
      </c>
      <c r="E744" s="265">
        <v>65225</v>
      </c>
      <c r="F744" s="265">
        <f t="shared" si="43"/>
        <v>0</v>
      </c>
      <c r="G744" s="226">
        <v>73436</v>
      </c>
      <c r="H744" s="226">
        <v>73436</v>
      </c>
      <c r="I744" s="265">
        <f t="shared" si="44"/>
        <v>0</v>
      </c>
    </row>
    <row r="745" spans="1:9" x14ac:dyDescent="0.2">
      <c r="A745" s="202" t="s">
        <v>534</v>
      </c>
      <c r="B745" s="209" t="s">
        <v>1083</v>
      </c>
      <c r="C745" s="209" t="s">
        <v>529</v>
      </c>
      <c r="D745" s="265">
        <v>65225</v>
      </c>
      <c r="E745" s="265">
        <v>65225</v>
      </c>
      <c r="F745" s="265">
        <f t="shared" si="43"/>
        <v>0</v>
      </c>
      <c r="G745" s="226">
        <v>73436</v>
      </c>
      <c r="H745" s="226">
        <v>73436</v>
      </c>
      <c r="I745" s="265">
        <f t="shared" si="44"/>
        <v>0</v>
      </c>
    </row>
    <row r="746" spans="1:9" ht="22.5" x14ac:dyDescent="0.2">
      <c r="A746" s="202" t="s">
        <v>1082</v>
      </c>
      <c r="B746" s="209" t="s">
        <v>1081</v>
      </c>
      <c r="C746" s="209"/>
      <c r="D746" s="265">
        <v>30000</v>
      </c>
      <c r="E746" s="265">
        <v>30000</v>
      </c>
      <c r="F746" s="265">
        <f t="shared" si="43"/>
        <v>0</v>
      </c>
      <c r="G746" s="226">
        <v>20000</v>
      </c>
      <c r="H746" s="226">
        <v>20000</v>
      </c>
      <c r="I746" s="265">
        <f t="shared" si="44"/>
        <v>0</v>
      </c>
    </row>
    <row r="747" spans="1:9" x14ac:dyDescent="0.2">
      <c r="A747" s="202" t="s">
        <v>1347</v>
      </c>
      <c r="B747" s="209" t="s">
        <v>1081</v>
      </c>
      <c r="C747" s="209" t="s">
        <v>535</v>
      </c>
      <c r="D747" s="265">
        <v>30000</v>
      </c>
      <c r="E747" s="265">
        <v>30000</v>
      </c>
      <c r="F747" s="265">
        <f t="shared" si="43"/>
        <v>0</v>
      </c>
      <c r="G747" s="226">
        <v>20000</v>
      </c>
      <c r="H747" s="226">
        <v>20000</v>
      </c>
      <c r="I747" s="265">
        <f t="shared" si="44"/>
        <v>0</v>
      </c>
    </row>
    <row r="748" spans="1:9" x14ac:dyDescent="0.2">
      <c r="A748" s="202" t="s">
        <v>534</v>
      </c>
      <c r="B748" s="209" t="s">
        <v>1081</v>
      </c>
      <c r="C748" s="209" t="s">
        <v>529</v>
      </c>
      <c r="D748" s="265">
        <v>30000</v>
      </c>
      <c r="E748" s="265">
        <v>30000</v>
      </c>
      <c r="F748" s="265">
        <f t="shared" si="43"/>
        <v>0</v>
      </c>
      <c r="G748" s="226">
        <v>20000</v>
      </c>
      <c r="H748" s="226">
        <v>20000</v>
      </c>
      <c r="I748" s="265">
        <f t="shared" si="44"/>
        <v>0</v>
      </c>
    </row>
    <row r="749" spans="1:9" x14ac:dyDescent="0.2">
      <c r="A749" s="199" t="s">
        <v>742</v>
      </c>
      <c r="B749" s="212" t="s">
        <v>741</v>
      </c>
      <c r="C749" s="212"/>
      <c r="D749" s="263">
        <v>254844.90000000002</v>
      </c>
      <c r="E749" s="263">
        <f>E750+E755</f>
        <v>254844.90000000002</v>
      </c>
      <c r="F749" s="282">
        <f t="shared" si="43"/>
        <v>0</v>
      </c>
      <c r="G749" s="205">
        <v>283850.59999999998</v>
      </c>
      <c r="H749" s="205">
        <f>H750+H755</f>
        <v>283850.59999999998</v>
      </c>
      <c r="I749" s="282">
        <f t="shared" si="44"/>
        <v>0</v>
      </c>
    </row>
    <row r="750" spans="1:9" ht="33.75" x14ac:dyDescent="0.2">
      <c r="A750" s="199" t="s">
        <v>1219</v>
      </c>
      <c r="B750" s="212" t="s">
        <v>1218</v>
      </c>
      <c r="C750" s="212"/>
      <c r="D750" s="263">
        <v>206413.2</v>
      </c>
      <c r="E750" s="263">
        <v>206413.2</v>
      </c>
      <c r="F750" s="263">
        <f t="shared" si="43"/>
        <v>0</v>
      </c>
      <c r="G750" s="205">
        <v>206413.2</v>
      </c>
      <c r="H750" s="205">
        <v>206413.2</v>
      </c>
      <c r="I750" s="263">
        <f t="shared" si="44"/>
        <v>0</v>
      </c>
    </row>
    <row r="751" spans="1:9" ht="22.5" x14ac:dyDescent="0.2">
      <c r="A751" s="199" t="s">
        <v>1217</v>
      </c>
      <c r="B751" s="212" t="s">
        <v>1216</v>
      </c>
      <c r="C751" s="212"/>
      <c r="D751" s="263">
        <v>206413.2</v>
      </c>
      <c r="E751" s="263">
        <v>206413.2</v>
      </c>
      <c r="F751" s="263">
        <f t="shared" si="43"/>
        <v>0</v>
      </c>
      <c r="G751" s="205">
        <v>206413.2</v>
      </c>
      <c r="H751" s="205">
        <v>206413.2</v>
      </c>
      <c r="I751" s="263">
        <f t="shared" si="44"/>
        <v>0</v>
      </c>
    </row>
    <row r="752" spans="1:9" ht="45" x14ac:dyDescent="0.2">
      <c r="A752" s="202" t="s">
        <v>1215</v>
      </c>
      <c r="B752" s="209" t="s">
        <v>1214</v>
      </c>
      <c r="C752" s="209"/>
      <c r="D752" s="265">
        <v>206413.2</v>
      </c>
      <c r="E752" s="265">
        <v>206413.2</v>
      </c>
      <c r="F752" s="265">
        <f t="shared" si="43"/>
        <v>0</v>
      </c>
      <c r="G752" s="226">
        <v>206413.2</v>
      </c>
      <c r="H752" s="226">
        <v>206413.2</v>
      </c>
      <c r="I752" s="265">
        <f t="shared" si="44"/>
        <v>0</v>
      </c>
    </row>
    <row r="753" spans="1:9" x14ac:dyDescent="0.2">
      <c r="A753" s="202" t="s">
        <v>547</v>
      </c>
      <c r="B753" s="209" t="s">
        <v>1214</v>
      </c>
      <c r="C753" s="209" t="s">
        <v>519</v>
      </c>
      <c r="D753" s="265">
        <v>206413.2</v>
      </c>
      <c r="E753" s="265">
        <v>206413.2</v>
      </c>
      <c r="F753" s="265">
        <f t="shared" si="43"/>
        <v>0</v>
      </c>
      <c r="G753" s="226">
        <v>206413.2</v>
      </c>
      <c r="H753" s="226">
        <v>206413.2</v>
      </c>
      <c r="I753" s="265">
        <f t="shared" si="44"/>
        <v>0</v>
      </c>
    </row>
    <row r="754" spans="1:9" x14ac:dyDescent="0.2">
      <c r="A754" s="202" t="s">
        <v>571</v>
      </c>
      <c r="B754" s="209" t="s">
        <v>1214</v>
      </c>
      <c r="C754" s="209" t="s">
        <v>522</v>
      </c>
      <c r="D754" s="265">
        <v>206413.2</v>
      </c>
      <c r="E754" s="265">
        <v>206413.2</v>
      </c>
      <c r="F754" s="265">
        <f t="shared" si="43"/>
        <v>0</v>
      </c>
      <c r="G754" s="226">
        <v>206413.2</v>
      </c>
      <c r="H754" s="226">
        <v>206413.2</v>
      </c>
      <c r="I754" s="265">
        <f t="shared" si="44"/>
        <v>0</v>
      </c>
    </row>
    <row r="755" spans="1:9" ht="22.5" x14ac:dyDescent="0.2">
      <c r="A755" s="199" t="s">
        <v>740</v>
      </c>
      <c r="B755" s="212" t="s">
        <v>739</v>
      </c>
      <c r="C755" s="212"/>
      <c r="D755" s="263">
        <v>48431.7</v>
      </c>
      <c r="E755" s="263">
        <f>E756+E760+E764+E771+E775</f>
        <v>48431.7</v>
      </c>
      <c r="F755" s="282">
        <f t="shared" si="43"/>
        <v>0</v>
      </c>
      <c r="G755" s="205">
        <v>77437.399999999994</v>
      </c>
      <c r="H755" s="205">
        <f>H756+H760+H764+H771+H775</f>
        <v>77437.399999999994</v>
      </c>
      <c r="I755" s="282">
        <f t="shared" si="44"/>
        <v>0</v>
      </c>
    </row>
    <row r="756" spans="1:9" x14ac:dyDescent="0.2">
      <c r="A756" s="199" t="s">
        <v>786</v>
      </c>
      <c r="B756" s="212" t="s">
        <v>785</v>
      </c>
      <c r="C756" s="212"/>
      <c r="D756" s="263">
        <v>14331.1</v>
      </c>
      <c r="E756" s="263">
        <v>14331.1</v>
      </c>
      <c r="F756" s="263">
        <f t="shared" si="43"/>
        <v>0</v>
      </c>
      <c r="G756" s="205">
        <v>22800</v>
      </c>
      <c r="H756" s="205">
        <v>22800</v>
      </c>
      <c r="I756" s="263">
        <f t="shared" si="44"/>
        <v>0</v>
      </c>
    </row>
    <row r="757" spans="1:9" x14ac:dyDescent="0.2">
      <c r="A757" s="202" t="s">
        <v>1080</v>
      </c>
      <c r="B757" s="209" t="s">
        <v>1079</v>
      </c>
      <c r="C757" s="209"/>
      <c r="D757" s="265">
        <v>14331.1</v>
      </c>
      <c r="E757" s="265">
        <v>14331.1</v>
      </c>
      <c r="F757" s="265">
        <f t="shared" si="43"/>
        <v>0</v>
      </c>
      <c r="G757" s="226">
        <v>22800</v>
      </c>
      <c r="H757" s="226">
        <v>22800</v>
      </c>
      <c r="I757" s="265">
        <f t="shared" si="44"/>
        <v>0</v>
      </c>
    </row>
    <row r="758" spans="1:9" x14ac:dyDescent="0.2">
      <c r="A758" s="202" t="s">
        <v>1347</v>
      </c>
      <c r="B758" s="209" t="s">
        <v>1079</v>
      </c>
      <c r="C758" s="209" t="s">
        <v>535</v>
      </c>
      <c r="D758" s="265">
        <v>14331.1</v>
      </c>
      <c r="E758" s="265">
        <v>14331.1</v>
      </c>
      <c r="F758" s="265">
        <f t="shared" si="43"/>
        <v>0</v>
      </c>
      <c r="G758" s="226">
        <v>22800</v>
      </c>
      <c r="H758" s="226">
        <v>22800</v>
      </c>
      <c r="I758" s="265">
        <f t="shared" si="44"/>
        <v>0</v>
      </c>
    </row>
    <row r="759" spans="1:9" x14ac:dyDescent="0.2">
      <c r="A759" s="202" t="s">
        <v>534</v>
      </c>
      <c r="B759" s="209" t="s">
        <v>1079</v>
      </c>
      <c r="C759" s="209" t="s">
        <v>529</v>
      </c>
      <c r="D759" s="265">
        <v>14331.1</v>
      </c>
      <c r="E759" s="265">
        <v>14331.1</v>
      </c>
      <c r="F759" s="265">
        <f t="shared" si="43"/>
        <v>0</v>
      </c>
      <c r="G759" s="226">
        <v>22800</v>
      </c>
      <c r="H759" s="226">
        <v>22800</v>
      </c>
      <c r="I759" s="265">
        <f t="shared" si="44"/>
        <v>0</v>
      </c>
    </row>
    <row r="760" spans="1:9" x14ac:dyDescent="0.2">
      <c r="A760" s="199" t="s">
        <v>1078</v>
      </c>
      <c r="B760" s="212" t="s">
        <v>1077</v>
      </c>
      <c r="C760" s="212"/>
      <c r="D760" s="263">
        <v>200</v>
      </c>
      <c r="E760" s="263">
        <v>200</v>
      </c>
      <c r="F760" s="263">
        <f t="shared" si="43"/>
        <v>0</v>
      </c>
      <c r="G760" s="205">
        <v>710</v>
      </c>
      <c r="H760" s="205">
        <v>710</v>
      </c>
      <c r="I760" s="263">
        <f t="shared" si="44"/>
        <v>0</v>
      </c>
    </row>
    <row r="761" spans="1:9" x14ac:dyDescent="0.2">
      <c r="A761" s="202" t="s">
        <v>1076</v>
      </c>
      <c r="B761" s="209" t="s">
        <v>1075</v>
      </c>
      <c r="C761" s="209"/>
      <c r="D761" s="265">
        <v>200</v>
      </c>
      <c r="E761" s="265">
        <v>200</v>
      </c>
      <c r="F761" s="265">
        <f t="shared" si="43"/>
        <v>0</v>
      </c>
      <c r="G761" s="226">
        <v>710</v>
      </c>
      <c r="H761" s="226">
        <v>710</v>
      </c>
      <c r="I761" s="265">
        <f t="shared" si="44"/>
        <v>0</v>
      </c>
    </row>
    <row r="762" spans="1:9" x14ac:dyDescent="0.2">
      <c r="A762" s="202" t="s">
        <v>1347</v>
      </c>
      <c r="B762" s="209" t="s">
        <v>1075</v>
      </c>
      <c r="C762" s="209" t="s">
        <v>535</v>
      </c>
      <c r="D762" s="265">
        <v>200</v>
      </c>
      <c r="E762" s="265">
        <v>200</v>
      </c>
      <c r="F762" s="265">
        <f t="shared" si="43"/>
        <v>0</v>
      </c>
      <c r="G762" s="226">
        <v>710</v>
      </c>
      <c r="H762" s="226">
        <v>710</v>
      </c>
      <c r="I762" s="265">
        <f t="shared" si="44"/>
        <v>0</v>
      </c>
    </row>
    <row r="763" spans="1:9" x14ac:dyDescent="0.2">
      <c r="A763" s="202" t="s">
        <v>534</v>
      </c>
      <c r="B763" s="209" t="s">
        <v>1075</v>
      </c>
      <c r="C763" s="209" t="s">
        <v>529</v>
      </c>
      <c r="D763" s="265">
        <v>200</v>
      </c>
      <c r="E763" s="265">
        <v>200</v>
      </c>
      <c r="F763" s="265">
        <f t="shared" si="43"/>
        <v>0</v>
      </c>
      <c r="G763" s="226">
        <v>710</v>
      </c>
      <c r="H763" s="226">
        <v>710</v>
      </c>
      <c r="I763" s="265">
        <f t="shared" si="44"/>
        <v>0</v>
      </c>
    </row>
    <row r="764" spans="1:9" x14ac:dyDescent="0.2">
      <c r="A764" s="199" t="s">
        <v>1074</v>
      </c>
      <c r="B764" s="212" t="s">
        <v>1073</v>
      </c>
      <c r="C764" s="212"/>
      <c r="D764" s="263">
        <v>24415.599999999999</v>
      </c>
      <c r="E764" s="263">
        <v>24415.599999999999</v>
      </c>
      <c r="F764" s="263">
        <f t="shared" si="43"/>
        <v>0</v>
      </c>
      <c r="G764" s="205">
        <v>27159.4</v>
      </c>
      <c r="H764" s="205">
        <v>27159.4</v>
      </c>
      <c r="I764" s="263">
        <f t="shared" si="44"/>
        <v>0</v>
      </c>
    </row>
    <row r="765" spans="1:9" x14ac:dyDescent="0.2">
      <c r="A765" s="202" t="s">
        <v>1072</v>
      </c>
      <c r="B765" s="209" t="s">
        <v>1071</v>
      </c>
      <c r="C765" s="209"/>
      <c r="D765" s="265">
        <v>5491.6</v>
      </c>
      <c r="E765" s="265">
        <v>5491.6</v>
      </c>
      <c r="F765" s="265">
        <f t="shared" si="43"/>
        <v>0</v>
      </c>
      <c r="G765" s="226">
        <v>13578</v>
      </c>
      <c r="H765" s="226">
        <v>13578</v>
      </c>
      <c r="I765" s="265">
        <f t="shared" si="44"/>
        <v>0</v>
      </c>
    </row>
    <row r="766" spans="1:9" x14ac:dyDescent="0.2">
      <c r="A766" s="202" t="s">
        <v>1347</v>
      </c>
      <c r="B766" s="209" t="s">
        <v>1071</v>
      </c>
      <c r="C766" s="209" t="s">
        <v>535</v>
      </c>
      <c r="D766" s="265">
        <v>5491.6</v>
      </c>
      <c r="E766" s="265">
        <v>5491.6</v>
      </c>
      <c r="F766" s="265">
        <f t="shared" ref="F766:F835" si="45">E766-D766</f>
        <v>0</v>
      </c>
      <c r="G766" s="226">
        <v>13578</v>
      </c>
      <c r="H766" s="226">
        <v>13578</v>
      </c>
      <c r="I766" s="265">
        <f t="shared" ref="I766:I835" si="46">H766-G766</f>
        <v>0</v>
      </c>
    </row>
    <row r="767" spans="1:9" x14ac:dyDescent="0.2">
      <c r="A767" s="202" t="s">
        <v>534</v>
      </c>
      <c r="B767" s="209" t="s">
        <v>1071</v>
      </c>
      <c r="C767" s="209" t="s">
        <v>529</v>
      </c>
      <c r="D767" s="265">
        <v>5491.6</v>
      </c>
      <c r="E767" s="265">
        <v>5491.6</v>
      </c>
      <c r="F767" s="265">
        <f t="shared" si="45"/>
        <v>0</v>
      </c>
      <c r="G767" s="226">
        <v>13578</v>
      </c>
      <c r="H767" s="226">
        <v>13578</v>
      </c>
      <c r="I767" s="265">
        <f t="shared" si="46"/>
        <v>0</v>
      </c>
    </row>
    <row r="768" spans="1:9" x14ac:dyDescent="0.2">
      <c r="A768" s="202" t="s">
        <v>1352</v>
      </c>
      <c r="B768" s="209" t="s">
        <v>1070</v>
      </c>
      <c r="C768" s="209"/>
      <c r="D768" s="265">
        <v>18924</v>
      </c>
      <c r="E768" s="265">
        <v>18924</v>
      </c>
      <c r="F768" s="265">
        <f t="shared" si="45"/>
        <v>0</v>
      </c>
      <c r="G768" s="226">
        <v>13581.4</v>
      </c>
      <c r="H768" s="226">
        <v>13581.4</v>
      </c>
      <c r="I768" s="265">
        <f t="shared" si="46"/>
        <v>0</v>
      </c>
    </row>
    <row r="769" spans="1:9" x14ac:dyDescent="0.2">
      <c r="A769" s="202" t="s">
        <v>547</v>
      </c>
      <c r="B769" s="209" t="s">
        <v>1070</v>
      </c>
      <c r="C769" s="209" t="s">
        <v>519</v>
      </c>
      <c r="D769" s="265">
        <v>18924</v>
      </c>
      <c r="E769" s="265">
        <v>18924</v>
      </c>
      <c r="F769" s="265">
        <f t="shared" si="45"/>
        <v>0</v>
      </c>
      <c r="G769" s="226">
        <v>13581.4</v>
      </c>
      <c r="H769" s="226">
        <v>13581.4</v>
      </c>
      <c r="I769" s="265">
        <f t="shared" si="46"/>
        <v>0</v>
      </c>
    </row>
    <row r="770" spans="1:9" x14ac:dyDescent="0.2">
      <c r="A770" s="202" t="s">
        <v>546</v>
      </c>
      <c r="B770" s="209" t="s">
        <v>1070</v>
      </c>
      <c r="C770" s="209" t="s">
        <v>544</v>
      </c>
      <c r="D770" s="265">
        <v>18924</v>
      </c>
      <c r="E770" s="265">
        <v>18924</v>
      </c>
      <c r="F770" s="265">
        <f t="shared" si="45"/>
        <v>0</v>
      </c>
      <c r="G770" s="226">
        <v>13581.4</v>
      </c>
      <c r="H770" s="226">
        <v>13581.4</v>
      </c>
      <c r="I770" s="265">
        <f t="shared" si="46"/>
        <v>0</v>
      </c>
    </row>
    <row r="771" spans="1:9" x14ac:dyDescent="0.2">
      <c r="A771" s="199" t="s">
        <v>1322</v>
      </c>
      <c r="B771" s="212" t="s">
        <v>1323</v>
      </c>
      <c r="C771" s="212"/>
      <c r="D771" s="263">
        <v>5300</v>
      </c>
      <c r="E771" s="263">
        <f>E772</f>
        <v>5300</v>
      </c>
      <c r="F771" s="282">
        <f t="shared" si="45"/>
        <v>0</v>
      </c>
      <c r="G771" s="205">
        <v>0</v>
      </c>
      <c r="H771" s="205">
        <f>H772</f>
        <v>0</v>
      </c>
      <c r="I771" s="282">
        <f t="shared" si="46"/>
        <v>0</v>
      </c>
    </row>
    <row r="772" spans="1:9" ht="33.75" x14ac:dyDescent="0.2">
      <c r="A772" s="202" t="s">
        <v>1324</v>
      </c>
      <c r="B772" s="209" t="s">
        <v>1325</v>
      </c>
      <c r="C772" s="209"/>
      <c r="D772" s="265">
        <v>5300</v>
      </c>
      <c r="E772" s="265">
        <f>E773</f>
        <v>5300</v>
      </c>
      <c r="F772" s="281">
        <f t="shared" si="45"/>
        <v>0</v>
      </c>
      <c r="G772" s="226">
        <v>0</v>
      </c>
      <c r="H772" s="226">
        <f>H773</f>
        <v>0</v>
      </c>
      <c r="I772" s="281">
        <f t="shared" si="46"/>
        <v>0</v>
      </c>
    </row>
    <row r="773" spans="1:9" x14ac:dyDescent="0.2">
      <c r="A773" s="202" t="s">
        <v>547</v>
      </c>
      <c r="B773" s="209" t="s">
        <v>1325</v>
      </c>
      <c r="C773" s="209" t="s">
        <v>519</v>
      </c>
      <c r="D773" s="265">
        <v>5300</v>
      </c>
      <c r="E773" s="265">
        <f>E774</f>
        <v>5300</v>
      </c>
      <c r="F773" s="281">
        <f t="shared" si="45"/>
        <v>0</v>
      </c>
      <c r="G773" s="226">
        <v>0</v>
      </c>
      <c r="H773" s="226">
        <f>H774</f>
        <v>0</v>
      </c>
      <c r="I773" s="281">
        <f t="shared" si="46"/>
        <v>0</v>
      </c>
    </row>
    <row r="774" spans="1:9" x14ac:dyDescent="0.2">
      <c r="A774" s="202" t="s">
        <v>571</v>
      </c>
      <c r="B774" s="209" t="s">
        <v>1325</v>
      </c>
      <c r="C774" s="209" t="s">
        <v>522</v>
      </c>
      <c r="D774" s="265">
        <v>5300</v>
      </c>
      <c r="E774" s="265">
        <f>'Функциональная 2021-2022'!H445</f>
        <v>5300</v>
      </c>
      <c r="F774" s="281">
        <f t="shared" si="45"/>
        <v>0</v>
      </c>
      <c r="G774" s="226">
        <v>0</v>
      </c>
      <c r="H774" s="226">
        <f>'Функциональная 2021-2022'!N445</f>
        <v>0</v>
      </c>
      <c r="I774" s="281">
        <f t="shared" si="46"/>
        <v>0</v>
      </c>
    </row>
    <row r="775" spans="1:9" x14ac:dyDescent="0.2">
      <c r="A775" s="199" t="s">
        <v>738</v>
      </c>
      <c r="B775" s="212" t="s">
        <v>737</v>
      </c>
      <c r="C775" s="212"/>
      <c r="D775" s="263">
        <v>4185</v>
      </c>
      <c r="E775" s="263">
        <f>E776+E779+E782</f>
        <v>4185</v>
      </c>
      <c r="F775" s="380">
        <f t="shared" si="45"/>
        <v>0</v>
      </c>
      <c r="G775" s="205">
        <v>26768</v>
      </c>
      <c r="H775" s="205">
        <f>H776+H779+H782</f>
        <v>26768</v>
      </c>
      <c r="I775" s="282">
        <f t="shared" si="46"/>
        <v>0</v>
      </c>
    </row>
    <row r="776" spans="1:9" ht="22.5" x14ac:dyDescent="0.2">
      <c r="A776" s="202" t="s">
        <v>736</v>
      </c>
      <c r="B776" s="209" t="s">
        <v>735</v>
      </c>
      <c r="C776" s="209"/>
      <c r="D776" s="265">
        <v>2311</v>
      </c>
      <c r="E776" s="265">
        <f>E777</f>
        <v>2311</v>
      </c>
      <c r="F776" s="381">
        <f t="shared" si="45"/>
        <v>0</v>
      </c>
      <c r="G776" s="226">
        <v>0</v>
      </c>
      <c r="H776" s="226">
        <f>H777</f>
        <v>0</v>
      </c>
      <c r="I776" s="265">
        <f t="shared" si="46"/>
        <v>0</v>
      </c>
    </row>
    <row r="777" spans="1:9" s="304" customFormat="1" x14ac:dyDescent="0.2">
      <c r="A777" s="264" t="s">
        <v>1347</v>
      </c>
      <c r="B777" s="209" t="s">
        <v>735</v>
      </c>
      <c r="C777" s="209">
        <v>200</v>
      </c>
      <c r="D777" s="265">
        <v>2311</v>
      </c>
      <c r="E777" s="265">
        <f>E778</f>
        <v>2311</v>
      </c>
      <c r="F777" s="381">
        <f t="shared" si="45"/>
        <v>0</v>
      </c>
      <c r="G777" s="226">
        <v>0</v>
      </c>
      <c r="H777" s="226">
        <f>H778</f>
        <v>0</v>
      </c>
      <c r="I777" s="265">
        <f t="shared" si="46"/>
        <v>0</v>
      </c>
    </row>
    <row r="778" spans="1:9" s="304" customFormat="1" x14ac:dyDescent="0.2">
      <c r="A778" s="264" t="s">
        <v>534</v>
      </c>
      <c r="B778" s="209" t="s">
        <v>735</v>
      </c>
      <c r="C778" s="209">
        <v>240</v>
      </c>
      <c r="D778" s="265">
        <v>2311</v>
      </c>
      <c r="E778" s="265">
        <f>'Функциональная 2021-2022'!H449</f>
        <v>2311</v>
      </c>
      <c r="F778" s="381">
        <f t="shared" si="45"/>
        <v>0</v>
      </c>
      <c r="G778" s="226">
        <v>0</v>
      </c>
      <c r="H778" s="226">
        <f>'Функциональная 2021-2022'!N449</f>
        <v>0</v>
      </c>
      <c r="I778" s="265">
        <f t="shared" si="46"/>
        <v>0</v>
      </c>
    </row>
    <row r="779" spans="1:9" ht="33.75" x14ac:dyDescent="0.2">
      <c r="A779" s="202" t="s">
        <v>734</v>
      </c>
      <c r="B779" s="209" t="s">
        <v>733</v>
      </c>
      <c r="C779" s="209"/>
      <c r="D779" s="265">
        <v>1874</v>
      </c>
      <c r="E779" s="265">
        <f>E780</f>
        <v>1874</v>
      </c>
      <c r="F779" s="381">
        <f t="shared" si="45"/>
        <v>0</v>
      </c>
      <c r="G779" s="226">
        <v>2268</v>
      </c>
      <c r="H779" s="226">
        <f>H780</f>
        <v>2268</v>
      </c>
      <c r="I779" s="281">
        <f t="shared" si="46"/>
        <v>0</v>
      </c>
    </row>
    <row r="780" spans="1:9" s="379" customFormat="1" x14ac:dyDescent="0.2">
      <c r="A780" s="202" t="s">
        <v>1347</v>
      </c>
      <c r="B780" s="209" t="s">
        <v>733</v>
      </c>
      <c r="C780" s="209" t="s">
        <v>535</v>
      </c>
      <c r="D780" s="265">
        <v>1874</v>
      </c>
      <c r="E780" s="265">
        <f>E781</f>
        <v>1874</v>
      </c>
      <c r="F780" s="265">
        <f t="shared" si="45"/>
        <v>0</v>
      </c>
      <c r="G780" s="226">
        <v>2268</v>
      </c>
      <c r="H780" s="226">
        <f>H781</f>
        <v>2268</v>
      </c>
      <c r="I780" s="281">
        <f t="shared" si="46"/>
        <v>0</v>
      </c>
    </row>
    <row r="781" spans="1:9" s="379" customFormat="1" x14ac:dyDescent="0.2">
      <c r="A781" s="202" t="s">
        <v>534</v>
      </c>
      <c r="B781" s="209" t="s">
        <v>733</v>
      </c>
      <c r="C781" s="209" t="s">
        <v>529</v>
      </c>
      <c r="D781" s="265">
        <v>1874</v>
      </c>
      <c r="E781" s="265">
        <f>'Функциональная 2021-2022'!H452</f>
        <v>1874</v>
      </c>
      <c r="F781" s="381">
        <f t="shared" si="45"/>
        <v>0</v>
      </c>
      <c r="G781" s="226">
        <v>2268</v>
      </c>
      <c r="H781" s="226">
        <f>'Функциональная 2021-2022'!N452</f>
        <v>2268</v>
      </c>
      <c r="I781" s="281">
        <f t="shared" si="46"/>
        <v>0</v>
      </c>
    </row>
    <row r="782" spans="1:9" x14ac:dyDescent="0.2">
      <c r="A782" s="202" t="s">
        <v>732</v>
      </c>
      <c r="B782" s="209" t="s">
        <v>731</v>
      </c>
      <c r="C782" s="209"/>
      <c r="D782" s="265">
        <v>0</v>
      </c>
      <c r="E782" s="265">
        <v>0</v>
      </c>
      <c r="F782" s="381">
        <f t="shared" si="45"/>
        <v>0</v>
      </c>
      <c r="G782" s="226">
        <v>24500</v>
      </c>
      <c r="H782" s="226">
        <f>H783</f>
        <v>24500</v>
      </c>
      <c r="I782" s="281">
        <f t="shared" si="46"/>
        <v>0</v>
      </c>
    </row>
    <row r="783" spans="1:9" s="308" customFormat="1" x14ac:dyDescent="0.2">
      <c r="A783" s="202" t="s">
        <v>1347</v>
      </c>
      <c r="B783" s="209" t="s">
        <v>731</v>
      </c>
      <c r="C783" s="209" t="s">
        <v>535</v>
      </c>
      <c r="D783" s="265">
        <v>0</v>
      </c>
      <c r="E783" s="265">
        <f>E784</f>
        <v>0</v>
      </c>
      <c r="F783" s="381">
        <f t="shared" si="45"/>
        <v>0</v>
      </c>
      <c r="G783" s="226">
        <v>24500</v>
      </c>
      <c r="H783" s="226">
        <f>H784</f>
        <v>24500</v>
      </c>
      <c r="I783" s="281">
        <f t="shared" si="46"/>
        <v>0</v>
      </c>
    </row>
    <row r="784" spans="1:9" s="308" customFormat="1" x14ac:dyDescent="0.2">
      <c r="A784" s="202" t="s">
        <v>534</v>
      </c>
      <c r="B784" s="209" t="s">
        <v>731</v>
      </c>
      <c r="C784" s="209" t="s">
        <v>529</v>
      </c>
      <c r="D784" s="265">
        <v>0</v>
      </c>
      <c r="E784" s="265">
        <v>0</v>
      </c>
      <c r="F784" s="381">
        <f t="shared" si="45"/>
        <v>0</v>
      </c>
      <c r="G784" s="226">
        <v>24500</v>
      </c>
      <c r="H784" s="226">
        <f>'Функциональная 2021-2022'!N455</f>
        <v>24500</v>
      </c>
      <c r="I784" s="281">
        <f t="shared" si="46"/>
        <v>0</v>
      </c>
    </row>
    <row r="785" spans="1:9" x14ac:dyDescent="0.2">
      <c r="A785" s="199" t="s">
        <v>994</v>
      </c>
      <c r="B785" s="212" t="s">
        <v>993</v>
      </c>
      <c r="C785" s="212"/>
      <c r="D785" s="263">
        <v>6845</v>
      </c>
      <c r="E785" s="263">
        <f>E786+E795</f>
        <v>6845</v>
      </c>
      <c r="F785" s="282">
        <f t="shared" si="45"/>
        <v>0</v>
      </c>
      <c r="G785" s="205">
        <v>6845</v>
      </c>
      <c r="H785" s="205">
        <f>H786+H795</f>
        <v>6845</v>
      </c>
      <c r="I785" s="282">
        <f t="shared" si="46"/>
        <v>0</v>
      </c>
    </row>
    <row r="786" spans="1:9" x14ac:dyDescent="0.2">
      <c r="A786" s="199" t="s">
        <v>992</v>
      </c>
      <c r="B786" s="212" t="s">
        <v>991</v>
      </c>
      <c r="C786" s="212"/>
      <c r="D786" s="263">
        <v>5845</v>
      </c>
      <c r="E786" s="263">
        <v>5845</v>
      </c>
      <c r="F786" s="263">
        <f t="shared" si="45"/>
        <v>0</v>
      </c>
      <c r="G786" s="205">
        <v>5845</v>
      </c>
      <c r="H786" s="205">
        <v>5845</v>
      </c>
      <c r="I786" s="263">
        <f t="shared" si="46"/>
        <v>0</v>
      </c>
    </row>
    <row r="787" spans="1:9" ht="33.75" x14ac:dyDescent="0.2">
      <c r="A787" s="199" t="s">
        <v>1050</v>
      </c>
      <c r="B787" s="212" t="s">
        <v>1049</v>
      </c>
      <c r="C787" s="212"/>
      <c r="D787" s="263">
        <v>2845</v>
      </c>
      <c r="E787" s="263">
        <v>2845</v>
      </c>
      <c r="F787" s="263">
        <f t="shared" si="45"/>
        <v>0</v>
      </c>
      <c r="G787" s="205">
        <v>2845</v>
      </c>
      <c r="H787" s="205">
        <v>2845</v>
      </c>
      <c r="I787" s="263">
        <f t="shared" si="46"/>
        <v>0</v>
      </c>
    </row>
    <row r="788" spans="1:9" ht="67.5" x14ac:dyDescent="0.2">
      <c r="A788" s="202" t="s">
        <v>1048</v>
      </c>
      <c r="B788" s="209" t="s">
        <v>1047</v>
      </c>
      <c r="C788" s="209"/>
      <c r="D788" s="265">
        <v>2845</v>
      </c>
      <c r="E788" s="265">
        <v>2845</v>
      </c>
      <c r="F788" s="265">
        <f t="shared" si="45"/>
        <v>0</v>
      </c>
      <c r="G788" s="226">
        <v>2845</v>
      </c>
      <c r="H788" s="226">
        <v>2845</v>
      </c>
      <c r="I788" s="265">
        <f t="shared" si="46"/>
        <v>0</v>
      </c>
    </row>
    <row r="789" spans="1:9" ht="22.5" x14ac:dyDescent="0.2">
      <c r="A789" s="202" t="s">
        <v>1348</v>
      </c>
      <c r="B789" s="209" t="s">
        <v>1047</v>
      </c>
      <c r="C789" s="209" t="s">
        <v>556</v>
      </c>
      <c r="D789" s="265">
        <v>2845</v>
      </c>
      <c r="E789" s="265">
        <v>2845</v>
      </c>
      <c r="F789" s="265">
        <f t="shared" si="45"/>
        <v>0</v>
      </c>
      <c r="G789" s="226">
        <v>2845</v>
      </c>
      <c r="H789" s="226">
        <v>2845</v>
      </c>
      <c r="I789" s="265">
        <f t="shared" si="46"/>
        <v>0</v>
      </c>
    </row>
    <row r="790" spans="1:9" x14ac:dyDescent="0.2">
      <c r="A790" s="202" t="s">
        <v>749</v>
      </c>
      <c r="B790" s="209" t="s">
        <v>1047</v>
      </c>
      <c r="C790" s="209" t="s">
        <v>745</v>
      </c>
      <c r="D790" s="265">
        <v>2845</v>
      </c>
      <c r="E790" s="265">
        <v>2845</v>
      </c>
      <c r="F790" s="265">
        <f t="shared" si="45"/>
        <v>0</v>
      </c>
      <c r="G790" s="226">
        <v>2845</v>
      </c>
      <c r="H790" s="226">
        <v>2845</v>
      </c>
      <c r="I790" s="265">
        <f t="shared" si="46"/>
        <v>0</v>
      </c>
    </row>
    <row r="791" spans="1:9" ht="22.5" x14ac:dyDescent="0.2">
      <c r="A791" s="199" t="s">
        <v>990</v>
      </c>
      <c r="B791" s="212" t="s">
        <v>989</v>
      </c>
      <c r="C791" s="212"/>
      <c r="D791" s="263">
        <v>3000</v>
      </c>
      <c r="E791" s="263">
        <v>3000</v>
      </c>
      <c r="F791" s="263">
        <f t="shared" si="45"/>
        <v>0</v>
      </c>
      <c r="G791" s="205">
        <v>3000</v>
      </c>
      <c r="H791" s="205">
        <v>3000</v>
      </c>
      <c r="I791" s="263">
        <f t="shared" si="46"/>
        <v>0</v>
      </c>
    </row>
    <row r="792" spans="1:9" x14ac:dyDescent="0.2">
      <c r="A792" s="202" t="s">
        <v>988</v>
      </c>
      <c r="B792" s="209" t="s">
        <v>987</v>
      </c>
      <c r="C792" s="209"/>
      <c r="D792" s="265">
        <v>3000</v>
      </c>
      <c r="E792" s="265">
        <v>3000</v>
      </c>
      <c r="F792" s="265">
        <f t="shared" si="45"/>
        <v>0</v>
      </c>
      <c r="G792" s="226">
        <v>3000</v>
      </c>
      <c r="H792" s="226">
        <v>3000</v>
      </c>
      <c r="I792" s="265">
        <f t="shared" si="46"/>
        <v>0</v>
      </c>
    </row>
    <row r="793" spans="1:9" x14ac:dyDescent="0.2">
      <c r="A793" s="202" t="s">
        <v>1347</v>
      </c>
      <c r="B793" s="209" t="s">
        <v>987</v>
      </c>
      <c r="C793" s="209" t="s">
        <v>535</v>
      </c>
      <c r="D793" s="265">
        <v>3000</v>
      </c>
      <c r="E793" s="265">
        <v>3000</v>
      </c>
      <c r="F793" s="265">
        <f t="shared" si="45"/>
        <v>0</v>
      </c>
      <c r="G793" s="226">
        <v>3000</v>
      </c>
      <c r="H793" s="226">
        <v>3000</v>
      </c>
      <c r="I793" s="265">
        <f t="shared" si="46"/>
        <v>0</v>
      </c>
    </row>
    <row r="794" spans="1:9" x14ac:dyDescent="0.2">
      <c r="A794" s="202" t="s">
        <v>534</v>
      </c>
      <c r="B794" s="209" t="s">
        <v>987</v>
      </c>
      <c r="C794" s="209" t="s">
        <v>529</v>
      </c>
      <c r="D794" s="265">
        <v>3000</v>
      </c>
      <c r="E794" s="265">
        <v>3000</v>
      </c>
      <c r="F794" s="265">
        <f t="shared" si="45"/>
        <v>0</v>
      </c>
      <c r="G794" s="226">
        <v>3000</v>
      </c>
      <c r="H794" s="226">
        <v>3000</v>
      </c>
      <c r="I794" s="265">
        <f t="shared" si="46"/>
        <v>0</v>
      </c>
    </row>
    <row r="795" spans="1:9" s="304" customFormat="1" x14ac:dyDescent="0.2">
      <c r="A795" s="199" t="s">
        <v>602</v>
      </c>
      <c r="B795" s="212" t="s">
        <v>1422</v>
      </c>
      <c r="C795" s="212"/>
      <c r="D795" s="263">
        <v>1000</v>
      </c>
      <c r="E795" s="263">
        <f t="shared" ref="E795:H798" si="47">E796</f>
        <v>1000</v>
      </c>
      <c r="F795" s="263">
        <f t="shared" si="47"/>
        <v>0</v>
      </c>
      <c r="G795" s="205">
        <v>1000</v>
      </c>
      <c r="H795" s="205">
        <f t="shared" si="47"/>
        <v>1000</v>
      </c>
      <c r="I795" s="263">
        <f t="shared" si="46"/>
        <v>0</v>
      </c>
    </row>
    <row r="796" spans="1:9" s="304" customFormat="1" x14ac:dyDescent="0.2">
      <c r="A796" s="202" t="s">
        <v>600</v>
      </c>
      <c r="B796" s="209" t="s">
        <v>1423</v>
      </c>
      <c r="C796" s="209"/>
      <c r="D796" s="265">
        <v>1000</v>
      </c>
      <c r="E796" s="265">
        <f t="shared" si="47"/>
        <v>1000</v>
      </c>
      <c r="F796" s="265">
        <f t="shared" si="47"/>
        <v>0</v>
      </c>
      <c r="G796" s="226">
        <v>1000</v>
      </c>
      <c r="H796" s="226">
        <f t="shared" si="47"/>
        <v>1000</v>
      </c>
      <c r="I796" s="265">
        <f t="shared" si="46"/>
        <v>0</v>
      </c>
    </row>
    <row r="797" spans="1:9" s="304" customFormat="1" ht="22.5" x14ac:dyDescent="0.2">
      <c r="A797" s="202" t="s">
        <v>1421</v>
      </c>
      <c r="B797" s="209" t="s">
        <v>1424</v>
      </c>
      <c r="C797" s="209"/>
      <c r="D797" s="265">
        <v>1000</v>
      </c>
      <c r="E797" s="265">
        <f t="shared" si="47"/>
        <v>1000</v>
      </c>
      <c r="F797" s="265">
        <f t="shared" si="47"/>
        <v>0</v>
      </c>
      <c r="G797" s="226">
        <v>1000</v>
      </c>
      <c r="H797" s="226">
        <f t="shared" si="47"/>
        <v>1000</v>
      </c>
      <c r="I797" s="265">
        <f t="shared" si="46"/>
        <v>0</v>
      </c>
    </row>
    <row r="798" spans="1:9" s="304" customFormat="1" x14ac:dyDescent="0.2">
      <c r="A798" s="202" t="s">
        <v>547</v>
      </c>
      <c r="B798" s="209" t="s">
        <v>1424</v>
      </c>
      <c r="C798" s="209">
        <v>600</v>
      </c>
      <c r="D798" s="265">
        <v>1000</v>
      </c>
      <c r="E798" s="265">
        <f t="shared" si="47"/>
        <v>1000</v>
      </c>
      <c r="F798" s="265">
        <f t="shared" si="47"/>
        <v>0</v>
      </c>
      <c r="G798" s="226">
        <v>1000</v>
      </c>
      <c r="H798" s="226">
        <f t="shared" si="47"/>
        <v>1000</v>
      </c>
      <c r="I798" s="265">
        <f t="shared" si="46"/>
        <v>0</v>
      </c>
    </row>
    <row r="799" spans="1:9" s="304" customFormat="1" x14ac:dyDescent="0.2">
      <c r="A799" s="202" t="s">
        <v>571</v>
      </c>
      <c r="B799" s="209" t="s">
        <v>1424</v>
      </c>
      <c r="C799" s="209">
        <v>610</v>
      </c>
      <c r="D799" s="265">
        <v>1000</v>
      </c>
      <c r="E799" s="265">
        <f>'Функциональная 2021-2022'!H208</f>
        <v>1000</v>
      </c>
      <c r="F799" s="265">
        <v>0</v>
      </c>
      <c r="G799" s="226">
        <v>1000</v>
      </c>
      <c r="H799" s="226">
        <f>'Функциональная 2021-2022'!N208</f>
        <v>1000</v>
      </c>
      <c r="I799" s="265">
        <f t="shared" si="46"/>
        <v>0</v>
      </c>
    </row>
    <row r="800" spans="1:9" x14ac:dyDescent="0.2">
      <c r="A800" s="199" t="s">
        <v>986</v>
      </c>
      <c r="B800" s="212" t="s">
        <v>985</v>
      </c>
      <c r="C800" s="212"/>
      <c r="D800" s="263">
        <v>916991.39999999991</v>
      </c>
      <c r="E800" s="263">
        <f>E801+E834+E891</f>
        <v>916991.39999999991</v>
      </c>
      <c r="F800" s="282">
        <f t="shared" si="45"/>
        <v>0</v>
      </c>
      <c r="G800" s="205">
        <v>943586.79999999981</v>
      </c>
      <c r="H800" s="205">
        <f>H801+H834+H891</f>
        <v>934861.29999999981</v>
      </c>
      <c r="I800" s="282">
        <f t="shared" si="46"/>
        <v>-8725.5</v>
      </c>
    </row>
    <row r="801" spans="1:9" x14ac:dyDescent="0.2">
      <c r="A801" s="199" t="s">
        <v>984</v>
      </c>
      <c r="B801" s="212" t="s">
        <v>983</v>
      </c>
      <c r="C801" s="212"/>
      <c r="D801" s="263">
        <v>351638.9</v>
      </c>
      <c r="E801" s="263">
        <f>E802+E818</f>
        <v>351638.9</v>
      </c>
      <c r="F801" s="282">
        <f t="shared" si="45"/>
        <v>0</v>
      </c>
      <c r="G801" s="205">
        <v>385302.3</v>
      </c>
      <c r="H801" s="205">
        <f>H802+H818</f>
        <v>376576.8</v>
      </c>
      <c r="I801" s="282">
        <f t="shared" si="46"/>
        <v>-8725.5</v>
      </c>
    </row>
    <row r="802" spans="1:9" ht="22.5" x14ac:dyDescent="0.2">
      <c r="A802" s="199" t="s">
        <v>982</v>
      </c>
      <c r="B802" s="212" t="s">
        <v>981</v>
      </c>
      <c r="C802" s="212"/>
      <c r="D802" s="263">
        <v>111341</v>
      </c>
      <c r="E802" s="263">
        <f>E809+E815+E812+E803+E806</f>
        <v>111341</v>
      </c>
      <c r="F802" s="282">
        <f t="shared" si="45"/>
        <v>0</v>
      </c>
      <c r="G802" s="205">
        <v>111341</v>
      </c>
      <c r="H802" s="205">
        <f>H809+H815+H812+H803+H806</f>
        <v>111341</v>
      </c>
      <c r="I802" s="282">
        <f t="shared" si="46"/>
        <v>0</v>
      </c>
    </row>
    <row r="803" spans="1:9" s="442" customFormat="1" x14ac:dyDescent="0.2">
      <c r="A803" s="202" t="s">
        <v>1652</v>
      </c>
      <c r="B803" s="209" t="s">
        <v>1653</v>
      </c>
      <c r="C803" s="209"/>
      <c r="D803" s="265">
        <f>D804</f>
        <v>0</v>
      </c>
      <c r="E803" s="265">
        <f>E804</f>
        <v>500</v>
      </c>
      <c r="F803" s="281">
        <f t="shared" si="45"/>
        <v>500</v>
      </c>
      <c r="G803" s="226">
        <f>G804</f>
        <v>0</v>
      </c>
      <c r="H803" s="226">
        <f>H804</f>
        <v>500</v>
      </c>
      <c r="I803" s="281">
        <f t="shared" si="46"/>
        <v>500</v>
      </c>
    </row>
    <row r="804" spans="1:9" s="442" customFormat="1" x14ac:dyDescent="0.2">
      <c r="A804" s="202" t="s">
        <v>1347</v>
      </c>
      <c r="B804" s="209" t="s">
        <v>1653</v>
      </c>
      <c r="C804" s="209" t="s">
        <v>535</v>
      </c>
      <c r="D804" s="265">
        <f>D805</f>
        <v>0</v>
      </c>
      <c r="E804" s="265">
        <f>E805</f>
        <v>500</v>
      </c>
      <c r="F804" s="281">
        <f t="shared" si="45"/>
        <v>500</v>
      </c>
      <c r="G804" s="226">
        <f>G805</f>
        <v>0</v>
      </c>
      <c r="H804" s="226">
        <f>H805</f>
        <v>500</v>
      </c>
      <c r="I804" s="281">
        <f t="shared" si="46"/>
        <v>500</v>
      </c>
    </row>
    <row r="805" spans="1:9" s="442" customFormat="1" x14ac:dyDescent="0.2">
      <c r="A805" s="202" t="s">
        <v>534</v>
      </c>
      <c r="B805" s="209" t="s">
        <v>1653</v>
      </c>
      <c r="C805" s="209" t="s">
        <v>529</v>
      </c>
      <c r="D805" s="265">
        <v>0</v>
      </c>
      <c r="E805" s="265">
        <f>'Функциональная 2021-2022'!H599</f>
        <v>500</v>
      </c>
      <c r="F805" s="281">
        <f t="shared" si="45"/>
        <v>500</v>
      </c>
      <c r="G805" s="226">
        <v>0</v>
      </c>
      <c r="H805" s="226">
        <f>'Функциональная 2021-2022'!N599</f>
        <v>500</v>
      </c>
      <c r="I805" s="281">
        <f t="shared" si="46"/>
        <v>500</v>
      </c>
    </row>
    <row r="806" spans="1:9" s="442" customFormat="1" x14ac:dyDescent="0.2">
      <c r="A806" s="202" t="s">
        <v>1654</v>
      </c>
      <c r="B806" s="209" t="s">
        <v>1655</v>
      </c>
      <c r="C806" s="209"/>
      <c r="D806" s="265">
        <f>D807</f>
        <v>0</v>
      </c>
      <c r="E806" s="265">
        <f>E807</f>
        <v>50000</v>
      </c>
      <c r="F806" s="281">
        <f t="shared" si="45"/>
        <v>50000</v>
      </c>
      <c r="G806" s="226">
        <f>G807</f>
        <v>0</v>
      </c>
      <c r="H806" s="226">
        <f>H807</f>
        <v>50000</v>
      </c>
      <c r="I806" s="281">
        <f t="shared" si="46"/>
        <v>50000</v>
      </c>
    </row>
    <row r="807" spans="1:9" s="442" customFormat="1" x14ac:dyDescent="0.2">
      <c r="A807" s="202" t="s">
        <v>1347</v>
      </c>
      <c r="B807" s="209" t="s">
        <v>1655</v>
      </c>
      <c r="C807" s="209" t="s">
        <v>535</v>
      </c>
      <c r="D807" s="265">
        <f>D808</f>
        <v>0</v>
      </c>
      <c r="E807" s="265">
        <f>E808</f>
        <v>50000</v>
      </c>
      <c r="F807" s="281">
        <f t="shared" si="45"/>
        <v>50000</v>
      </c>
      <c r="G807" s="226">
        <f>G808</f>
        <v>0</v>
      </c>
      <c r="H807" s="226">
        <f>H808</f>
        <v>50000</v>
      </c>
      <c r="I807" s="281">
        <f t="shared" si="46"/>
        <v>50000</v>
      </c>
    </row>
    <row r="808" spans="1:9" s="442" customFormat="1" x14ac:dyDescent="0.2">
      <c r="A808" s="202" t="s">
        <v>534</v>
      </c>
      <c r="B808" s="209" t="s">
        <v>1655</v>
      </c>
      <c r="C808" s="209" t="s">
        <v>529</v>
      </c>
      <c r="D808" s="265">
        <v>0</v>
      </c>
      <c r="E808" s="265">
        <f>'Функциональная 2021-2022'!H602</f>
        <v>50000</v>
      </c>
      <c r="F808" s="281">
        <f t="shared" si="45"/>
        <v>50000</v>
      </c>
      <c r="G808" s="226">
        <v>0</v>
      </c>
      <c r="H808" s="226">
        <f>'Функциональная 2021-2022'!N602</f>
        <v>50000</v>
      </c>
      <c r="I808" s="281">
        <f t="shared" si="46"/>
        <v>50000</v>
      </c>
    </row>
    <row r="809" spans="1:9" x14ac:dyDescent="0.2">
      <c r="A809" s="202" t="s">
        <v>980</v>
      </c>
      <c r="B809" s="209" t="s">
        <v>979</v>
      </c>
      <c r="C809" s="209"/>
      <c r="D809" s="265">
        <v>60841</v>
      </c>
      <c r="E809" s="265">
        <f>E810</f>
        <v>60841</v>
      </c>
      <c r="F809" s="281">
        <f t="shared" si="45"/>
        <v>0</v>
      </c>
      <c r="G809" s="226">
        <v>60841</v>
      </c>
      <c r="H809" s="226">
        <f>H810</f>
        <v>60841</v>
      </c>
      <c r="I809" s="281">
        <f t="shared" si="46"/>
        <v>0</v>
      </c>
    </row>
    <row r="810" spans="1:9" x14ac:dyDescent="0.2">
      <c r="A810" s="202" t="s">
        <v>1347</v>
      </c>
      <c r="B810" s="209" t="s">
        <v>979</v>
      </c>
      <c r="C810" s="209" t="s">
        <v>535</v>
      </c>
      <c r="D810" s="265">
        <v>60841</v>
      </c>
      <c r="E810" s="265">
        <f>E811</f>
        <v>60841</v>
      </c>
      <c r="F810" s="281">
        <f t="shared" si="45"/>
        <v>0</v>
      </c>
      <c r="G810" s="226">
        <v>60841</v>
      </c>
      <c r="H810" s="226">
        <f>H811</f>
        <v>60841</v>
      </c>
      <c r="I810" s="281">
        <f t="shared" si="46"/>
        <v>0</v>
      </c>
    </row>
    <row r="811" spans="1:9" x14ac:dyDescent="0.2">
      <c r="A811" s="202" t="s">
        <v>534</v>
      </c>
      <c r="B811" s="209" t="s">
        <v>979</v>
      </c>
      <c r="C811" s="209" t="s">
        <v>529</v>
      </c>
      <c r="D811" s="265">
        <v>60841</v>
      </c>
      <c r="E811" s="265">
        <f>'Функциональная 2021-2022'!H605</f>
        <v>60841</v>
      </c>
      <c r="F811" s="281">
        <f t="shared" si="45"/>
        <v>0</v>
      </c>
      <c r="G811" s="226">
        <v>60841</v>
      </c>
      <c r="H811" s="226">
        <f>'Функциональная 2021-2022'!N605</f>
        <v>60841</v>
      </c>
      <c r="I811" s="281">
        <f t="shared" si="46"/>
        <v>0</v>
      </c>
    </row>
    <row r="812" spans="1:9" s="373" customFormat="1" ht="22.5" x14ac:dyDescent="0.2">
      <c r="A812" s="202" t="s">
        <v>1490</v>
      </c>
      <c r="B812" s="209" t="s">
        <v>1491</v>
      </c>
      <c r="C812" s="209"/>
      <c r="D812" s="265">
        <v>500</v>
      </c>
      <c r="E812" s="265">
        <f>E813</f>
        <v>0</v>
      </c>
      <c r="F812" s="281">
        <f t="shared" si="45"/>
        <v>-500</v>
      </c>
      <c r="G812" s="226">
        <v>500</v>
      </c>
      <c r="H812" s="226">
        <f>H813</f>
        <v>0</v>
      </c>
      <c r="I812" s="281">
        <f t="shared" si="46"/>
        <v>-500</v>
      </c>
    </row>
    <row r="813" spans="1:9" s="373" customFormat="1" x14ac:dyDescent="0.2">
      <c r="A813" s="202" t="s">
        <v>1347</v>
      </c>
      <c r="B813" s="209" t="s">
        <v>1491</v>
      </c>
      <c r="C813" s="209" t="s">
        <v>535</v>
      </c>
      <c r="D813" s="265">
        <v>500</v>
      </c>
      <c r="E813" s="265">
        <f>E814</f>
        <v>0</v>
      </c>
      <c r="F813" s="281">
        <f t="shared" si="45"/>
        <v>-500</v>
      </c>
      <c r="G813" s="226">
        <v>500</v>
      </c>
      <c r="H813" s="226">
        <f>H814</f>
        <v>0</v>
      </c>
      <c r="I813" s="281">
        <f t="shared" si="46"/>
        <v>-500</v>
      </c>
    </row>
    <row r="814" spans="1:9" s="373" customFormat="1" x14ac:dyDescent="0.2">
      <c r="A814" s="202" t="s">
        <v>534</v>
      </c>
      <c r="B814" s="209" t="s">
        <v>1491</v>
      </c>
      <c r="C814" s="209" t="s">
        <v>529</v>
      </c>
      <c r="D814" s="265">
        <v>500</v>
      </c>
      <c r="E814" s="265">
        <f>'Функциональная 2021-2022'!H608</f>
        <v>0</v>
      </c>
      <c r="F814" s="281">
        <f t="shared" si="45"/>
        <v>-500</v>
      </c>
      <c r="G814" s="226">
        <v>500</v>
      </c>
      <c r="H814" s="226">
        <f>'Функциональная 2021-2022'!N608</f>
        <v>0</v>
      </c>
      <c r="I814" s="281">
        <f t="shared" si="46"/>
        <v>-500</v>
      </c>
    </row>
    <row r="815" spans="1:9" s="373" customFormat="1" ht="22.5" x14ac:dyDescent="0.2">
      <c r="A815" s="202" t="s">
        <v>1488</v>
      </c>
      <c r="B815" s="209" t="s">
        <v>1489</v>
      </c>
      <c r="C815" s="209"/>
      <c r="D815" s="265">
        <v>50000</v>
      </c>
      <c r="E815" s="265">
        <f>E816</f>
        <v>0</v>
      </c>
      <c r="F815" s="281">
        <f t="shared" si="45"/>
        <v>-50000</v>
      </c>
      <c r="G815" s="226">
        <v>50000</v>
      </c>
      <c r="H815" s="226">
        <f t="shared" ref="H815:H816" si="48">H816</f>
        <v>0</v>
      </c>
      <c r="I815" s="281">
        <f t="shared" si="46"/>
        <v>-50000</v>
      </c>
    </row>
    <row r="816" spans="1:9" s="373" customFormat="1" x14ac:dyDescent="0.2">
      <c r="A816" s="202" t="s">
        <v>1347</v>
      </c>
      <c r="B816" s="209" t="s">
        <v>1489</v>
      </c>
      <c r="C816" s="209" t="s">
        <v>535</v>
      </c>
      <c r="D816" s="265">
        <v>50000</v>
      </c>
      <c r="E816" s="265">
        <f>E817</f>
        <v>0</v>
      </c>
      <c r="F816" s="281">
        <f t="shared" si="45"/>
        <v>-50000</v>
      </c>
      <c r="G816" s="226">
        <v>50000</v>
      </c>
      <c r="H816" s="226">
        <f t="shared" si="48"/>
        <v>0</v>
      </c>
      <c r="I816" s="281">
        <f t="shared" si="46"/>
        <v>-50000</v>
      </c>
    </row>
    <row r="817" spans="1:9" s="373" customFormat="1" x14ac:dyDescent="0.2">
      <c r="A817" s="202" t="s">
        <v>534</v>
      </c>
      <c r="B817" s="209" t="s">
        <v>1489</v>
      </c>
      <c r="C817" s="209" t="s">
        <v>529</v>
      </c>
      <c r="D817" s="265">
        <v>50000</v>
      </c>
      <c r="E817" s="265">
        <f>'Функциональная 2021-2022'!H611</f>
        <v>0</v>
      </c>
      <c r="F817" s="281">
        <f t="shared" si="45"/>
        <v>-50000</v>
      </c>
      <c r="G817" s="226">
        <v>50000</v>
      </c>
      <c r="H817" s="226">
        <f>'Функциональная 2021-2022'!N611</f>
        <v>0</v>
      </c>
      <c r="I817" s="281">
        <f t="shared" si="46"/>
        <v>-50000</v>
      </c>
    </row>
    <row r="818" spans="1:9" x14ac:dyDescent="0.2">
      <c r="A818" s="199" t="s">
        <v>978</v>
      </c>
      <c r="B818" s="212" t="s">
        <v>977</v>
      </c>
      <c r="C818" s="212"/>
      <c r="D818" s="263">
        <v>240297.9</v>
      </c>
      <c r="E818" s="263">
        <f>E819+E825+E828+E822+E831</f>
        <v>240297.9</v>
      </c>
      <c r="F818" s="282">
        <f t="shared" si="45"/>
        <v>0</v>
      </c>
      <c r="G818" s="205">
        <v>273961.3</v>
      </c>
      <c r="H818" s="205">
        <f>H819+H825+H828+H822+H831</f>
        <v>265235.8</v>
      </c>
      <c r="I818" s="282">
        <f t="shared" si="46"/>
        <v>-8725.5</v>
      </c>
    </row>
    <row r="819" spans="1:9" ht="22.5" x14ac:dyDescent="0.2">
      <c r="A819" s="202" t="s">
        <v>976</v>
      </c>
      <c r="B819" s="209" t="s">
        <v>975</v>
      </c>
      <c r="C819" s="209"/>
      <c r="D819" s="265">
        <v>0</v>
      </c>
      <c r="E819" s="265">
        <f>E820</f>
        <v>0</v>
      </c>
      <c r="F819" s="281">
        <f t="shared" si="45"/>
        <v>0</v>
      </c>
      <c r="G819" s="226">
        <v>250000.5</v>
      </c>
      <c r="H819" s="226">
        <f>H820</f>
        <v>250000.5</v>
      </c>
      <c r="I819" s="281">
        <f t="shared" si="46"/>
        <v>0</v>
      </c>
    </row>
    <row r="820" spans="1:9" x14ac:dyDescent="0.2">
      <c r="A820" s="202" t="s">
        <v>1347</v>
      </c>
      <c r="B820" s="209" t="s">
        <v>975</v>
      </c>
      <c r="C820" s="209" t="s">
        <v>535</v>
      </c>
      <c r="D820" s="265">
        <v>0</v>
      </c>
      <c r="E820" s="265">
        <f>E821</f>
        <v>0</v>
      </c>
      <c r="F820" s="281">
        <f t="shared" si="45"/>
        <v>0</v>
      </c>
      <c r="G820" s="226">
        <v>250000.5</v>
      </c>
      <c r="H820" s="226">
        <f>H821</f>
        <v>250000.5</v>
      </c>
      <c r="I820" s="281">
        <f t="shared" si="46"/>
        <v>0</v>
      </c>
    </row>
    <row r="821" spans="1:9" x14ac:dyDescent="0.2">
      <c r="A821" s="202" t="s">
        <v>534</v>
      </c>
      <c r="B821" s="209" t="s">
        <v>975</v>
      </c>
      <c r="C821" s="209" t="s">
        <v>529</v>
      </c>
      <c r="D821" s="265">
        <v>0</v>
      </c>
      <c r="E821" s="265">
        <f>'Функциональная 2021-2022'!H615</f>
        <v>0</v>
      </c>
      <c r="F821" s="281">
        <f t="shared" si="45"/>
        <v>0</v>
      </c>
      <c r="G821" s="226">
        <v>250000.5</v>
      </c>
      <c r="H821" s="226">
        <f>'Функциональная 2021-2022'!N615</f>
        <v>250000.5</v>
      </c>
      <c r="I821" s="281">
        <f t="shared" si="46"/>
        <v>0</v>
      </c>
    </row>
    <row r="822" spans="1:9" s="242" customFormat="1" ht="22.5" x14ac:dyDescent="0.2">
      <c r="A822" s="202" t="s">
        <v>1370</v>
      </c>
      <c r="B822" s="209" t="s">
        <v>1371</v>
      </c>
      <c r="C822" s="209"/>
      <c r="D822" s="265">
        <v>189899</v>
      </c>
      <c r="E822" s="265">
        <f>E823</f>
        <v>189899</v>
      </c>
      <c r="F822" s="281">
        <f t="shared" si="45"/>
        <v>0</v>
      </c>
      <c r="G822" s="226">
        <v>0</v>
      </c>
      <c r="H822" s="226">
        <f t="shared" ref="H822:H823" si="49">H823</f>
        <v>0</v>
      </c>
      <c r="I822" s="281">
        <f t="shared" si="46"/>
        <v>0</v>
      </c>
    </row>
    <row r="823" spans="1:9" s="242" customFormat="1" x14ac:dyDescent="0.2">
      <c r="A823" s="202" t="s">
        <v>1347</v>
      </c>
      <c r="B823" s="209" t="s">
        <v>1371</v>
      </c>
      <c r="C823" s="209" t="s">
        <v>535</v>
      </c>
      <c r="D823" s="265">
        <v>189899</v>
      </c>
      <c r="E823" s="265">
        <f>E824</f>
        <v>189899</v>
      </c>
      <c r="F823" s="281">
        <f t="shared" si="45"/>
        <v>0</v>
      </c>
      <c r="G823" s="226">
        <v>0</v>
      </c>
      <c r="H823" s="226">
        <f t="shared" si="49"/>
        <v>0</v>
      </c>
      <c r="I823" s="281">
        <f t="shared" si="46"/>
        <v>0</v>
      </c>
    </row>
    <row r="824" spans="1:9" s="242" customFormat="1" x14ac:dyDescent="0.2">
      <c r="A824" s="202" t="s">
        <v>534</v>
      </c>
      <c r="B824" s="209" t="s">
        <v>1371</v>
      </c>
      <c r="C824" s="209" t="s">
        <v>529</v>
      </c>
      <c r="D824" s="265">
        <v>189899</v>
      </c>
      <c r="E824" s="265">
        <f>'Функциональная 2021-2022'!H618</f>
        <v>189899</v>
      </c>
      <c r="F824" s="281">
        <f t="shared" si="45"/>
        <v>0</v>
      </c>
      <c r="G824" s="226">
        <v>0</v>
      </c>
      <c r="H824" s="226">
        <f>'Функциональная 2021-2022'!N618</f>
        <v>0</v>
      </c>
      <c r="I824" s="281">
        <f t="shared" si="46"/>
        <v>0</v>
      </c>
    </row>
    <row r="825" spans="1:9" ht="22.5" x14ac:dyDescent="0.2">
      <c r="A825" s="202" t="s">
        <v>1291</v>
      </c>
      <c r="B825" s="209" t="s">
        <v>1292</v>
      </c>
      <c r="C825" s="209"/>
      <c r="D825" s="265">
        <v>0</v>
      </c>
      <c r="E825" s="265">
        <v>0</v>
      </c>
      <c r="F825" s="265">
        <f t="shared" si="45"/>
        <v>0</v>
      </c>
      <c r="G825" s="226">
        <v>10000</v>
      </c>
      <c r="H825" s="226">
        <f>H826</f>
        <v>10000</v>
      </c>
      <c r="I825" s="281">
        <f t="shared" si="46"/>
        <v>0</v>
      </c>
    </row>
    <row r="826" spans="1:9" x14ac:dyDescent="0.2">
      <c r="A826" s="202" t="s">
        <v>1347</v>
      </c>
      <c r="B826" s="209" t="s">
        <v>1292</v>
      </c>
      <c r="C826" s="209" t="s">
        <v>535</v>
      </c>
      <c r="D826" s="265">
        <v>0</v>
      </c>
      <c r="E826" s="265">
        <v>0</v>
      </c>
      <c r="F826" s="265">
        <f t="shared" si="45"/>
        <v>0</v>
      </c>
      <c r="G826" s="226">
        <v>10000</v>
      </c>
      <c r="H826" s="226">
        <f>H827</f>
        <v>10000</v>
      </c>
      <c r="I826" s="281">
        <f t="shared" si="46"/>
        <v>0</v>
      </c>
    </row>
    <row r="827" spans="1:9" x14ac:dyDescent="0.2">
      <c r="A827" s="202" t="s">
        <v>534</v>
      </c>
      <c r="B827" s="209" t="s">
        <v>1292</v>
      </c>
      <c r="C827" s="209" t="s">
        <v>529</v>
      </c>
      <c r="D827" s="265">
        <v>0</v>
      </c>
      <c r="E827" s="265">
        <v>0</v>
      </c>
      <c r="F827" s="265">
        <f t="shared" si="45"/>
        <v>0</v>
      </c>
      <c r="G827" s="226">
        <v>10000</v>
      </c>
      <c r="H827" s="226">
        <f>'Функциональная 2021-2022'!N621</f>
        <v>10000</v>
      </c>
      <c r="I827" s="281">
        <f t="shared" si="46"/>
        <v>0</v>
      </c>
    </row>
    <row r="828" spans="1:9" x14ac:dyDescent="0.2">
      <c r="A828" s="202" t="s">
        <v>1547</v>
      </c>
      <c r="B828" s="209" t="s">
        <v>974</v>
      </c>
      <c r="C828" s="209"/>
      <c r="D828" s="265">
        <v>9297.7999999999993</v>
      </c>
      <c r="E828" s="265">
        <f>E829</f>
        <v>9297.7999999999993</v>
      </c>
      <c r="F828" s="281">
        <f t="shared" si="45"/>
        <v>0</v>
      </c>
      <c r="G828" s="226">
        <v>13960.8</v>
      </c>
      <c r="H828" s="226">
        <f>H829</f>
        <v>5235.2999999999993</v>
      </c>
      <c r="I828" s="281">
        <f t="shared" si="46"/>
        <v>-8725.5</v>
      </c>
    </row>
    <row r="829" spans="1:9" s="406" customFormat="1" x14ac:dyDescent="0.2">
      <c r="A829" s="202" t="s">
        <v>547</v>
      </c>
      <c r="B829" s="209" t="s">
        <v>974</v>
      </c>
      <c r="C829" s="209">
        <v>600</v>
      </c>
      <c r="D829" s="265">
        <v>9297.7999999999993</v>
      </c>
      <c r="E829" s="265">
        <f>E830</f>
        <v>9297.7999999999993</v>
      </c>
      <c r="F829" s="281">
        <f t="shared" si="45"/>
        <v>0</v>
      </c>
      <c r="G829" s="226">
        <v>13960.8</v>
      </c>
      <c r="H829" s="226">
        <f>H830</f>
        <v>5235.2999999999993</v>
      </c>
      <c r="I829" s="281">
        <f t="shared" si="46"/>
        <v>-8725.5</v>
      </c>
    </row>
    <row r="830" spans="1:9" s="406" customFormat="1" x14ac:dyDescent="0.2">
      <c r="A830" s="202" t="s">
        <v>571</v>
      </c>
      <c r="B830" s="209" t="s">
        <v>974</v>
      </c>
      <c r="C830" s="209">
        <v>610</v>
      </c>
      <c r="D830" s="265">
        <v>9297.7999999999993</v>
      </c>
      <c r="E830" s="265">
        <f>'Функциональная 2021-2022'!H624</f>
        <v>9297.7999999999993</v>
      </c>
      <c r="F830" s="281">
        <f t="shared" si="45"/>
        <v>0</v>
      </c>
      <c r="G830" s="226">
        <v>13960.8</v>
      </c>
      <c r="H830" s="226">
        <f>'Функциональная 2021-2022'!N624</f>
        <v>5235.2999999999993</v>
      </c>
      <c r="I830" s="281">
        <f t="shared" si="46"/>
        <v>-8725.5</v>
      </c>
    </row>
    <row r="831" spans="1:9" s="406" customFormat="1" ht="22.5" x14ac:dyDescent="0.2">
      <c r="A831" s="264" t="s">
        <v>1539</v>
      </c>
      <c r="B831" s="209" t="s">
        <v>1538</v>
      </c>
      <c r="C831" s="209"/>
      <c r="D831" s="265">
        <v>41101.1</v>
      </c>
      <c r="E831" s="265">
        <f>E832</f>
        <v>41101.1</v>
      </c>
      <c r="F831" s="281">
        <f t="shared" si="45"/>
        <v>0</v>
      </c>
      <c r="G831" s="226">
        <v>0</v>
      </c>
      <c r="H831" s="226">
        <f t="shared" ref="H831:H832" si="50">H832</f>
        <v>0</v>
      </c>
      <c r="I831" s="265">
        <f t="shared" si="46"/>
        <v>0</v>
      </c>
    </row>
    <row r="832" spans="1:9" s="406" customFormat="1" x14ac:dyDescent="0.2">
      <c r="A832" s="264" t="s">
        <v>1347</v>
      </c>
      <c r="B832" s="209" t="s">
        <v>1538</v>
      </c>
      <c r="C832" s="209">
        <v>200</v>
      </c>
      <c r="D832" s="265">
        <v>41101.1</v>
      </c>
      <c r="E832" s="265">
        <f>E833</f>
        <v>41101.1</v>
      </c>
      <c r="F832" s="281">
        <f t="shared" si="45"/>
        <v>0</v>
      </c>
      <c r="G832" s="226">
        <v>0</v>
      </c>
      <c r="H832" s="226">
        <f t="shared" si="50"/>
        <v>0</v>
      </c>
      <c r="I832" s="265">
        <f t="shared" si="46"/>
        <v>0</v>
      </c>
    </row>
    <row r="833" spans="1:9" s="406" customFormat="1" x14ac:dyDescent="0.2">
      <c r="A833" s="264" t="s">
        <v>534</v>
      </c>
      <c r="B833" s="209" t="s">
        <v>1538</v>
      </c>
      <c r="C833" s="209">
        <v>240</v>
      </c>
      <c r="D833" s="265">
        <v>41101.1</v>
      </c>
      <c r="E833" s="265">
        <f>'Функциональная 2021-2022'!H627</f>
        <v>41101.1</v>
      </c>
      <c r="F833" s="281">
        <f t="shared" si="45"/>
        <v>0</v>
      </c>
      <c r="G833" s="226">
        <v>0</v>
      </c>
      <c r="H833" s="226">
        <v>0</v>
      </c>
      <c r="I833" s="265">
        <f t="shared" si="46"/>
        <v>0</v>
      </c>
    </row>
    <row r="834" spans="1:9" x14ac:dyDescent="0.2">
      <c r="A834" s="199" t="s">
        <v>973</v>
      </c>
      <c r="B834" s="212" t="s">
        <v>972</v>
      </c>
      <c r="C834" s="212"/>
      <c r="D834" s="263">
        <v>548603.79999999993</v>
      </c>
      <c r="E834" s="263">
        <f>E835</f>
        <v>548603.79999999993</v>
      </c>
      <c r="F834" s="263">
        <f t="shared" si="45"/>
        <v>0</v>
      </c>
      <c r="G834" s="205">
        <v>548603.79999999993</v>
      </c>
      <c r="H834" s="205">
        <f>H835</f>
        <v>548603.79999999993</v>
      </c>
      <c r="I834" s="263">
        <f t="shared" si="46"/>
        <v>0</v>
      </c>
    </row>
    <row r="835" spans="1:9" ht="22.5" x14ac:dyDescent="0.2">
      <c r="A835" s="199" t="s">
        <v>971</v>
      </c>
      <c r="B835" s="212" t="s">
        <v>970</v>
      </c>
      <c r="C835" s="212"/>
      <c r="D835" s="263">
        <v>548603.79999999993</v>
      </c>
      <c r="E835" s="263">
        <f>E836+E839+E842+E845+E848+E851+E854+E857+E860+E865+E870+E873+E876+E879+E886</f>
        <v>548603.79999999993</v>
      </c>
      <c r="F835" s="263">
        <f t="shared" si="45"/>
        <v>0</v>
      </c>
      <c r="G835" s="205">
        <v>548603.79999999993</v>
      </c>
      <c r="H835" s="205">
        <f>H836+H839+H842+H845+H848+H851+H854+H857+H860+H865+H870+H873+H876+H879+H886</f>
        <v>548603.79999999993</v>
      </c>
      <c r="I835" s="263">
        <f t="shared" si="46"/>
        <v>0</v>
      </c>
    </row>
    <row r="836" spans="1:9" x14ac:dyDescent="0.2">
      <c r="A836" s="202" t="s">
        <v>1548</v>
      </c>
      <c r="B836" s="209" t="s">
        <v>969</v>
      </c>
      <c r="C836" s="209"/>
      <c r="D836" s="265">
        <v>39660.9</v>
      </c>
      <c r="E836" s="265">
        <f>E837</f>
        <v>39660.9</v>
      </c>
      <c r="F836" s="281">
        <f t="shared" ref="F836:F895" si="51">E836-D836</f>
        <v>0</v>
      </c>
      <c r="G836" s="226">
        <v>39660.9</v>
      </c>
      <c r="H836" s="226">
        <f>H837</f>
        <v>39660.9</v>
      </c>
      <c r="I836" s="281">
        <f t="shared" ref="I836:I895" si="52">H836-G836</f>
        <v>0</v>
      </c>
    </row>
    <row r="837" spans="1:9" s="406" customFormat="1" x14ac:dyDescent="0.2">
      <c r="A837" s="202" t="s">
        <v>547</v>
      </c>
      <c r="B837" s="209" t="s">
        <v>969</v>
      </c>
      <c r="C837" s="209">
        <v>600</v>
      </c>
      <c r="D837" s="265">
        <v>39660.9</v>
      </c>
      <c r="E837" s="265">
        <f>E838</f>
        <v>39660.9</v>
      </c>
      <c r="F837" s="265">
        <f t="shared" si="51"/>
        <v>0</v>
      </c>
      <c r="G837" s="226">
        <v>39660.9</v>
      </c>
      <c r="H837" s="226">
        <f>H838</f>
        <v>39660.9</v>
      </c>
      <c r="I837" s="265">
        <f t="shared" si="52"/>
        <v>0</v>
      </c>
    </row>
    <row r="838" spans="1:9" s="406" customFormat="1" x14ac:dyDescent="0.2">
      <c r="A838" s="202" t="s">
        <v>571</v>
      </c>
      <c r="B838" s="209" t="s">
        <v>969</v>
      </c>
      <c r="C838" s="209">
        <v>610</v>
      </c>
      <c r="D838" s="265">
        <v>39660.9</v>
      </c>
      <c r="E838" s="265">
        <f>'Функциональная 2021-2022'!H632</f>
        <v>39660.9</v>
      </c>
      <c r="F838" s="265">
        <f t="shared" si="51"/>
        <v>0</v>
      </c>
      <c r="G838" s="226">
        <v>39660.9</v>
      </c>
      <c r="H838" s="226">
        <f>'Функциональная 2021-2022'!N632</f>
        <v>39660.9</v>
      </c>
      <c r="I838" s="265">
        <f t="shared" si="52"/>
        <v>0</v>
      </c>
    </row>
    <row r="839" spans="1:9" x14ac:dyDescent="0.2">
      <c r="A839" s="202" t="s">
        <v>968</v>
      </c>
      <c r="B839" s="209" t="s">
        <v>967</v>
      </c>
      <c r="C839" s="209"/>
      <c r="D839" s="265">
        <v>20687.5</v>
      </c>
      <c r="E839" s="265">
        <v>20687.5</v>
      </c>
      <c r="F839" s="265">
        <f t="shared" si="51"/>
        <v>0</v>
      </c>
      <c r="G839" s="226">
        <v>20687.5</v>
      </c>
      <c r="H839" s="226">
        <v>20687.5</v>
      </c>
      <c r="I839" s="265">
        <f t="shared" si="52"/>
        <v>0</v>
      </c>
    </row>
    <row r="840" spans="1:9" x14ac:dyDescent="0.2">
      <c r="A840" s="202" t="s">
        <v>1347</v>
      </c>
      <c r="B840" s="209" t="s">
        <v>967</v>
      </c>
      <c r="C840" s="209" t="s">
        <v>535</v>
      </c>
      <c r="D840" s="265">
        <v>20687.5</v>
      </c>
      <c r="E840" s="265">
        <v>20687.5</v>
      </c>
      <c r="F840" s="265">
        <f t="shared" si="51"/>
        <v>0</v>
      </c>
      <c r="G840" s="226">
        <v>20687.5</v>
      </c>
      <c r="H840" s="226">
        <v>20687.5</v>
      </c>
      <c r="I840" s="265">
        <f t="shared" si="52"/>
        <v>0</v>
      </c>
    </row>
    <row r="841" spans="1:9" x14ac:dyDescent="0.2">
      <c r="A841" s="202" t="s">
        <v>534</v>
      </c>
      <c r="B841" s="209" t="s">
        <v>967</v>
      </c>
      <c r="C841" s="209" t="s">
        <v>529</v>
      </c>
      <c r="D841" s="265">
        <v>20687.5</v>
      </c>
      <c r="E841" s="265">
        <v>20687.5</v>
      </c>
      <c r="F841" s="265">
        <f t="shared" si="51"/>
        <v>0</v>
      </c>
      <c r="G841" s="226">
        <v>20687.5</v>
      </c>
      <c r="H841" s="226">
        <v>20687.5</v>
      </c>
      <c r="I841" s="265">
        <f t="shared" si="52"/>
        <v>0</v>
      </c>
    </row>
    <row r="842" spans="1:9" x14ac:dyDescent="0.2">
      <c r="A842" s="202" t="s">
        <v>966</v>
      </c>
      <c r="B842" s="209" t="s">
        <v>965</v>
      </c>
      <c r="C842" s="209"/>
      <c r="D842" s="265">
        <v>15759.1</v>
      </c>
      <c r="E842" s="265">
        <v>15759.1</v>
      </c>
      <c r="F842" s="265">
        <f t="shared" si="51"/>
        <v>0</v>
      </c>
      <c r="G842" s="226">
        <v>15759.1</v>
      </c>
      <c r="H842" s="226">
        <v>15759.1</v>
      </c>
      <c r="I842" s="265">
        <f t="shared" si="52"/>
        <v>0</v>
      </c>
    </row>
    <row r="843" spans="1:9" x14ac:dyDescent="0.2">
      <c r="A843" s="202" t="s">
        <v>1347</v>
      </c>
      <c r="B843" s="209" t="s">
        <v>965</v>
      </c>
      <c r="C843" s="209" t="s">
        <v>535</v>
      </c>
      <c r="D843" s="265">
        <v>15759.1</v>
      </c>
      <c r="E843" s="265">
        <v>15759.1</v>
      </c>
      <c r="F843" s="265">
        <f t="shared" si="51"/>
        <v>0</v>
      </c>
      <c r="G843" s="226">
        <v>15759.1</v>
      </c>
      <c r="H843" s="226">
        <v>15759.1</v>
      </c>
      <c r="I843" s="265">
        <f t="shared" si="52"/>
        <v>0</v>
      </c>
    </row>
    <row r="844" spans="1:9" x14ac:dyDescent="0.2">
      <c r="A844" s="202" t="s">
        <v>534</v>
      </c>
      <c r="B844" s="209" t="s">
        <v>965</v>
      </c>
      <c r="C844" s="209" t="s">
        <v>529</v>
      </c>
      <c r="D844" s="265">
        <v>15759.1</v>
      </c>
      <c r="E844" s="265">
        <v>15759.1</v>
      </c>
      <c r="F844" s="265">
        <f t="shared" si="51"/>
        <v>0</v>
      </c>
      <c r="G844" s="226">
        <v>15759.1</v>
      </c>
      <c r="H844" s="226">
        <v>15759.1</v>
      </c>
      <c r="I844" s="265">
        <f t="shared" si="52"/>
        <v>0</v>
      </c>
    </row>
    <row r="845" spans="1:9" x14ac:dyDescent="0.2">
      <c r="A845" s="202" t="s">
        <v>964</v>
      </c>
      <c r="B845" s="209" t="s">
        <v>963</v>
      </c>
      <c r="C845" s="209"/>
      <c r="D845" s="265">
        <v>6000</v>
      </c>
      <c r="E845" s="265">
        <v>6000</v>
      </c>
      <c r="F845" s="265">
        <f t="shared" si="51"/>
        <v>0</v>
      </c>
      <c r="G845" s="226">
        <v>6000</v>
      </c>
      <c r="H845" s="226">
        <v>6000</v>
      </c>
      <c r="I845" s="265">
        <f t="shared" si="52"/>
        <v>0</v>
      </c>
    </row>
    <row r="846" spans="1:9" x14ac:dyDescent="0.2">
      <c r="A846" s="202" t="s">
        <v>547</v>
      </c>
      <c r="B846" s="209" t="s">
        <v>963</v>
      </c>
      <c r="C846" s="209" t="s">
        <v>519</v>
      </c>
      <c r="D846" s="265">
        <v>6000</v>
      </c>
      <c r="E846" s="265">
        <v>6000</v>
      </c>
      <c r="F846" s="265">
        <f t="shared" si="51"/>
        <v>0</v>
      </c>
      <c r="G846" s="226">
        <v>6000</v>
      </c>
      <c r="H846" s="226">
        <v>6000</v>
      </c>
      <c r="I846" s="265">
        <f t="shared" si="52"/>
        <v>0</v>
      </c>
    </row>
    <row r="847" spans="1:9" x14ac:dyDescent="0.2">
      <c r="A847" s="202" t="s">
        <v>571</v>
      </c>
      <c r="B847" s="209" t="s">
        <v>963</v>
      </c>
      <c r="C847" s="209" t="s">
        <v>522</v>
      </c>
      <c r="D847" s="265">
        <v>6000</v>
      </c>
      <c r="E847" s="265">
        <v>6000</v>
      </c>
      <c r="F847" s="265">
        <f t="shared" si="51"/>
        <v>0</v>
      </c>
      <c r="G847" s="226">
        <v>6000</v>
      </c>
      <c r="H847" s="226">
        <v>6000</v>
      </c>
      <c r="I847" s="265">
        <f t="shared" si="52"/>
        <v>0</v>
      </c>
    </row>
    <row r="848" spans="1:9" x14ac:dyDescent="0.2">
      <c r="A848" s="202" t="s">
        <v>962</v>
      </c>
      <c r="B848" s="209" t="s">
        <v>961</v>
      </c>
      <c r="C848" s="209"/>
      <c r="D848" s="265">
        <v>190756.5</v>
      </c>
      <c r="E848" s="265">
        <v>190756.5</v>
      </c>
      <c r="F848" s="265">
        <f t="shared" si="51"/>
        <v>0</v>
      </c>
      <c r="G848" s="226">
        <v>190756.5</v>
      </c>
      <c r="H848" s="226">
        <v>190756.5</v>
      </c>
      <c r="I848" s="265">
        <f t="shared" si="52"/>
        <v>0</v>
      </c>
    </row>
    <row r="849" spans="1:9" x14ac:dyDescent="0.2">
      <c r="A849" s="202" t="s">
        <v>1347</v>
      </c>
      <c r="B849" s="209" t="s">
        <v>961</v>
      </c>
      <c r="C849" s="209" t="s">
        <v>535</v>
      </c>
      <c r="D849" s="265">
        <v>190756.5</v>
      </c>
      <c r="E849" s="265">
        <v>190756.5</v>
      </c>
      <c r="F849" s="265">
        <f t="shared" si="51"/>
        <v>0</v>
      </c>
      <c r="G849" s="226">
        <v>190756.5</v>
      </c>
      <c r="H849" s="226">
        <v>190756.5</v>
      </c>
      <c r="I849" s="265">
        <f t="shared" si="52"/>
        <v>0</v>
      </c>
    </row>
    <row r="850" spans="1:9" x14ac:dyDescent="0.2">
      <c r="A850" s="202" t="s">
        <v>534</v>
      </c>
      <c r="B850" s="209" t="s">
        <v>961</v>
      </c>
      <c r="C850" s="209" t="s">
        <v>529</v>
      </c>
      <c r="D850" s="265">
        <v>190756.5</v>
      </c>
      <c r="E850" s="265">
        <v>190756.5</v>
      </c>
      <c r="F850" s="265">
        <f t="shared" si="51"/>
        <v>0</v>
      </c>
      <c r="G850" s="226">
        <v>190756.5</v>
      </c>
      <c r="H850" s="226">
        <v>190756.5</v>
      </c>
      <c r="I850" s="265">
        <f t="shared" si="52"/>
        <v>0</v>
      </c>
    </row>
    <row r="851" spans="1:9" x14ac:dyDescent="0.2">
      <c r="A851" s="202" t="s">
        <v>960</v>
      </c>
      <c r="B851" s="209" t="s">
        <v>959</v>
      </c>
      <c r="C851" s="209"/>
      <c r="D851" s="265">
        <v>17331</v>
      </c>
      <c r="E851" s="265">
        <v>17331</v>
      </c>
      <c r="F851" s="265">
        <f t="shared" si="51"/>
        <v>0</v>
      </c>
      <c r="G851" s="226">
        <v>17331</v>
      </c>
      <c r="H851" s="226">
        <v>17331</v>
      </c>
      <c r="I851" s="265">
        <f t="shared" si="52"/>
        <v>0</v>
      </c>
    </row>
    <row r="852" spans="1:9" x14ac:dyDescent="0.2">
      <c r="A852" s="202" t="s">
        <v>1347</v>
      </c>
      <c r="B852" s="209" t="s">
        <v>959</v>
      </c>
      <c r="C852" s="209" t="s">
        <v>535</v>
      </c>
      <c r="D852" s="265">
        <v>17331</v>
      </c>
      <c r="E852" s="265">
        <v>17331</v>
      </c>
      <c r="F852" s="265">
        <f t="shared" si="51"/>
        <v>0</v>
      </c>
      <c r="G852" s="226">
        <v>17331</v>
      </c>
      <c r="H852" s="226">
        <v>17331</v>
      </c>
      <c r="I852" s="265">
        <f t="shared" si="52"/>
        <v>0</v>
      </c>
    </row>
    <row r="853" spans="1:9" x14ac:dyDescent="0.2">
      <c r="A853" s="202" t="s">
        <v>534</v>
      </c>
      <c r="B853" s="209" t="s">
        <v>959</v>
      </c>
      <c r="C853" s="209" t="s">
        <v>529</v>
      </c>
      <c r="D853" s="265">
        <v>17331</v>
      </c>
      <c r="E853" s="265">
        <v>17331</v>
      </c>
      <c r="F853" s="265">
        <f t="shared" si="51"/>
        <v>0</v>
      </c>
      <c r="G853" s="226">
        <v>17331</v>
      </c>
      <c r="H853" s="226">
        <v>17331</v>
      </c>
      <c r="I853" s="265">
        <f t="shared" si="52"/>
        <v>0</v>
      </c>
    </row>
    <row r="854" spans="1:9" ht="22.5" x14ac:dyDescent="0.2">
      <c r="A854" s="202" t="s">
        <v>958</v>
      </c>
      <c r="B854" s="209" t="s">
        <v>957</v>
      </c>
      <c r="C854" s="209"/>
      <c r="D854" s="265">
        <v>3000</v>
      </c>
      <c r="E854" s="265">
        <v>3000</v>
      </c>
      <c r="F854" s="265">
        <f t="shared" si="51"/>
        <v>0</v>
      </c>
      <c r="G854" s="226">
        <v>3000</v>
      </c>
      <c r="H854" s="226">
        <v>3000</v>
      </c>
      <c r="I854" s="265">
        <f t="shared" si="52"/>
        <v>0</v>
      </c>
    </row>
    <row r="855" spans="1:9" x14ac:dyDescent="0.2">
      <c r="A855" s="202" t="s">
        <v>1347</v>
      </c>
      <c r="B855" s="209" t="s">
        <v>957</v>
      </c>
      <c r="C855" s="209" t="s">
        <v>535</v>
      </c>
      <c r="D855" s="265">
        <v>3000</v>
      </c>
      <c r="E855" s="265">
        <v>3000</v>
      </c>
      <c r="F855" s="265">
        <f t="shared" si="51"/>
        <v>0</v>
      </c>
      <c r="G855" s="226">
        <v>3000</v>
      </c>
      <c r="H855" s="226">
        <v>3000</v>
      </c>
      <c r="I855" s="265">
        <f t="shared" si="52"/>
        <v>0</v>
      </c>
    </row>
    <row r="856" spans="1:9" x14ac:dyDescent="0.2">
      <c r="A856" s="202" t="s">
        <v>534</v>
      </c>
      <c r="B856" s="209" t="s">
        <v>957</v>
      </c>
      <c r="C856" s="209" t="s">
        <v>529</v>
      </c>
      <c r="D856" s="265">
        <v>3000</v>
      </c>
      <c r="E856" s="265">
        <v>3000</v>
      </c>
      <c r="F856" s="265">
        <f t="shared" si="51"/>
        <v>0</v>
      </c>
      <c r="G856" s="226">
        <v>3000</v>
      </c>
      <c r="H856" s="226">
        <v>3000</v>
      </c>
      <c r="I856" s="265">
        <f t="shared" si="52"/>
        <v>0</v>
      </c>
    </row>
    <row r="857" spans="1:9" ht="22.5" x14ac:dyDescent="0.2">
      <c r="A857" s="202" t="s">
        <v>1549</v>
      </c>
      <c r="B857" s="209" t="s">
        <v>956</v>
      </c>
      <c r="C857" s="209"/>
      <c r="D857" s="265">
        <v>372.6</v>
      </c>
      <c r="E857" s="265">
        <f>E858</f>
        <v>372.6</v>
      </c>
      <c r="F857" s="281">
        <f t="shared" si="51"/>
        <v>0</v>
      </c>
      <c r="G857" s="226">
        <v>372.6</v>
      </c>
      <c r="H857" s="226">
        <f>H858</f>
        <v>372.6</v>
      </c>
      <c r="I857" s="281">
        <f t="shared" si="52"/>
        <v>0</v>
      </c>
    </row>
    <row r="858" spans="1:9" s="406" customFormat="1" x14ac:dyDescent="0.2">
      <c r="A858" s="202" t="s">
        <v>547</v>
      </c>
      <c r="B858" s="209" t="s">
        <v>956</v>
      </c>
      <c r="C858" s="209">
        <v>600</v>
      </c>
      <c r="D858" s="265">
        <v>372.6</v>
      </c>
      <c r="E858" s="265">
        <f>E859</f>
        <v>372.6</v>
      </c>
      <c r="F858" s="265">
        <f t="shared" si="51"/>
        <v>0</v>
      </c>
      <c r="G858" s="226">
        <v>372.6</v>
      </c>
      <c r="H858" s="226">
        <f>H859</f>
        <v>372.6</v>
      </c>
      <c r="I858" s="265">
        <f t="shared" si="52"/>
        <v>0</v>
      </c>
    </row>
    <row r="859" spans="1:9" s="406" customFormat="1" x14ac:dyDescent="0.2">
      <c r="A859" s="202" t="s">
        <v>571</v>
      </c>
      <c r="B859" s="209" t="s">
        <v>956</v>
      </c>
      <c r="C859" s="209">
        <v>610</v>
      </c>
      <c r="D859" s="265">
        <v>372.6</v>
      </c>
      <c r="E859" s="265">
        <f>'Функциональная 2021-2022'!H653</f>
        <v>372.6</v>
      </c>
      <c r="F859" s="265">
        <f t="shared" si="51"/>
        <v>0</v>
      </c>
      <c r="G859" s="226">
        <v>372.6</v>
      </c>
      <c r="H859" s="226">
        <f>'Функциональная 2021-2022'!N653</f>
        <v>372.6</v>
      </c>
      <c r="I859" s="265">
        <f t="shared" si="52"/>
        <v>0</v>
      </c>
    </row>
    <row r="860" spans="1:9" ht="22.5" x14ac:dyDescent="0.2">
      <c r="A860" s="202" t="s">
        <v>948</v>
      </c>
      <c r="B860" s="209" t="s">
        <v>955</v>
      </c>
      <c r="C860" s="209"/>
      <c r="D860" s="265">
        <v>329.1</v>
      </c>
      <c r="E860" s="265">
        <v>329.1</v>
      </c>
      <c r="F860" s="265">
        <f t="shared" si="51"/>
        <v>0</v>
      </c>
      <c r="G860" s="226">
        <v>329.1</v>
      </c>
      <c r="H860" s="226">
        <v>329.1</v>
      </c>
      <c r="I860" s="265">
        <f t="shared" si="52"/>
        <v>0</v>
      </c>
    </row>
    <row r="861" spans="1:9" ht="22.5" x14ac:dyDescent="0.2">
      <c r="A861" s="202" t="s">
        <v>1348</v>
      </c>
      <c r="B861" s="209" t="s">
        <v>955</v>
      </c>
      <c r="C861" s="209" t="s">
        <v>556</v>
      </c>
      <c r="D861" s="265">
        <v>295.8</v>
      </c>
      <c r="E861" s="265">
        <v>295.8</v>
      </c>
      <c r="F861" s="265">
        <f t="shared" si="51"/>
        <v>0</v>
      </c>
      <c r="G861" s="226">
        <v>295.8</v>
      </c>
      <c r="H861" s="226">
        <v>295.8</v>
      </c>
      <c r="I861" s="265">
        <f t="shared" si="52"/>
        <v>0</v>
      </c>
    </row>
    <row r="862" spans="1:9" x14ac:dyDescent="0.2">
      <c r="A862" s="202" t="s">
        <v>555</v>
      </c>
      <c r="B862" s="209" t="s">
        <v>955</v>
      </c>
      <c r="C862" s="209" t="s">
        <v>554</v>
      </c>
      <c r="D862" s="265">
        <v>295.8</v>
      </c>
      <c r="E862" s="265">
        <v>295.8</v>
      </c>
      <c r="F862" s="265">
        <f t="shared" si="51"/>
        <v>0</v>
      </c>
      <c r="G862" s="226">
        <v>295.8</v>
      </c>
      <c r="H862" s="226">
        <v>295.8</v>
      </c>
      <c r="I862" s="265">
        <f t="shared" si="52"/>
        <v>0</v>
      </c>
    </row>
    <row r="863" spans="1:9" x14ac:dyDescent="0.2">
      <c r="A863" s="202" t="s">
        <v>1347</v>
      </c>
      <c r="B863" s="209" t="s">
        <v>955</v>
      </c>
      <c r="C863" s="209" t="s">
        <v>535</v>
      </c>
      <c r="D863" s="265">
        <v>33.299999999999997</v>
      </c>
      <c r="E863" s="265">
        <v>33.299999999999997</v>
      </c>
      <c r="F863" s="265">
        <f t="shared" si="51"/>
        <v>0</v>
      </c>
      <c r="G863" s="226">
        <v>33.299999999999997</v>
      </c>
      <c r="H863" s="226">
        <v>33.299999999999997</v>
      </c>
      <c r="I863" s="265">
        <f t="shared" si="52"/>
        <v>0</v>
      </c>
    </row>
    <row r="864" spans="1:9" x14ac:dyDescent="0.2">
      <c r="A864" s="202" t="s">
        <v>534</v>
      </c>
      <c r="B864" s="209" t="s">
        <v>955</v>
      </c>
      <c r="C864" s="209" t="s">
        <v>529</v>
      </c>
      <c r="D864" s="265">
        <v>33.299999999999997</v>
      </c>
      <c r="E864" s="265">
        <v>33.299999999999997</v>
      </c>
      <c r="F864" s="265">
        <f t="shared" si="51"/>
        <v>0</v>
      </c>
      <c r="G864" s="226">
        <v>33.299999999999997</v>
      </c>
      <c r="H864" s="226">
        <v>33.299999999999997</v>
      </c>
      <c r="I864" s="265">
        <f t="shared" si="52"/>
        <v>0</v>
      </c>
    </row>
    <row r="865" spans="1:9" ht="22.5" x14ac:dyDescent="0.2">
      <c r="A865" s="202" t="s">
        <v>946</v>
      </c>
      <c r="B865" s="209" t="s">
        <v>954</v>
      </c>
      <c r="C865" s="209"/>
      <c r="D865" s="265">
        <v>184.1</v>
      </c>
      <c r="E865" s="265">
        <v>184.1</v>
      </c>
      <c r="F865" s="265">
        <f t="shared" si="51"/>
        <v>0</v>
      </c>
      <c r="G865" s="226">
        <v>184.1</v>
      </c>
      <c r="H865" s="226">
        <v>184.1</v>
      </c>
      <c r="I865" s="265">
        <f t="shared" si="52"/>
        <v>0</v>
      </c>
    </row>
    <row r="866" spans="1:9" ht="22.5" x14ac:dyDescent="0.2">
      <c r="A866" s="202" t="s">
        <v>1348</v>
      </c>
      <c r="B866" s="209" t="s">
        <v>954</v>
      </c>
      <c r="C866" s="209" t="s">
        <v>556</v>
      </c>
      <c r="D866" s="265">
        <v>117.4</v>
      </c>
      <c r="E866" s="265">
        <v>117.4</v>
      </c>
      <c r="F866" s="265">
        <f t="shared" si="51"/>
        <v>0</v>
      </c>
      <c r="G866" s="226">
        <v>117.4</v>
      </c>
      <c r="H866" s="226">
        <v>117.4</v>
      </c>
      <c r="I866" s="265">
        <f t="shared" si="52"/>
        <v>0</v>
      </c>
    </row>
    <row r="867" spans="1:9" x14ac:dyDescent="0.2">
      <c r="A867" s="202" t="s">
        <v>555</v>
      </c>
      <c r="B867" s="209" t="s">
        <v>954</v>
      </c>
      <c r="C867" s="209" t="s">
        <v>554</v>
      </c>
      <c r="D867" s="265">
        <v>117.4</v>
      </c>
      <c r="E867" s="265">
        <v>117.4</v>
      </c>
      <c r="F867" s="265">
        <f t="shared" si="51"/>
        <v>0</v>
      </c>
      <c r="G867" s="226">
        <v>117.4</v>
      </c>
      <c r="H867" s="226">
        <v>117.4</v>
      </c>
      <c r="I867" s="265">
        <f t="shared" si="52"/>
        <v>0</v>
      </c>
    </row>
    <row r="868" spans="1:9" x14ac:dyDescent="0.2">
      <c r="A868" s="202" t="s">
        <v>1347</v>
      </c>
      <c r="B868" s="209" t="s">
        <v>954</v>
      </c>
      <c r="C868" s="209" t="s">
        <v>535</v>
      </c>
      <c r="D868" s="265">
        <v>66.7</v>
      </c>
      <c r="E868" s="265">
        <v>66.7</v>
      </c>
      <c r="F868" s="265">
        <f t="shared" si="51"/>
        <v>0</v>
      </c>
      <c r="G868" s="226">
        <v>66.7</v>
      </c>
      <c r="H868" s="226">
        <v>66.7</v>
      </c>
      <c r="I868" s="265">
        <f t="shared" si="52"/>
        <v>0</v>
      </c>
    </row>
    <row r="869" spans="1:9" x14ac:dyDescent="0.2">
      <c r="A869" s="202" t="s">
        <v>534</v>
      </c>
      <c r="B869" s="209" t="s">
        <v>954</v>
      </c>
      <c r="C869" s="209" t="s">
        <v>529</v>
      </c>
      <c r="D869" s="265">
        <v>66.7</v>
      </c>
      <c r="E869" s="265">
        <v>66.7</v>
      </c>
      <c r="F869" s="265">
        <f t="shared" si="51"/>
        <v>0</v>
      </c>
      <c r="G869" s="226">
        <v>66.7</v>
      </c>
      <c r="H869" s="226">
        <v>66.7</v>
      </c>
      <c r="I869" s="265">
        <f t="shared" si="52"/>
        <v>0</v>
      </c>
    </row>
    <row r="870" spans="1:9" ht="22.5" x14ac:dyDescent="0.2">
      <c r="A870" s="202" t="s">
        <v>953</v>
      </c>
      <c r="B870" s="209" t="s">
        <v>952</v>
      </c>
      <c r="C870" s="209"/>
      <c r="D870" s="265">
        <v>22826.400000000001</v>
      </c>
      <c r="E870" s="265">
        <v>22826.400000000001</v>
      </c>
      <c r="F870" s="265">
        <f t="shared" si="51"/>
        <v>0</v>
      </c>
      <c r="G870" s="226">
        <v>22826.400000000001</v>
      </c>
      <c r="H870" s="226">
        <v>22826.400000000001</v>
      </c>
      <c r="I870" s="265">
        <f t="shared" si="52"/>
        <v>0</v>
      </c>
    </row>
    <row r="871" spans="1:9" x14ac:dyDescent="0.2">
      <c r="A871" s="202" t="s">
        <v>547</v>
      </c>
      <c r="B871" s="209" t="s">
        <v>952</v>
      </c>
      <c r="C871" s="209" t="s">
        <v>519</v>
      </c>
      <c r="D871" s="265">
        <v>22826.400000000001</v>
      </c>
      <c r="E871" s="265">
        <v>22826.400000000001</v>
      </c>
      <c r="F871" s="265">
        <f t="shared" si="51"/>
        <v>0</v>
      </c>
      <c r="G871" s="226">
        <v>22826.400000000001</v>
      </c>
      <c r="H871" s="226">
        <v>22826.400000000001</v>
      </c>
      <c r="I871" s="265">
        <f t="shared" si="52"/>
        <v>0</v>
      </c>
    </row>
    <row r="872" spans="1:9" x14ac:dyDescent="0.2">
      <c r="A872" s="202" t="s">
        <v>571</v>
      </c>
      <c r="B872" s="209" t="s">
        <v>952</v>
      </c>
      <c r="C872" s="209" t="s">
        <v>522</v>
      </c>
      <c r="D872" s="265">
        <v>22826.400000000001</v>
      </c>
      <c r="E872" s="265">
        <v>22826.400000000001</v>
      </c>
      <c r="F872" s="265">
        <f t="shared" si="51"/>
        <v>0</v>
      </c>
      <c r="G872" s="226">
        <v>22826.400000000001</v>
      </c>
      <c r="H872" s="226">
        <v>22826.400000000001</v>
      </c>
      <c r="I872" s="265">
        <f t="shared" si="52"/>
        <v>0</v>
      </c>
    </row>
    <row r="873" spans="1:9" ht="22.5" x14ac:dyDescent="0.2">
      <c r="A873" s="202" t="s">
        <v>951</v>
      </c>
      <c r="B873" s="209" t="s">
        <v>950</v>
      </c>
      <c r="C873" s="209"/>
      <c r="D873" s="265">
        <v>39869</v>
      </c>
      <c r="E873" s="265">
        <v>39869</v>
      </c>
      <c r="F873" s="265">
        <f t="shared" si="51"/>
        <v>0</v>
      </c>
      <c r="G873" s="226">
        <v>39869</v>
      </c>
      <c r="H873" s="226">
        <v>39869</v>
      </c>
      <c r="I873" s="265">
        <f t="shared" si="52"/>
        <v>0</v>
      </c>
    </row>
    <row r="874" spans="1:9" x14ac:dyDescent="0.2">
      <c r="A874" s="202" t="s">
        <v>547</v>
      </c>
      <c r="B874" s="209" t="s">
        <v>950</v>
      </c>
      <c r="C874" s="209" t="s">
        <v>519</v>
      </c>
      <c r="D874" s="265">
        <v>39869</v>
      </c>
      <c r="E874" s="265">
        <v>39869</v>
      </c>
      <c r="F874" s="265">
        <f t="shared" si="51"/>
        <v>0</v>
      </c>
      <c r="G874" s="226">
        <v>39869</v>
      </c>
      <c r="H874" s="226">
        <v>39869</v>
      </c>
      <c r="I874" s="265">
        <f t="shared" si="52"/>
        <v>0</v>
      </c>
    </row>
    <row r="875" spans="1:9" x14ac:dyDescent="0.2">
      <c r="A875" s="202" t="s">
        <v>571</v>
      </c>
      <c r="B875" s="209" t="s">
        <v>950</v>
      </c>
      <c r="C875" s="209" t="s">
        <v>522</v>
      </c>
      <c r="D875" s="265">
        <v>39869</v>
      </c>
      <c r="E875" s="265">
        <v>39869</v>
      </c>
      <c r="F875" s="265">
        <f t="shared" si="51"/>
        <v>0</v>
      </c>
      <c r="G875" s="226">
        <v>39869</v>
      </c>
      <c r="H875" s="226">
        <v>39869</v>
      </c>
      <c r="I875" s="265">
        <f t="shared" si="52"/>
        <v>0</v>
      </c>
    </row>
    <row r="876" spans="1:9" ht="22.5" x14ac:dyDescent="0.2">
      <c r="A876" s="202" t="s">
        <v>1549</v>
      </c>
      <c r="B876" s="209" t="s">
        <v>949</v>
      </c>
      <c r="C876" s="209"/>
      <c r="D876" s="265">
        <v>148612.29999999999</v>
      </c>
      <c r="E876" s="265">
        <f>E877</f>
        <v>148612.29999999999</v>
      </c>
      <c r="F876" s="265">
        <f t="shared" si="51"/>
        <v>0</v>
      </c>
      <c r="G876" s="226">
        <v>148612.29999999999</v>
      </c>
      <c r="H876" s="226">
        <f>H877</f>
        <v>148612.29999999999</v>
      </c>
      <c r="I876" s="265">
        <f t="shared" si="52"/>
        <v>0</v>
      </c>
    </row>
    <row r="877" spans="1:9" s="406" customFormat="1" x14ac:dyDescent="0.2">
      <c r="A877" s="202" t="s">
        <v>547</v>
      </c>
      <c r="B877" s="209" t="s">
        <v>949</v>
      </c>
      <c r="C877" s="209">
        <v>600</v>
      </c>
      <c r="D877" s="265">
        <v>148612.29999999999</v>
      </c>
      <c r="E877" s="265">
        <f>E878</f>
        <v>148612.29999999999</v>
      </c>
      <c r="F877" s="265">
        <f t="shared" si="51"/>
        <v>0</v>
      </c>
      <c r="G877" s="226">
        <v>148612.29999999999</v>
      </c>
      <c r="H877" s="226">
        <f>H878</f>
        <v>148612.29999999999</v>
      </c>
      <c r="I877" s="265">
        <f t="shared" si="52"/>
        <v>0</v>
      </c>
    </row>
    <row r="878" spans="1:9" s="406" customFormat="1" x14ac:dyDescent="0.2">
      <c r="A878" s="202" t="s">
        <v>571</v>
      </c>
      <c r="B878" s="209" t="s">
        <v>949</v>
      </c>
      <c r="C878" s="209">
        <v>610</v>
      </c>
      <c r="D878" s="265">
        <v>148612.29999999999</v>
      </c>
      <c r="E878" s="265">
        <f>'Функциональная 2021-2022'!H672</f>
        <v>148612.29999999999</v>
      </c>
      <c r="F878" s="265">
        <f t="shared" si="51"/>
        <v>0</v>
      </c>
      <c r="G878" s="226">
        <v>148612.29999999999</v>
      </c>
      <c r="H878" s="226">
        <f>'Функциональная 2021-2022'!N672</f>
        <v>148612.29999999999</v>
      </c>
      <c r="I878" s="265">
        <f t="shared" si="52"/>
        <v>0</v>
      </c>
    </row>
    <row r="879" spans="1:9" ht="22.5" x14ac:dyDescent="0.2">
      <c r="A879" s="202" t="s">
        <v>948</v>
      </c>
      <c r="B879" s="209" t="s">
        <v>947</v>
      </c>
      <c r="C879" s="209"/>
      <c r="D879" s="265">
        <v>27217.4</v>
      </c>
      <c r="E879" s="265">
        <v>27217.4</v>
      </c>
      <c r="F879" s="265">
        <f t="shared" si="51"/>
        <v>0</v>
      </c>
      <c r="G879" s="226">
        <v>27217.4</v>
      </c>
      <c r="H879" s="226">
        <v>27217.4</v>
      </c>
      <c r="I879" s="265">
        <f t="shared" si="52"/>
        <v>0</v>
      </c>
    </row>
    <row r="880" spans="1:9" ht="22.5" x14ac:dyDescent="0.2">
      <c r="A880" s="202" t="s">
        <v>1348</v>
      </c>
      <c r="B880" s="209" t="s">
        <v>947</v>
      </c>
      <c r="C880" s="209" t="s">
        <v>556</v>
      </c>
      <c r="D880" s="265">
        <v>22175</v>
      </c>
      <c r="E880" s="265">
        <v>22175</v>
      </c>
      <c r="F880" s="265">
        <f t="shared" si="51"/>
        <v>0</v>
      </c>
      <c r="G880" s="226">
        <v>22175</v>
      </c>
      <c r="H880" s="226">
        <v>22175</v>
      </c>
      <c r="I880" s="265">
        <f t="shared" si="52"/>
        <v>0</v>
      </c>
    </row>
    <row r="881" spans="1:9" x14ac:dyDescent="0.2">
      <c r="A881" s="202" t="s">
        <v>555</v>
      </c>
      <c r="B881" s="209" t="s">
        <v>947</v>
      </c>
      <c r="C881" s="209" t="s">
        <v>554</v>
      </c>
      <c r="D881" s="265">
        <v>22175</v>
      </c>
      <c r="E881" s="265">
        <v>22175</v>
      </c>
      <c r="F881" s="265">
        <f t="shared" si="51"/>
        <v>0</v>
      </c>
      <c r="G881" s="226">
        <v>22175</v>
      </c>
      <c r="H881" s="226">
        <v>22175</v>
      </c>
      <c r="I881" s="265">
        <f t="shared" si="52"/>
        <v>0</v>
      </c>
    </row>
    <row r="882" spans="1:9" x14ac:dyDescent="0.2">
      <c r="A882" s="202" t="s">
        <v>1347</v>
      </c>
      <c r="B882" s="209" t="s">
        <v>947</v>
      </c>
      <c r="C882" s="209" t="s">
        <v>535</v>
      </c>
      <c r="D882" s="265">
        <v>4105</v>
      </c>
      <c r="E882" s="265">
        <v>4105</v>
      </c>
      <c r="F882" s="265">
        <f t="shared" si="51"/>
        <v>0</v>
      </c>
      <c r="G882" s="226">
        <v>4105</v>
      </c>
      <c r="H882" s="226">
        <v>4105</v>
      </c>
      <c r="I882" s="265">
        <f t="shared" si="52"/>
        <v>0</v>
      </c>
    </row>
    <row r="883" spans="1:9" x14ac:dyDescent="0.2">
      <c r="A883" s="202" t="s">
        <v>534</v>
      </c>
      <c r="B883" s="209" t="s">
        <v>947</v>
      </c>
      <c r="C883" s="209" t="s">
        <v>529</v>
      </c>
      <c r="D883" s="265">
        <v>4105</v>
      </c>
      <c r="E883" s="265">
        <v>4105</v>
      </c>
      <c r="F883" s="265">
        <f t="shared" si="51"/>
        <v>0</v>
      </c>
      <c r="G883" s="226">
        <v>4105</v>
      </c>
      <c r="H883" s="226">
        <v>4105</v>
      </c>
      <c r="I883" s="265">
        <f t="shared" si="52"/>
        <v>0</v>
      </c>
    </row>
    <row r="884" spans="1:9" x14ac:dyDescent="0.2">
      <c r="A884" s="202" t="s">
        <v>615</v>
      </c>
      <c r="B884" s="209" t="s">
        <v>947</v>
      </c>
      <c r="C884" s="209" t="s">
        <v>509</v>
      </c>
      <c r="D884" s="265">
        <v>937.4</v>
      </c>
      <c r="E884" s="265">
        <v>937.4</v>
      </c>
      <c r="F884" s="265">
        <f t="shared" si="51"/>
        <v>0</v>
      </c>
      <c r="G884" s="226">
        <v>937.4</v>
      </c>
      <c r="H884" s="226">
        <v>937.4</v>
      </c>
      <c r="I884" s="265">
        <f t="shared" si="52"/>
        <v>0</v>
      </c>
    </row>
    <row r="885" spans="1:9" x14ac:dyDescent="0.2">
      <c r="A885" s="202" t="s">
        <v>614</v>
      </c>
      <c r="B885" s="209" t="s">
        <v>947</v>
      </c>
      <c r="C885" s="209" t="s">
        <v>613</v>
      </c>
      <c r="D885" s="265">
        <v>937.4</v>
      </c>
      <c r="E885" s="265">
        <v>937.4</v>
      </c>
      <c r="F885" s="265">
        <f t="shared" si="51"/>
        <v>0</v>
      </c>
      <c r="G885" s="226">
        <v>937.4</v>
      </c>
      <c r="H885" s="226">
        <v>937.4</v>
      </c>
      <c r="I885" s="265">
        <f t="shared" si="52"/>
        <v>0</v>
      </c>
    </row>
    <row r="886" spans="1:9" ht="22.5" x14ac:dyDescent="0.2">
      <c r="A886" s="202" t="s">
        <v>946</v>
      </c>
      <c r="B886" s="209" t="s">
        <v>945</v>
      </c>
      <c r="C886" s="209"/>
      <c r="D886" s="265">
        <v>15997.9</v>
      </c>
      <c r="E886" s="265">
        <v>15997.9</v>
      </c>
      <c r="F886" s="265">
        <f t="shared" si="51"/>
        <v>0</v>
      </c>
      <c r="G886" s="226">
        <v>15997.9</v>
      </c>
      <c r="H886" s="226">
        <v>15997.9</v>
      </c>
      <c r="I886" s="265">
        <f t="shared" si="52"/>
        <v>0</v>
      </c>
    </row>
    <row r="887" spans="1:9" ht="22.5" x14ac:dyDescent="0.2">
      <c r="A887" s="202" t="s">
        <v>1348</v>
      </c>
      <c r="B887" s="209" t="s">
        <v>945</v>
      </c>
      <c r="C887" s="209" t="s">
        <v>556</v>
      </c>
      <c r="D887" s="265">
        <v>15177.4</v>
      </c>
      <c r="E887" s="265">
        <v>15177.4</v>
      </c>
      <c r="F887" s="265">
        <f t="shared" si="51"/>
        <v>0</v>
      </c>
      <c r="G887" s="226">
        <v>15177.4</v>
      </c>
      <c r="H887" s="226">
        <v>15177.4</v>
      </c>
      <c r="I887" s="265">
        <f t="shared" si="52"/>
        <v>0</v>
      </c>
    </row>
    <row r="888" spans="1:9" x14ac:dyDescent="0.2">
      <c r="A888" s="202" t="s">
        <v>555</v>
      </c>
      <c r="B888" s="209" t="s">
        <v>945</v>
      </c>
      <c r="C888" s="209" t="s">
        <v>554</v>
      </c>
      <c r="D888" s="265">
        <v>15177.4</v>
      </c>
      <c r="E888" s="265">
        <v>15177.4</v>
      </c>
      <c r="F888" s="265">
        <f t="shared" si="51"/>
        <v>0</v>
      </c>
      <c r="G888" s="226">
        <v>15177.4</v>
      </c>
      <c r="H888" s="226">
        <v>15177.4</v>
      </c>
      <c r="I888" s="265">
        <f t="shared" si="52"/>
        <v>0</v>
      </c>
    </row>
    <row r="889" spans="1:9" x14ac:dyDescent="0.2">
      <c r="A889" s="202" t="s">
        <v>1347</v>
      </c>
      <c r="B889" s="209" t="s">
        <v>945</v>
      </c>
      <c r="C889" s="209" t="s">
        <v>535</v>
      </c>
      <c r="D889" s="265">
        <v>820.5</v>
      </c>
      <c r="E889" s="265">
        <v>820.5</v>
      </c>
      <c r="F889" s="265">
        <f t="shared" si="51"/>
        <v>0</v>
      </c>
      <c r="G889" s="226">
        <v>820.5</v>
      </c>
      <c r="H889" s="226">
        <v>820.5</v>
      </c>
      <c r="I889" s="265">
        <f t="shared" si="52"/>
        <v>0</v>
      </c>
    </row>
    <row r="890" spans="1:9" x14ac:dyDescent="0.2">
      <c r="A890" s="202" t="s">
        <v>534</v>
      </c>
      <c r="B890" s="209" t="s">
        <v>945</v>
      </c>
      <c r="C890" s="209" t="s">
        <v>529</v>
      </c>
      <c r="D890" s="265">
        <v>820.5</v>
      </c>
      <c r="E890" s="265">
        <v>820.5</v>
      </c>
      <c r="F890" s="265">
        <f t="shared" si="51"/>
        <v>0</v>
      </c>
      <c r="G890" s="226">
        <v>820.5</v>
      </c>
      <c r="H890" s="226">
        <v>820.5</v>
      </c>
      <c r="I890" s="265">
        <f t="shared" si="52"/>
        <v>0</v>
      </c>
    </row>
    <row r="891" spans="1:9" ht="22.5" x14ac:dyDescent="0.2">
      <c r="A891" s="199" t="s">
        <v>1022</v>
      </c>
      <c r="B891" s="212" t="s">
        <v>1021</v>
      </c>
      <c r="C891" s="212"/>
      <c r="D891" s="263">
        <v>16748.7</v>
      </c>
      <c r="E891" s="263">
        <f>E892+E896</f>
        <v>16748.7</v>
      </c>
      <c r="F891" s="282">
        <f t="shared" si="51"/>
        <v>0</v>
      </c>
      <c r="G891" s="205">
        <v>9680.7000000000007</v>
      </c>
      <c r="H891" s="205">
        <v>9680.7000000000007</v>
      </c>
      <c r="I891" s="263">
        <f t="shared" si="52"/>
        <v>0</v>
      </c>
    </row>
    <row r="892" spans="1:9" x14ac:dyDescent="0.2">
      <c r="A892" s="199" t="s">
        <v>1034</v>
      </c>
      <c r="B892" s="212" t="s">
        <v>1033</v>
      </c>
      <c r="C892" s="212"/>
      <c r="D892" s="263">
        <v>7068</v>
      </c>
      <c r="E892" s="263">
        <f>E893</f>
        <v>7068</v>
      </c>
      <c r="F892" s="282">
        <f t="shared" si="51"/>
        <v>0</v>
      </c>
      <c r="G892" s="205">
        <v>0</v>
      </c>
      <c r="H892" s="205">
        <v>0</v>
      </c>
      <c r="I892" s="263">
        <f t="shared" si="52"/>
        <v>0</v>
      </c>
    </row>
    <row r="893" spans="1:9" x14ac:dyDescent="0.2">
      <c r="A893" s="202" t="s">
        <v>1032</v>
      </c>
      <c r="B893" s="209" t="s">
        <v>1031</v>
      </c>
      <c r="C893" s="209"/>
      <c r="D893" s="265">
        <v>7068</v>
      </c>
      <c r="E893" s="265">
        <f>E894</f>
        <v>7068</v>
      </c>
      <c r="F893" s="281">
        <f t="shared" si="51"/>
        <v>0</v>
      </c>
      <c r="G893" s="226">
        <v>0</v>
      </c>
      <c r="H893" s="226">
        <v>0</v>
      </c>
      <c r="I893" s="265">
        <f t="shared" si="52"/>
        <v>0</v>
      </c>
    </row>
    <row r="894" spans="1:9" x14ac:dyDescent="0.2">
      <c r="A894" s="202" t="s">
        <v>615</v>
      </c>
      <c r="B894" s="209" t="s">
        <v>1031</v>
      </c>
      <c r="C894" s="209" t="s">
        <v>509</v>
      </c>
      <c r="D894" s="265">
        <v>7068</v>
      </c>
      <c r="E894" s="265">
        <f>E895</f>
        <v>7068</v>
      </c>
      <c r="F894" s="281">
        <f t="shared" si="51"/>
        <v>0</v>
      </c>
      <c r="G894" s="226">
        <v>0</v>
      </c>
      <c r="H894" s="226">
        <v>0</v>
      </c>
      <c r="I894" s="265">
        <f t="shared" si="52"/>
        <v>0</v>
      </c>
    </row>
    <row r="895" spans="1:9" ht="22.5" x14ac:dyDescent="0.2">
      <c r="A895" s="202" t="s">
        <v>1346</v>
      </c>
      <c r="B895" s="209" t="s">
        <v>1031</v>
      </c>
      <c r="C895" s="209" t="s">
        <v>511</v>
      </c>
      <c r="D895" s="265">
        <v>7068</v>
      </c>
      <c r="E895" s="265">
        <f>'Функциональная 2021-2022'!H520</f>
        <v>7068</v>
      </c>
      <c r="F895" s="281">
        <f t="shared" si="51"/>
        <v>0</v>
      </c>
      <c r="G895" s="226">
        <v>0</v>
      </c>
      <c r="H895" s="226">
        <v>0</v>
      </c>
      <c r="I895" s="265">
        <f t="shared" si="52"/>
        <v>0</v>
      </c>
    </row>
    <row r="896" spans="1:9" ht="22.5" x14ac:dyDescent="0.2">
      <c r="A896" s="199" t="s">
        <v>1020</v>
      </c>
      <c r="B896" s="212" t="s">
        <v>1019</v>
      </c>
      <c r="C896" s="212"/>
      <c r="D896" s="263">
        <v>9680.7000000000007</v>
      </c>
      <c r="E896" s="263">
        <v>9680.7000000000007</v>
      </c>
      <c r="F896" s="263">
        <f t="shared" ref="F896:F927" si="53">E896-D896</f>
        <v>0</v>
      </c>
      <c r="G896" s="205">
        <v>9680.7000000000007</v>
      </c>
      <c r="H896" s="205">
        <v>9680.7000000000007</v>
      </c>
      <c r="I896" s="263">
        <f t="shared" ref="I896:I927" si="54">H896-G896</f>
        <v>0</v>
      </c>
    </row>
    <row r="897" spans="1:9" x14ac:dyDescent="0.2">
      <c r="A897" s="202" t="s">
        <v>1018</v>
      </c>
      <c r="B897" s="209" t="s">
        <v>1017</v>
      </c>
      <c r="C897" s="209"/>
      <c r="D897" s="265">
        <v>6680.7</v>
      </c>
      <c r="E897" s="265">
        <v>6680.7</v>
      </c>
      <c r="F897" s="265">
        <f t="shared" si="53"/>
        <v>0</v>
      </c>
      <c r="G897" s="226">
        <v>6680.7</v>
      </c>
      <c r="H897" s="226">
        <v>6680.7</v>
      </c>
      <c r="I897" s="265">
        <f t="shared" si="54"/>
        <v>0</v>
      </c>
    </row>
    <row r="898" spans="1:9" x14ac:dyDescent="0.2">
      <c r="A898" s="202" t="s">
        <v>1347</v>
      </c>
      <c r="B898" s="209" t="s">
        <v>1017</v>
      </c>
      <c r="C898" s="209" t="s">
        <v>535</v>
      </c>
      <c r="D898" s="265">
        <v>500</v>
      </c>
      <c r="E898" s="265">
        <v>500</v>
      </c>
      <c r="F898" s="265">
        <f t="shared" si="53"/>
        <v>0</v>
      </c>
      <c r="G898" s="226">
        <v>500</v>
      </c>
      <c r="H898" s="226">
        <v>500</v>
      </c>
      <c r="I898" s="265">
        <f t="shared" si="54"/>
        <v>0</v>
      </c>
    </row>
    <row r="899" spans="1:9" x14ac:dyDescent="0.2">
      <c r="A899" s="202" t="s">
        <v>534</v>
      </c>
      <c r="B899" s="209" t="s">
        <v>1017</v>
      </c>
      <c r="C899" s="209" t="s">
        <v>529</v>
      </c>
      <c r="D899" s="265">
        <v>500</v>
      </c>
      <c r="E899" s="265">
        <v>500</v>
      </c>
      <c r="F899" s="265">
        <f t="shared" si="53"/>
        <v>0</v>
      </c>
      <c r="G899" s="226">
        <v>500</v>
      </c>
      <c r="H899" s="226">
        <v>500</v>
      </c>
      <c r="I899" s="265">
        <f t="shared" si="54"/>
        <v>0</v>
      </c>
    </row>
    <row r="900" spans="1:9" x14ac:dyDescent="0.2">
      <c r="A900" s="202" t="s">
        <v>615</v>
      </c>
      <c r="B900" s="209" t="s">
        <v>1017</v>
      </c>
      <c r="C900" s="209" t="s">
        <v>509</v>
      </c>
      <c r="D900" s="265">
        <v>6180.7</v>
      </c>
      <c r="E900" s="265">
        <v>6180.7</v>
      </c>
      <c r="F900" s="265">
        <f t="shared" si="53"/>
        <v>0</v>
      </c>
      <c r="G900" s="226">
        <v>6180.7</v>
      </c>
      <c r="H900" s="226">
        <v>6180.7</v>
      </c>
      <c r="I900" s="265">
        <f t="shared" si="54"/>
        <v>0</v>
      </c>
    </row>
    <row r="901" spans="1:9" ht="22.5" x14ac:dyDescent="0.2">
      <c r="A901" s="202" t="s">
        <v>1346</v>
      </c>
      <c r="B901" s="209" t="s">
        <v>1017</v>
      </c>
      <c r="C901" s="209" t="s">
        <v>511</v>
      </c>
      <c r="D901" s="265">
        <v>6180.7</v>
      </c>
      <c r="E901" s="265">
        <v>6180.7</v>
      </c>
      <c r="F901" s="265">
        <f t="shared" si="53"/>
        <v>0</v>
      </c>
      <c r="G901" s="226">
        <v>6180.7</v>
      </c>
      <c r="H901" s="226">
        <v>6180.7</v>
      </c>
      <c r="I901" s="265">
        <f t="shared" si="54"/>
        <v>0</v>
      </c>
    </row>
    <row r="902" spans="1:9" x14ac:dyDescent="0.2">
      <c r="A902" s="202" t="s">
        <v>1030</v>
      </c>
      <c r="B902" s="209" t="s">
        <v>1029</v>
      </c>
      <c r="C902" s="209"/>
      <c r="D902" s="265">
        <v>3000</v>
      </c>
      <c r="E902" s="265">
        <v>3000</v>
      </c>
      <c r="F902" s="265">
        <f t="shared" si="53"/>
        <v>0</v>
      </c>
      <c r="G902" s="226">
        <v>3000</v>
      </c>
      <c r="H902" s="226">
        <v>3000</v>
      </c>
      <c r="I902" s="265">
        <f t="shared" si="54"/>
        <v>0</v>
      </c>
    </row>
    <row r="903" spans="1:9" x14ac:dyDescent="0.2">
      <c r="A903" s="202" t="s">
        <v>547</v>
      </c>
      <c r="B903" s="209" t="s">
        <v>1029</v>
      </c>
      <c r="C903" s="209" t="s">
        <v>519</v>
      </c>
      <c r="D903" s="265">
        <v>3000</v>
      </c>
      <c r="E903" s="265">
        <v>3000</v>
      </c>
      <c r="F903" s="265">
        <f t="shared" si="53"/>
        <v>0</v>
      </c>
      <c r="G903" s="226">
        <v>3000</v>
      </c>
      <c r="H903" s="226">
        <v>3000</v>
      </c>
      <c r="I903" s="265">
        <f t="shared" si="54"/>
        <v>0</v>
      </c>
    </row>
    <row r="904" spans="1:9" x14ac:dyDescent="0.2">
      <c r="A904" s="202" t="s">
        <v>571</v>
      </c>
      <c r="B904" s="209" t="s">
        <v>1029</v>
      </c>
      <c r="C904" s="209" t="s">
        <v>522</v>
      </c>
      <c r="D904" s="265">
        <v>3000</v>
      </c>
      <c r="E904" s="265">
        <v>3000</v>
      </c>
      <c r="F904" s="265">
        <f t="shared" si="53"/>
        <v>0</v>
      </c>
      <c r="G904" s="226">
        <v>3000</v>
      </c>
      <c r="H904" s="226">
        <v>3000</v>
      </c>
      <c r="I904" s="265">
        <f t="shared" si="54"/>
        <v>0</v>
      </c>
    </row>
    <row r="905" spans="1:9" x14ac:dyDescent="0.2">
      <c r="A905" s="199" t="s">
        <v>908</v>
      </c>
      <c r="B905" s="212" t="s">
        <v>907</v>
      </c>
      <c r="C905" s="212"/>
      <c r="D905" s="263">
        <v>2475546.7000000002</v>
      </c>
      <c r="E905" s="263">
        <f>E906+E922</f>
        <v>1301739</v>
      </c>
      <c r="F905" s="282">
        <f t="shared" si="53"/>
        <v>-1173807.7000000002</v>
      </c>
      <c r="G905" s="205">
        <v>2710629.6999999997</v>
      </c>
      <c r="H905" s="205">
        <f>H906+H922</f>
        <v>3768867.0999999996</v>
      </c>
      <c r="I905" s="263">
        <f t="shared" si="54"/>
        <v>1058237.3999999999</v>
      </c>
    </row>
    <row r="906" spans="1:9" x14ac:dyDescent="0.2">
      <c r="A906" s="199" t="s">
        <v>906</v>
      </c>
      <c r="B906" s="212" t="s">
        <v>905</v>
      </c>
      <c r="C906" s="212"/>
      <c r="D906" s="263">
        <v>2405546.7000000002</v>
      </c>
      <c r="E906" s="263">
        <f>E907+E914+E918</f>
        <v>1231739</v>
      </c>
      <c r="F906" s="282">
        <f t="shared" si="53"/>
        <v>-1173807.7000000002</v>
      </c>
      <c r="G906" s="205">
        <v>2570629.6999999997</v>
      </c>
      <c r="H906" s="205">
        <f>H907+H914+H918-0.1</f>
        <v>3628867.0999999996</v>
      </c>
      <c r="I906" s="263">
        <f t="shared" si="54"/>
        <v>1058237.3999999999</v>
      </c>
    </row>
    <row r="907" spans="1:9" ht="22.5" x14ac:dyDescent="0.2">
      <c r="A907" s="199" t="s">
        <v>912</v>
      </c>
      <c r="B907" s="212" t="s">
        <v>911</v>
      </c>
      <c r="C907" s="212"/>
      <c r="D907" s="263">
        <v>590486.29999999993</v>
      </c>
      <c r="E907" s="263">
        <f>E908+E911</f>
        <v>279172.89999999991</v>
      </c>
      <c r="F907" s="282">
        <f t="shared" si="53"/>
        <v>-311313.40000000002</v>
      </c>
      <c r="G907" s="205">
        <v>569282.69999999995</v>
      </c>
      <c r="H907" s="205">
        <f>H908+H911</f>
        <v>819723.10000000009</v>
      </c>
      <c r="I907" s="263">
        <f t="shared" si="54"/>
        <v>250440.40000000014</v>
      </c>
    </row>
    <row r="908" spans="1:9" x14ac:dyDescent="0.2">
      <c r="A908" s="202" t="s">
        <v>910</v>
      </c>
      <c r="B908" s="209" t="s">
        <v>909</v>
      </c>
      <c r="C908" s="209"/>
      <c r="D908" s="265">
        <v>340613.99999999994</v>
      </c>
      <c r="E908" s="265">
        <f>E909</f>
        <v>179172.89999999994</v>
      </c>
      <c r="F908" s="281">
        <f t="shared" si="53"/>
        <v>-161441.1</v>
      </c>
      <c r="G908" s="226">
        <v>556394.69999999995</v>
      </c>
      <c r="H908" s="226">
        <f>H909</f>
        <v>561962.80000000005</v>
      </c>
      <c r="I908" s="265">
        <f t="shared" si="54"/>
        <v>5568.1000000000931</v>
      </c>
    </row>
    <row r="909" spans="1:9" x14ac:dyDescent="0.2">
      <c r="A909" s="202" t="s">
        <v>1355</v>
      </c>
      <c r="B909" s="209" t="s">
        <v>909</v>
      </c>
      <c r="C909" s="209" t="s">
        <v>824</v>
      </c>
      <c r="D909" s="265">
        <v>340613.99999999994</v>
      </c>
      <c r="E909" s="265">
        <f>E910</f>
        <v>179172.89999999994</v>
      </c>
      <c r="F909" s="281">
        <f t="shared" si="53"/>
        <v>-161441.1</v>
      </c>
      <c r="G909" s="226">
        <v>556394.69999999995</v>
      </c>
      <c r="H909" s="226">
        <f>H910</f>
        <v>561962.80000000005</v>
      </c>
      <c r="I909" s="265">
        <f t="shared" si="54"/>
        <v>5568.1000000000931</v>
      </c>
    </row>
    <row r="910" spans="1:9" x14ac:dyDescent="0.2">
      <c r="A910" s="202" t="s">
        <v>823</v>
      </c>
      <c r="B910" s="209" t="s">
        <v>909</v>
      </c>
      <c r="C910" s="209" t="s">
        <v>821</v>
      </c>
      <c r="D910" s="265">
        <v>340613.99999999994</v>
      </c>
      <c r="E910" s="265">
        <f>'Функциональная 2021-2022'!H781</f>
        <v>179172.89999999994</v>
      </c>
      <c r="F910" s="281">
        <f t="shared" si="53"/>
        <v>-161441.1</v>
      </c>
      <c r="G910" s="226">
        <v>556394.69999999995</v>
      </c>
      <c r="H910" s="226">
        <f>'Функциональная 2021-2022'!N781</f>
        <v>561962.80000000005</v>
      </c>
      <c r="I910" s="265">
        <f t="shared" si="54"/>
        <v>5568.1000000000931</v>
      </c>
    </row>
    <row r="911" spans="1:9" s="296" customFormat="1" ht="15" customHeight="1" x14ac:dyDescent="0.2">
      <c r="A911" s="202" t="s">
        <v>1408</v>
      </c>
      <c r="B911" s="209" t="s">
        <v>1409</v>
      </c>
      <c r="C911" s="209"/>
      <c r="D911" s="265">
        <v>249872.3</v>
      </c>
      <c r="E911" s="265">
        <f>E912</f>
        <v>100000</v>
      </c>
      <c r="F911" s="281">
        <f t="shared" si="53"/>
        <v>-149872.29999999999</v>
      </c>
      <c r="G911" s="226">
        <v>12888</v>
      </c>
      <c r="H911" s="226">
        <f t="shared" ref="H911:H912" si="55">H912</f>
        <v>257760.3</v>
      </c>
      <c r="I911" s="265">
        <f t="shared" si="54"/>
        <v>244872.3</v>
      </c>
    </row>
    <row r="912" spans="1:9" s="296" customFormat="1" x14ac:dyDescent="0.2">
      <c r="A912" s="202" t="s">
        <v>1355</v>
      </c>
      <c r="B912" s="209" t="s">
        <v>1409</v>
      </c>
      <c r="C912" s="209" t="s">
        <v>824</v>
      </c>
      <c r="D912" s="265">
        <v>249872.3</v>
      </c>
      <c r="E912" s="265">
        <f>E913</f>
        <v>100000</v>
      </c>
      <c r="F912" s="281">
        <f t="shared" si="53"/>
        <v>-149872.29999999999</v>
      </c>
      <c r="G912" s="226">
        <v>12888</v>
      </c>
      <c r="H912" s="226">
        <f t="shared" si="55"/>
        <v>257760.3</v>
      </c>
      <c r="I912" s="265">
        <f t="shared" si="54"/>
        <v>244872.3</v>
      </c>
    </row>
    <row r="913" spans="1:9" s="296" customFormat="1" x14ac:dyDescent="0.2">
      <c r="A913" s="202" t="s">
        <v>823</v>
      </c>
      <c r="B913" s="209" t="s">
        <v>1409</v>
      </c>
      <c r="C913" s="209" t="s">
        <v>821</v>
      </c>
      <c r="D913" s="265">
        <v>249872.3</v>
      </c>
      <c r="E913" s="265">
        <f>'Функциональная 2021-2022'!H784</f>
        <v>100000</v>
      </c>
      <c r="F913" s="281">
        <f t="shared" si="53"/>
        <v>-149872.29999999999</v>
      </c>
      <c r="G913" s="226">
        <v>12888</v>
      </c>
      <c r="H913" s="226">
        <f>'Функциональная 2021-2022'!N784</f>
        <v>257760.3</v>
      </c>
      <c r="I913" s="265">
        <f t="shared" si="54"/>
        <v>244872.3</v>
      </c>
    </row>
    <row r="914" spans="1:9" x14ac:dyDescent="0.2">
      <c r="A914" s="199" t="s">
        <v>904</v>
      </c>
      <c r="B914" s="212" t="s">
        <v>903</v>
      </c>
      <c r="C914" s="212"/>
      <c r="D914" s="263">
        <v>250204.1</v>
      </c>
      <c r="E914" s="263">
        <f>E915</f>
        <v>250204.1</v>
      </c>
      <c r="F914" s="282">
        <f t="shared" si="53"/>
        <v>0</v>
      </c>
      <c r="G914" s="205">
        <v>525659.29999999993</v>
      </c>
      <c r="H914" s="205">
        <f>H915</f>
        <v>525659.29999999993</v>
      </c>
      <c r="I914" s="263">
        <f t="shared" si="54"/>
        <v>0</v>
      </c>
    </row>
    <row r="915" spans="1:9" x14ac:dyDescent="0.2">
      <c r="A915" s="202" t="s">
        <v>902</v>
      </c>
      <c r="B915" s="209" t="s">
        <v>901</v>
      </c>
      <c r="C915" s="209"/>
      <c r="D915" s="265">
        <v>250204.1</v>
      </c>
      <c r="E915" s="265">
        <f>E916</f>
        <v>250204.1</v>
      </c>
      <c r="F915" s="281">
        <f t="shared" si="53"/>
        <v>0</v>
      </c>
      <c r="G915" s="226">
        <v>525659.29999999993</v>
      </c>
      <c r="H915" s="226">
        <f>H916</f>
        <v>525659.29999999993</v>
      </c>
      <c r="I915" s="265">
        <f t="shared" si="54"/>
        <v>0</v>
      </c>
    </row>
    <row r="916" spans="1:9" x14ac:dyDescent="0.2">
      <c r="A916" s="202" t="s">
        <v>1355</v>
      </c>
      <c r="B916" s="209" t="s">
        <v>901</v>
      </c>
      <c r="C916" s="209" t="s">
        <v>824</v>
      </c>
      <c r="D916" s="265">
        <v>250204.1</v>
      </c>
      <c r="E916" s="265">
        <f>E917</f>
        <v>250204.1</v>
      </c>
      <c r="F916" s="281">
        <f t="shared" si="53"/>
        <v>0</v>
      </c>
      <c r="G916" s="226">
        <v>525659.29999999993</v>
      </c>
      <c r="H916" s="226">
        <f>H917</f>
        <v>525659.29999999993</v>
      </c>
      <c r="I916" s="265">
        <f t="shared" si="54"/>
        <v>0</v>
      </c>
    </row>
    <row r="917" spans="1:9" x14ac:dyDescent="0.2">
      <c r="A917" s="202" t="s">
        <v>823</v>
      </c>
      <c r="B917" s="209" t="s">
        <v>901</v>
      </c>
      <c r="C917" s="209" t="s">
        <v>821</v>
      </c>
      <c r="D917" s="265">
        <v>250204.1</v>
      </c>
      <c r="E917" s="265">
        <f>'Функциональная 2021-2022'!H844</f>
        <v>250204.1</v>
      </c>
      <c r="F917" s="281">
        <f t="shared" si="53"/>
        <v>0</v>
      </c>
      <c r="G917" s="226">
        <v>525659.29999999993</v>
      </c>
      <c r="H917" s="226">
        <f>'Функциональная 2021-2022'!N844</f>
        <v>525659.29999999993</v>
      </c>
      <c r="I917" s="265">
        <f t="shared" si="54"/>
        <v>0</v>
      </c>
    </row>
    <row r="918" spans="1:9" x14ac:dyDescent="0.2">
      <c r="A918" s="199" t="s">
        <v>900</v>
      </c>
      <c r="B918" s="212" t="s">
        <v>899</v>
      </c>
      <c r="C918" s="212"/>
      <c r="D918" s="263">
        <v>1564856.3</v>
      </c>
      <c r="E918" s="263">
        <f>E919</f>
        <v>702362</v>
      </c>
      <c r="F918" s="282">
        <f t="shared" si="53"/>
        <v>-862494.3</v>
      </c>
      <c r="G918" s="205">
        <v>1475687.8</v>
      </c>
      <c r="H918" s="205">
        <f>H919</f>
        <v>2283484.7999999998</v>
      </c>
      <c r="I918" s="263">
        <f t="shared" si="54"/>
        <v>807796.99999999977</v>
      </c>
    </row>
    <row r="919" spans="1:9" x14ac:dyDescent="0.2">
      <c r="A919" s="202" t="s">
        <v>898</v>
      </c>
      <c r="B919" s="209" t="s">
        <v>897</v>
      </c>
      <c r="C919" s="209"/>
      <c r="D919" s="265">
        <v>1564856.3</v>
      </c>
      <c r="E919" s="265">
        <f>E920</f>
        <v>702362</v>
      </c>
      <c r="F919" s="281">
        <f t="shared" si="53"/>
        <v>-862494.3</v>
      </c>
      <c r="G919" s="226">
        <v>1475687.8</v>
      </c>
      <c r="H919" s="226">
        <f>H920</f>
        <v>2283484.7999999998</v>
      </c>
      <c r="I919" s="265">
        <f t="shared" si="54"/>
        <v>807796.99999999977</v>
      </c>
    </row>
    <row r="920" spans="1:9" x14ac:dyDescent="0.2">
      <c r="A920" s="202" t="s">
        <v>1355</v>
      </c>
      <c r="B920" s="209" t="s">
        <v>897</v>
      </c>
      <c r="C920" s="209" t="s">
        <v>824</v>
      </c>
      <c r="D920" s="265">
        <v>1564856.3</v>
      </c>
      <c r="E920" s="265">
        <f>E921</f>
        <v>702362</v>
      </c>
      <c r="F920" s="281">
        <f t="shared" si="53"/>
        <v>-862494.3</v>
      </c>
      <c r="G920" s="226">
        <v>1475687.8</v>
      </c>
      <c r="H920" s="226">
        <f>H921</f>
        <v>2283484.7999999998</v>
      </c>
      <c r="I920" s="265">
        <f t="shared" si="54"/>
        <v>807796.99999999977</v>
      </c>
    </row>
    <row r="921" spans="1:9" x14ac:dyDescent="0.2">
      <c r="A921" s="202" t="s">
        <v>823</v>
      </c>
      <c r="B921" s="209" t="s">
        <v>897</v>
      </c>
      <c r="C921" s="209" t="s">
        <v>821</v>
      </c>
      <c r="D921" s="265">
        <v>1564856.3</v>
      </c>
      <c r="E921" s="265">
        <f>'Функциональная 2021-2022'!H848</f>
        <v>702362</v>
      </c>
      <c r="F921" s="281">
        <f t="shared" si="53"/>
        <v>-862494.3</v>
      </c>
      <c r="G921" s="226">
        <v>1475687.8</v>
      </c>
      <c r="H921" s="226">
        <f>'Функциональная 2021-2022'!N848</f>
        <v>2283484.7999999998</v>
      </c>
      <c r="I921" s="265">
        <f t="shared" si="54"/>
        <v>807796.99999999977</v>
      </c>
    </row>
    <row r="922" spans="1:9" x14ac:dyDescent="0.2">
      <c r="A922" s="199" t="s">
        <v>1316</v>
      </c>
      <c r="B922" s="212" t="s">
        <v>1317</v>
      </c>
      <c r="C922" s="212"/>
      <c r="D922" s="263">
        <v>70000</v>
      </c>
      <c r="E922" s="263">
        <f>E923</f>
        <v>70000</v>
      </c>
      <c r="F922" s="263">
        <f t="shared" si="53"/>
        <v>0</v>
      </c>
      <c r="G922" s="205">
        <v>140000</v>
      </c>
      <c r="H922" s="205">
        <f>H923</f>
        <v>140000</v>
      </c>
      <c r="I922" s="263">
        <f t="shared" si="54"/>
        <v>0</v>
      </c>
    </row>
    <row r="923" spans="1:9" ht="22.5" x14ac:dyDescent="0.2">
      <c r="A923" s="199" t="s">
        <v>1318</v>
      </c>
      <c r="B923" s="212" t="s">
        <v>1319</v>
      </c>
      <c r="C923" s="212"/>
      <c r="D923" s="263">
        <v>70000</v>
      </c>
      <c r="E923" s="263">
        <f>E924</f>
        <v>70000</v>
      </c>
      <c r="F923" s="263">
        <f t="shared" si="53"/>
        <v>0</v>
      </c>
      <c r="G923" s="205">
        <v>140000</v>
      </c>
      <c r="H923" s="205">
        <f>H924</f>
        <v>140000</v>
      </c>
      <c r="I923" s="263">
        <f t="shared" si="54"/>
        <v>0</v>
      </c>
    </row>
    <row r="924" spans="1:9" x14ac:dyDescent="0.2">
      <c r="A924" s="202" t="s">
        <v>1320</v>
      </c>
      <c r="B924" s="209" t="s">
        <v>1321</v>
      </c>
      <c r="C924" s="209"/>
      <c r="D924" s="265">
        <v>70000</v>
      </c>
      <c r="E924" s="265">
        <f>E925</f>
        <v>70000</v>
      </c>
      <c r="F924" s="265">
        <f t="shared" si="53"/>
        <v>0</v>
      </c>
      <c r="G924" s="226">
        <v>140000</v>
      </c>
      <c r="H924" s="226">
        <f>H925</f>
        <v>140000</v>
      </c>
      <c r="I924" s="265">
        <f t="shared" si="54"/>
        <v>0</v>
      </c>
    </row>
    <row r="925" spans="1:9" x14ac:dyDescent="0.2">
      <c r="A925" s="202" t="s">
        <v>1355</v>
      </c>
      <c r="B925" s="209" t="s">
        <v>1321</v>
      </c>
      <c r="C925" s="209" t="s">
        <v>824</v>
      </c>
      <c r="D925" s="265">
        <v>70000</v>
      </c>
      <c r="E925" s="265">
        <f>E926</f>
        <v>70000</v>
      </c>
      <c r="F925" s="265">
        <f t="shared" si="53"/>
        <v>0</v>
      </c>
      <c r="G925" s="226">
        <v>140000</v>
      </c>
      <c r="H925" s="226">
        <f>H926</f>
        <v>140000</v>
      </c>
      <c r="I925" s="265">
        <f t="shared" si="54"/>
        <v>0</v>
      </c>
    </row>
    <row r="926" spans="1:9" x14ac:dyDescent="0.2">
      <c r="A926" s="202" t="s">
        <v>823</v>
      </c>
      <c r="B926" s="209" t="s">
        <v>1321</v>
      </c>
      <c r="C926" s="209" t="s">
        <v>821</v>
      </c>
      <c r="D926" s="265">
        <v>70000</v>
      </c>
      <c r="E926" s="265">
        <f>'Функциональная 2021-2022'!H1125</f>
        <v>70000</v>
      </c>
      <c r="F926" s="265">
        <f t="shared" si="53"/>
        <v>0</v>
      </c>
      <c r="G926" s="226">
        <v>140000</v>
      </c>
      <c r="H926" s="277">
        <f>'Функциональная 2021-2022'!N1125</f>
        <v>140000</v>
      </c>
      <c r="I926" s="278">
        <f t="shared" si="54"/>
        <v>0</v>
      </c>
    </row>
    <row r="927" spans="1:9" x14ac:dyDescent="0.2">
      <c r="A927" s="279" t="s">
        <v>1374</v>
      </c>
      <c r="B927" s="212"/>
      <c r="C927" s="212"/>
      <c r="D927" s="96">
        <v>13360140.300000001</v>
      </c>
      <c r="E927" s="96">
        <f>E905+E800+E785+E749+E676+E614+E510+E499+E463+E427+E319+E301+E279+E256+E193+E81+E18+E12</f>
        <v>12495857.599999998</v>
      </c>
      <c r="F927" s="283">
        <f t="shared" si="53"/>
        <v>-864282.70000000298</v>
      </c>
      <c r="G927" s="96">
        <v>13241461.799999999</v>
      </c>
      <c r="H927" s="96">
        <f>H905+H800+H785+H749+H676+H614+H510+H499+H463+H427+H319+H301+H279+H256+H193+H81+H18+H12</f>
        <v>14456321.699999999</v>
      </c>
      <c r="I927" s="283">
        <f t="shared" si="54"/>
        <v>1214859.9000000004</v>
      </c>
    </row>
    <row r="928" spans="1:9" x14ac:dyDescent="0.2">
      <c r="A928" s="273"/>
      <c r="B928" s="219"/>
      <c r="C928" s="219"/>
      <c r="D928" s="273"/>
      <c r="E928" s="273"/>
      <c r="F928" s="273"/>
      <c r="G928" s="273"/>
    </row>
    <row r="929" spans="1:9" x14ac:dyDescent="0.2">
      <c r="A929" s="273"/>
      <c r="B929" s="219"/>
      <c r="C929" s="219"/>
      <c r="D929" s="273"/>
      <c r="E929" s="273"/>
      <c r="F929" s="273"/>
      <c r="G929" s="273"/>
    </row>
    <row r="930" spans="1:9" x14ac:dyDescent="0.2">
      <c r="A930" s="199" t="s">
        <v>757</v>
      </c>
      <c r="B930" s="212" t="s">
        <v>756</v>
      </c>
      <c r="C930" s="212"/>
      <c r="D930" s="263">
        <v>49975.3</v>
      </c>
      <c r="E930" s="263">
        <v>49975.3</v>
      </c>
      <c r="F930" s="263">
        <f>E930-D930</f>
        <v>0</v>
      </c>
      <c r="G930" s="205">
        <v>43499.8</v>
      </c>
      <c r="H930" s="205">
        <f>H931+H934+H937+H944+H947+H954</f>
        <v>43499.8</v>
      </c>
      <c r="I930" s="282">
        <f>H930-G930</f>
        <v>0</v>
      </c>
    </row>
    <row r="931" spans="1:9" x14ac:dyDescent="0.2">
      <c r="A931" s="202" t="s">
        <v>770</v>
      </c>
      <c r="B931" s="209" t="s">
        <v>769</v>
      </c>
      <c r="C931" s="209"/>
      <c r="D931" s="265">
        <v>3513.8</v>
      </c>
      <c r="E931" s="265">
        <v>3513.8</v>
      </c>
      <c r="F931" s="265">
        <f t="shared" ref="F931:F980" si="56">E931-D931</f>
        <v>0</v>
      </c>
      <c r="G931" s="226">
        <v>3158.8</v>
      </c>
      <c r="H931" s="226">
        <f>H932</f>
        <v>3158.8</v>
      </c>
      <c r="I931" s="281">
        <f t="shared" ref="I931:I980" si="57">H931-G931</f>
        <v>0</v>
      </c>
    </row>
    <row r="932" spans="1:9" ht="22.5" x14ac:dyDescent="0.2">
      <c r="A932" s="202" t="s">
        <v>1348</v>
      </c>
      <c r="B932" s="209" t="s">
        <v>769</v>
      </c>
      <c r="C932" s="209" t="s">
        <v>556</v>
      </c>
      <c r="D932" s="265">
        <v>3513.8</v>
      </c>
      <c r="E932" s="265">
        <v>3513.8</v>
      </c>
      <c r="F932" s="265">
        <f t="shared" si="56"/>
        <v>0</v>
      </c>
      <c r="G932" s="226">
        <v>3158.8</v>
      </c>
      <c r="H932" s="226">
        <f>H933</f>
        <v>3158.8</v>
      </c>
      <c r="I932" s="281">
        <f t="shared" si="57"/>
        <v>0</v>
      </c>
    </row>
    <row r="933" spans="1:9" x14ac:dyDescent="0.2">
      <c r="A933" s="202" t="s">
        <v>749</v>
      </c>
      <c r="B933" s="209" t="s">
        <v>769</v>
      </c>
      <c r="C933" s="209" t="s">
        <v>745</v>
      </c>
      <c r="D933" s="265">
        <v>3513.8</v>
      </c>
      <c r="E933" s="265">
        <v>3513.8</v>
      </c>
      <c r="F933" s="265">
        <f t="shared" si="56"/>
        <v>0</v>
      </c>
      <c r="G933" s="226">
        <v>3158.8</v>
      </c>
      <c r="H933" s="226">
        <f>3513.8-355</f>
        <v>3158.8</v>
      </c>
      <c r="I933" s="281">
        <f t="shared" si="57"/>
        <v>0</v>
      </c>
    </row>
    <row r="934" spans="1:9" ht="22.5" x14ac:dyDescent="0.2">
      <c r="A934" s="202" t="s">
        <v>1343</v>
      </c>
      <c r="B934" s="209" t="s">
        <v>768</v>
      </c>
      <c r="C934" s="209"/>
      <c r="D934" s="265">
        <v>2993</v>
      </c>
      <c r="E934" s="265">
        <v>2993</v>
      </c>
      <c r="F934" s="265">
        <f t="shared" si="56"/>
        <v>0</v>
      </c>
      <c r="G934" s="226">
        <v>2638</v>
      </c>
      <c r="H934" s="226">
        <f>H935</f>
        <v>2638</v>
      </c>
      <c r="I934" s="281">
        <f t="shared" si="57"/>
        <v>0</v>
      </c>
    </row>
    <row r="935" spans="1:9" ht="22.5" x14ac:dyDescent="0.2">
      <c r="A935" s="202" t="s">
        <v>1348</v>
      </c>
      <c r="B935" s="209" t="s">
        <v>768</v>
      </c>
      <c r="C935" s="209" t="s">
        <v>556</v>
      </c>
      <c r="D935" s="265">
        <v>2993</v>
      </c>
      <c r="E935" s="265">
        <v>2993</v>
      </c>
      <c r="F935" s="265">
        <f t="shared" si="56"/>
        <v>0</v>
      </c>
      <c r="G935" s="226">
        <v>2638</v>
      </c>
      <c r="H935" s="226">
        <f>H936</f>
        <v>2638</v>
      </c>
      <c r="I935" s="281">
        <f t="shared" si="57"/>
        <v>0</v>
      </c>
    </row>
    <row r="936" spans="1:9" x14ac:dyDescent="0.2">
      <c r="A936" s="202" t="s">
        <v>749</v>
      </c>
      <c r="B936" s="209" t="s">
        <v>768</v>
      </c>
      <c r="C936" s="209" t="s">
        <v>745</v>
      </c>
      <c r="D936" s="265">
        <v>2993</v>
      </c>
      <c r="E936" s="265">
        <v>2993</v>
      </c>
      <c r="F936" s="265">
        <f t="shared" si="56"/>
        <v>0</v>
      </c>
      <c r="G936" s="226">
        <v>2638</v>
      </c>
      <c r="H936" s="226">
        <f>2993-355</f>
        <v>2638</v>
      </c>
      <c r="I936" s="281">
        <f t="shared" si="57"/>
        <v>0</v>
      </c>
    </row>
    <row r="937" spans="1:9" x14ac:dyDescent="0.2">
      <c r="A937" s="202" t="s">
        <v>767</v>
      </c>
      <c r="B937" s="209" t="s">
        <v>765</v>
      </c>
      <c r="C937" s="209"/>
      <c r="D937" s="265">
        <v>18988</v>
      </c>
      <c r="E937" s="265">
        <v>18988</v>
      </c>
      <c r="F937" s="265">
        <f t="shared" si="56"/>
        <v>0</v>
      </c>
      <c r="G937" s="226">
        <v>17113</v>
      </c>
      <c r="H937" s="226">
        <f>H938+H940+H942</f>
        <v>17113</v>
      </c>
      <c r="I937" s="281">
        <f t="shared" si="57"/>
        <v>0</v>
      </c>
    </row>
    <row r="938" spans="1:9" ht="22.5" x14ac:dyDescent="0.2">
      <c r="A938" s="202" t="s">
        <v>1348</v>
      </c>
      <c r="B938" s="209" t="s">
        <v>765</v>
      </c>
      <c r="C938" s="209" t="s">
        <v>556</v>
      </c>
      <c r="D938" s="265">
        <v>10856.1</v>
      </c>
      <c r="E938" s="265">
        <v>10856.1</v>
      </c>
      <c r="F938" s="265">
        <f t="shared" si="56"/>
        <v>0</v>
      </c>
      <c r="G938" s="226">
        <v>8981.1</v>
      </c>
      <c r="H938" s="226">
        <f>H939</f>
        <v>8981.1</v>
      </c>
      <c r="I938" s="281">
        <f t="shared" si="57"/>
        <v>0</v>
      </c>
    </row>
    <row r="939" spans="1:9" x14ac:dyDescent="0.2">
      <c r="A939" s="202" t="s">
        <v>749</v>
      </c>
      <c r="B939" s="209" t="s">
        <v>765</v>
      </c>
      <c r="C939" s="209" t="s">
        <v>745</v>
      </c>
      <c r="D939" s="265">
        <v>10856.1</v>
      </c>
      <c r="E939" s="265">
        <v>10856.1</v>
      </c>
      <c r="F939" s="265">
        <f t="shared" si="56"/>
        <v>0</v>
      </c>
      <c r="G939" s="226">
        <v>8981.1</v>
      </c>
      <c r="H939" s="226">
        <f>10856.1-1875</f>
        <v>8981.1</v>
      </c>
      <c r="I939" s="281">
        <f t="shared" si="57"/>
        <v>0</v>
      </c>
    </row>
    <row r="940" spans="1:9" x14ac:dyDescent="0.2">
      <c r="A940" s="202" t="s">
        <v>1347</v>
      </c>
      <c r="B940" s="209" t="s">
        <v>765</v>
      </c>
      <c r="C940" s="209" t="s">
        <v>535</v>
      </c>
      <c r="D940" s="265">
        <v>8081.9</v>
      </c>
      <c r="E940" s="265">
        <v>8081.9</v>
      </c>
      <c r="F940" s="265">
        <f t="shared" si="56"/>
        <v>0</v>
      </c>
      <c r="G940" s="226">
        <v>8081.9</v>
      </c>
      <c r="H940" s="226">
        <v>8081.9</v>
      </c>
      <c r="I940" s="265">
        <f t="shared" si="57"/>
        <v>0</v>
      </c>
    </row>
    <row r="941" spans="1:9" x14ac:dyDescent="0.2">
      <c r="A941" s="202" t="s">
        <v>534</v>
      </c>
      <c r="B941" s="209" t="s">
        <v>765</v>
      </c>
      <c r="C941" s="209" t="s">
        <v>529</v>
      </c>
      <c r="D941" s="265">
        <v>8081.9</v>
      </c>
      <c r="E941" s="265">
        <v>8081.9</v>
      </c>
      <c r="F941" s="265">
        <f t="shared" si="56"/>
        <v>0</v>
      </c>
      <c r="G941" s="226">
        <v>8081.9</v>
      </c>
      <c r="H941" s="226">
        <v>8081.9</v>
      </c>
      <c r="I941" s="265">
        <f t="shared" si="57"/>
        <v>0</v>
      </c>
    </row>
    <row r="942" spans="1:9" x14ac:dyDescent="0.2">
      <c r="A942" s="202" t="s">
        <v>615</v>
      </c>
      <c r="B942" s="209" t="s">
        <v>765</v>
      </c>
      <c r="C942" s="209" t="s">
        <v>509</v>
      </c>
      <c r="D942" s="265">
        <v>50</v>
      </c>
      <c r="E942" s="265">
        <v>50</v>
      </c>
      <c r="F942" s="265">
        <f t="shared" si="56"/>
        <v>0</v>
      </c>
      <c r="G942" s="226">
        <v>50</v>
      </c>
      <c r="H942" s="226">
        <v>50</v>
      </c>
      <c r="I942" s="265">
        <f t="shared" si="57"/>
        <v>0</v>
      </c>
    </row>
    <row r="943" spans="1:9" x14ac:dyDescent="0.2">
      <c r="A943" s="202" t="s">
        <v>614</v>
      </c>
      <c r="B943" s="209" t="s">
        <v>765</v>
      </c>
      <c r="C943" s="209" t="s">
        <v>613</v>
      </c>
      <c r="D943" s="265">
        <v>50</v>
      </c>
      <c r="E943" s="265">
        <v>50</v>
      </c>
      <c r="F943" s="265">
        <f t="shared" si="56"/>
        <v>0</v>
      </c>
      <c r="G943" s="226">
        <v>50</v>
      </c>
      <c r="H943" s="226">
        <v>50</v>
      </c>
      <c r="I943" s="265">
        <f t="shared" si="57"/>
        <v>0</v>
      </c>
    </row>
    <row r="944" spans="1:9" x14ac:dyDescent="0.2">
      <c r="A944" s="202" t="s">
        <v>755</v>
      </c>
      <c r="B944" s="209" t="s">
        <v>754</v>
      </c>
      <c r="C944" s="209"/>
      <c r="D944" s="265">
        <v>3139.4</v>
      </c>
      <c r="E944" s="265">
        <v>3139.4</v>
      </c>
      <c r="F944" s="265">
        <f t="shared" si="56"/>
        <v>0</v>
      </c>
      <c r="G944" s="226">
        <v>3139.4</v>
      </c>
      <c r="H944" s="226">
        <v>3139.4</v>
      </c>
      <c r="I944" s="265">
        <f t="shared" si="57"/>
        <v>0</v>
      </c>
    </row>
    <row r="945" spans="1:9" ht="22.5" x14ac:dyDescent="0.2">
      <c r="A945" s="202" t="s">
        <v>1348</v>
      </c>
      <c r="B945" s="209" t="s">
        <v>754</v>
      </c>
      <c r="C945" s="209" t="s">
        <v>556</v>
      </c>
      <c r="D945" s="265">
        <v>3139.4</v>
      </c>
      <c r="E945" s="265">
        <v>3139.4</v>
      </c>
      <c r="F945" s="265">
        <f t="shared" si="56"/>
        <v>0</v>
      </c>
      <c r="G945" s="226">
        <v>3139.4</v>
      </c>
      <c r="H945" s="226">
        <v>3139.4</v>
      </c>
      <c r="I945" s="265">
        <f t="shared" si="57"/>
        <v>0</v>
      </c>
    </row>
    <row r="946" spans="1:9" x14ac:dyDescent="0.2">
      <c r="A946" s="202" t="s">
        <v>749</v>
      </c>
      <c r="B946" s="209" t="s">
        <v>754</v>
      </c>
      <c r="C946" s="209" t="s">
        <v>745</v>
      </c>
      <c r="D946" s="265">
        <v>3139.4</v>
      </c>
      <c r="E946" s="265">
        <v>3139.4</v>
      </c>
      <c r="F946" s="265">
        <f t="shared" si="56"/>
        <v>0</v>
      </c>
      <c r="G946" s="226">
        <v>3139.4</v>
      </c>
      <c r="H946" s="226">
        <v>3139.4</v>
      </c>
      <c r="I946" s="265">
        <f t="shared" si="57"/>
        <v>0</v>
      </c>
    </row>
    <row r="947" spans="1:9" x14ac:dyDescent="0.2">
      <c r="A947" s="202" t="s">
        <v>753</v>
      </c>
      <c r="B947" s="209" t="s">
        <v>751</v>
      </c>
      <c r="C947" s="209"/>
      <c r="D947" s="265">
        <v>19533.900000000001</v>
      </c>
      <c r="E947" s="265">
        <v>19533.900000000001</v>
      </c>
      <c r="F947" s="265">
        <f t="shared" si="56"/>
        <v>0</v>
      </c>
      <c r="G947" s="226">
        <v>15982.8</v>
      </c>
      <c r="H947" s="226">
        <f>H948+H950+H952</f>
        <v>15982.8</v>
      </c>
      <c r="I947" s="281">
        <f t="shared" si="57"/>
        <v>0</v>
      </c>
    </row>
    <row r="948" spans="1:9" ht="22.5" x14ac:dyDescent="0.2">
      <c r="A948" s="202" t="s">
        <v>1348</v>
      </c>
      <c r="B948" s="209" t="s">
        <v>751</v>
      </c>
      <c r="C948" s="209" t="s">
        <v>556</v>
      </c>
      <c r="D948" s="265">
        <v>16851.5</v>
      </c>
      <c r="E948" s="265">
        <v>16851.5</v>
      </c>
      <c r="F948" s="265">
        <f t="shared" si="56"/>
        <v>0</v>
      </c>
      <c r="G948" s="226">
        <v>13300.4</v>
      </c>
      <c r="H948" s="226">
        <f>H949</f>
        <v>13300.4</v>
      </c>
      <c r="I948" s="281">
        <f t="shared" si="57"/>
        <v>0</v>
      </c>
    </row>
    <row r="949" spans="1:9" x14ac:dyDescent="0.2">
      <c r="A949" s="202" t="s">
        <v>749</v>
      </c>
      <c r="B949" s="209" t="s">
        <v>751</v>
      </c>
      <c r="C949" s="209" t="s">
        <v>745</v>
      </c>
      <c r="D949" s="265">
        <v>16851.5</v>
      </c>
      <c r="E949" s="265">
        <v>16851.5</v>
      </c>
      <c r="F949" s="265">
        <f t="shared" si="56"/>
        <v>0</v>
      </c>
      <c r="G949" s="226">
        <v>13300.4</v>
      </c>
      <c r="H949" s="226">
        <f>16851.5-3551.1</f>
        <v>13300.4</v>
      </c>
      <c r="I949" s="281">
        <f t="shared" si="57"/>
        <v>0</v>
      </c>
    </row>
    <row r="950" spans="1:9" x14ac:dyDescent="0.2">
      <c r="A950" s="202" t="s">
        <v>1347</v>
      </c>
      <c r="B950" s="209" t="s">
        <v>751</v>
      </c>
      <c r="C950" s="209" t="s">
        <v>535</v>
      </c>
      <c r="D950" s="265">
        <v>2644.4</v>
      </c>
      <c r="E950" s="265">
        <v>2644.4</v>
      </c>
      <c r="F950" s="265">
        <f t="shared" si="56"/>
        <v>0</v>
      </c>
      <c r="G950" s="226">
        <v>2644.4</v>
      </c>
      <c r="H950" s="226">
        <v>2644.4</v>
      </c>
      <c r="I950" s="265">
        <f t="shared" si="57"/>
        <v>0</v>
      </c>
    </row>
    <row r="951" spans="1:9" x14ac:dyDescent="0.2">
      <c r="A951" s="202" t="s">
        <v>534</v>
      </c>
      <c r="B951" s="209" t="s">
        <v>751</v>
      </c>
      <c r="C951" s="209" t="s">
        <v>529</v>
      </c>
      <c r="D951" s="265">
        <v>2644.4</v>
      </c>
      <c r="E951" s="265">
        <v>2644.4</v>
      </c>
      <c r="F951" s="265">
        <f t="shared" si="56"/>
        <v>0</v>
      </c>
      <c r="G951" s="226">
        <v>2644.4</v>
      </c>
      <c r="H951" s="226">
        <v>2644.4</v>
      </c>
      <c r="I951" s="265">
        <f t="shared" si="57"/>
        <v>0</v>
      </c>
    </row>
    <row r="952" spans="1:9" x14ac:dyDescent="0.2">
      <c r="A952" s="202" t="s">
        <v>615</v>
      </c>
      <c r="B952" s="209" t="s">
        <v>751</v>
      </c>
      <c r="C952" s="209" t="s">
        <v>509</v>
      </c>
      <c r="D952" s="265">
        <v>38</v>
      </c>
      <c r="E952" s="265">
        <v>38</v>
      </c>
      <c r="F952" s="265">
        <f t="shared" si="56"/>
        <v>0</v>
      </c>
      <c r="G952" s="226">
        <v>38</v>
      </c>
      <c r="H952" s="226">
        <v>38</v>
      </c>
      <c r="I952" s="265">
        <f t="shared" si="57"/>
        <v>0</v>
      </c>
    </row>
    <row r="953" spans="1:9" x14ac:dyDescent="0.2">
      <c r="A953" s="202" t="s">
        <v>752</v>
      </c>
      <c r="B953" s="209" t="s">
        <v>751</v>
      </c>
      <c r="C953" s="209" t="s">
        <v>750</v>
      </c>
      <c r="D953" s="265">
        <v>38</v>
      </c>
      <c r="E953" s="265">
        <v>38</v>
      </c>
      <c r="F953" s="265">
        <f t="shared" si="56"/>
        <v>0</v>
      </c>
      <c r="G953" s="226">
        <v>38</v>
      </c>
      <c r="H953" s="226">
        <v>38</v>
      </c>
      <c r="I953" s="265">
        <f t="shared" si="57"/>
        <v>0</v>
      </c>
    </row>
    <row r="954" spans="1:9" x14ac:dyDescent="0.2">
      <c r="A954" s="202" t="s">
        <v>1342</v>
      </c>
      <c r="B954" s="209" t="s">
        <v>746</v>
      </c>
      <c r="C954" s="209"/>
      <c r="D954" s="265">
        <v>1807.2</v>
      </c>
      <c r="E954" s="265">
        <v>1807.2</v>
      </c>
      <c r="F954" s="265">
        <f t="shared" si="56"/>
        <v>0</v>
      </c>
      <c r="G954" s="226">
        <v>1467.8000000000002</v>
      </c>
      <c r="H954" s="226">
        <f>H955</f>
        <v>1467.8000000000002</v>
      </c>
      <c r="I954" s="281">
        <f t="shared" si="57"/>
        <v>0</v>
      </c>
    </row>
    <row r="955" spans="1:9" ht="22.5" x14ac:dyDescent="0.2">
      <c r="A955" s="202" t="s">
        <v>1348</v>
      </c>
      <c r="B955" s="209" t="s">
        <v>746</v>
      </c>
      <c r="C955" s="209" t="s">
        <v>556</v>
      </c>
      <c r="D955" s="265">
        <v>1807.2</v>
      </c>
      <c r="E955" s="265">
        <v>1807.2</v>
      </c>
      <c r="F955" s="265">
        <f t="shared" si="56"/>
        <v>0</v>
      </c>
      <c r="G955" s="226">
        <v>1467.8000000000002</v>
      </c>
      <c r="H955" s="226">
        <f>H956</f>
        <v>1467.8000000000002</v>
      </c>
      <c r="I955" s="281">
        <f t="shared" si="57"/>
        <v>0</v>
      </c>
    </row>
    <row r="956" spans="1:9" x14ac:dyDescent="0.2">
      <c r="A956" s="202" t="s">
        <v>749</v>
      </c>
      <c r="B956" s="209" t="s">
        <v>746</v>
      </c>
      <c r="C956" s="209" t="s">
        <v>745</v>
      </c>
      <c r="D956" s="265">
        <v>1807.2</v>
      </c>
      <c r="E956" s="265">
        <v>1807.2</v>
      </c>
      <c r="F956" s="265">
        <f t="shared" si="56"/>
        <v>0</v>
      </c>
      <c r="G956" s="226">
        <v>1467.8000000000002</v>
      </c>
      <c r="H956" s="226">
        <f>1807.2-339.4</f>
        <v>1467.8000000000002</v>
      </c>
      <c r="I956" s="281">
        <f t="shared" si="57"/>
        <v>0</v>
      </c>
    </row>
    <row r="957" spans="1:9" x14ac:dyDescent="0.2">
      <c r="A957" s="199" t="s">
        <v>595</v>
      </c>
      <c r="B957" s="212" t="s">
        <v>594</v>
      </c>
      <c r="C957" s="212"/>
      <c r="D957" s="263">
        <v>18914.5</v>
      </c>
      <c r="E957" s="263">
        <v>18914.5</v>
      </c>
      <c r="F957" s="263">
        <f t="shared" si="56"/>
        <v>0</v>
      </c>
      <c r="G957" s="205">
        <v>35440.5</v>
      </c>
      <c r="H957" s="205">
        <v>35440.5</v>
      </c>
      <c r="I957" s="263">
        <f t="shared" si="57"/>
        <v>0</v>
      </c>
    </row>
    <row r="958" spans="1:9" x14ac:dyDescent="0.2">
      <c r="A958" s="202" t="s">
        <v>1240</v>
      </c>
      <c r="B958" s="209" t="s">
        <v>1239</v>
      </c>
      <c r="C958" s="209"/>
      <c r="D958" s="265">
        <v>10118.799999999999</v>
      </c>
      <c r="E958" s="265">
        <v>10118.799999999999</v>
      </c>
      <c r="F958" s="265">
        <f t="shared" si="56"/>
        <v>0</v>
      </c>
      <c r="G958" s="226">
        <v>12348.8</v>
      </c>
      <c r="H958" s="226">
        <v>12348.8</v>
      </c>
      <c r="I958" s="265">
        <f t="shared" si="57"/>
        <v>0</v>
      </c>
    </row>
    <row r="959" spans="1:9" x14ac:dyDescent="0.2">
      <c r="A959" s="202" t="s">
        <v>615</v>
      </c>
      <c r="B959" s="209" t="s">
        <v>1239</v>
      </c>
      <c r="C959" s="209" t="s">
        <v>509</v>
      </c>
      <c r="D959" s="265">
        <v>10118.799999999999</v>
      </c>
      <c r="E959" s="265">
        <v>10118.799999999999</v>
      </c>
      <c r="F959" s="265">
        <f t="shared" si="56"/>
        <v>0</v>
      </c>
      <c r="G959" s="226">
        <v>12348.8</v>
      </c>
      <c r="H959" s="226">
        <v>12348.8</v>
      </c>
      <c r="I959" s="265">
        <f t="shared" si="57"/>
        <v>0</v>
      </c>
    </row>
    <row r="960" spans="1:9" x14ac:dyDescent="0.2">
      <c r="A960" s="202" t="s">
        <v>1237</v>
      </c>
      <c r="B960" s="209" t="s">
        <v>1239</v>
      </c>
      <c r="C960" s="209" t="s">
        <v>1235</v>
      </c>
      <c r="D960" s="265">
        <v>10118.799999999999</v>
      </c>
      <c r="E960" s="265">
        <v>10118.799999999999</v>
      </c>
      <c r="F960" s="265">
        <f t="shared" si="56"/>
        <v>0</v>
      </c>
      <c r="G960" s="226">
        <v>12348.8</v>
      </c>
      <c r="H960" s="226">
        <v>12348.8</v>
      </c>
      <c r="I960" s="265">
        <f t="shared" si="57"/>
        <v>0</v>
      </c>
    </row>
    <row r="961" spans="1:9" x14ac:dyDescent="0.2">
      <c r="A961" s="202" t="s">
        <v>1238</v>
      </c>
      <c r="B961" s="209" t="s">
        <v>1236</v>
      </c>
      <c r="C961" s="209"/>
      <c r="D961" s="265">
        <v>1000</v>
      </c>
      <c r="E961" s="265">
        <v>1000</v>
      </c>
      <c r="F961" s="265">
        <f t="shared" si="56"/>
        <v>0</v>
      </c>
      <c r="G961" s="226">
        <v>1000</v>
      </c>
      <c r="H961" s="226">
        <v>1000</v>
      </c>
      <c r="I961" s="265">
        <f t="shared" si="57"/>
        <v>0</v>
      </c>
    </row>
    <row r="962" spans="1:9" x14ac:dyDescent="0.2">
      <c r="A962" s="202" t="s">
        <v>615</v>
      </c>
      <c r="B962" s="209" t="s">
        <v>1236</v>
      </c>
      <c r="C962" s="209" t="s">
        <v>509</v>
      </c>
      <c r="D962" s="265">
        <v>1000</v>
      </c>
      <c r="E962" s="265">
        <v>1000</v>
      </c>
      <c r="F962" s="265">
        <f t="shared" si="56"/>
        <v>0</v>
      </c>
      <c r="G962" s="226">
        <v>1000</v>
      </c>
      <c r="H962" s="226">
        <v>1000</v>
      </c>
      <c r="I962" s="265">
        <f t="shared" si="57"/>
        <v>0</v>
      </c>
    </row>
    <row r="963" spans="1:9" x14ac:dyDescent="0.2">
      <c r="A963" s="202" t="s">
        <v>1237</v>
      </c>
      <c r="B963" s="209" t="s">
        <v>1236</v>
      </c>
      <c r="C963" s="209" t="s">
        <v>1235</v>
      </c>
      <c r="D963" s="265">
        <v>1000</v>
      </c>
      <c r="E963" s="265">
        <v>1000</v>
      </c>
      <c r="F963" s="265">
        <f t="shared" si="56"/>
        <v>0</v>
      </c>
      <c r="G963" s="226">
        <v>1000</v>
      </c>
      <c r="H963" s="226">
        <v>1000</v>
      </c>
      <c r="I963" s="265">
        <f t="shared" si="57"/>
        <v>0</v>
      </c>
    </row>
    <row r="964" spans="1:9" x14ac:dyDescent="0.2">
      <c r="A964" s="202" t="s">
        <v>871</v>
      </c>
      <c r="B964" s="209" t="s">
        <v>870</v>
      </c>
      <c r="C964" s="209"/>
      <c r="D964" s="265">
        <v>3289.7</v>
      </c>
      <c r="E964" s="265">
        <v>3289.7</v>
      </c>
      <c r="F964" s="265">
        <f t="shared" si="56"/>
        <v>0</v>
      </c>
      <c r="G964" s="226">
        <v>4579.7</v>
      </c>
      <c r="H964" s="226">
        <v>4579.7</v>
      </c>
      <c r="I964" s="265">
        <f t="shared" si="57"/>
        <v>0</v>
      </c>
    </row>
    <row r="965" spans="1:9" x14ac:dyDescent="0.2">
      <c r="A965" s="202" t="s">
        <v>1347</v>
      </c>
      <c r="B965" s="209" t="s">
        <v>870</v>
      </c>
      <c r="C965" s="209" t="s">
        <v>535</v>
      </c>
      <c r="D965" s="265">
        <v>1525.2</v>
      </c>
      <c r="E965" s="265">
        <v>1525.2</v>
      </c>
      <c r="F965" s="265">
        <f t="shared" si="56"/>
        <v>0</v>
      </c>
      <c r="G965" s="226">
        <v>2815.2</v>
      </c>
      <c r="H965" s="226">
        <v>2815.2</v>
      </c>
      <c r="I965" s="265">
        <f t="shared" si="57"/>
        <v>0</v>
      </c>
    </row>
    <row r="966" spans="1:9" x14ac:dyDescent="0.2">
      <c r="A966" s="202" t="s">
        <v>534</v>
      </c>
      <c r="B966" s="209" t="s">
        <v>870</v>
      </c>
      <c r="C966" s="209" t="s">
        <v>529</v>
      </c>
      <c r="D966" s="265">
        <v>1525.2</v>
      </c>
      <c r="E966" s="265">
        <v>1525.2</v>
      </c>
      <c r="F966" s="265">
        <f t="shared" si="56"/>
        <v>0</v>
      </c>
      <c r="G966" s="226">
        <v>2815.2</v>
      </c>
      <c r="H966" s="226">
        <v>2815.2</v>
      </c>
      <c r="I966" s="265">
        <f t="shared" si="57"/>
        <v>0</v>
      </c>
    </row>
    <row r="967" spans="1:9" x14ac:dyDescent="0.2">
      <c r="A967" s="202" t="s">
        <v>553</v>
      </c>
      <c r="B967" s="209" t="s">
        <v>870</v>
      </c>
      <c r="C967" s="209" t="s">
        <v>552</v>
      </c>
      <c r="D967" s="265">
        <v>1048.8</v>
      </c>
      <c r="E967" s="265">
        <v>1048.8</v>
      </c>
      <c r="F967" s="265">
        <f t="shared" si="56"/>
        <v>0</v>
      </c>
      <c r="G967" s="226">
        <v>1048.8</v>
      </c>
      <c r="H967" s="226">
        <v>1048.8</v>
      </c>
      <c r="I967" s="265">
        <f t="shared" si="57"/>
        <v>0</v>
      </c>
    </row>
    <row r="968" spans="1:9" x14ac:dyDescent="0.2">
      <c r="A968" s="202" t="s">
        <v>936</v>
      </c>
      <c r="B968" s="209" t="s">
        <v>870</v>
      </c>
      <c r="C968" s="209" t="s">
        <v>934</v>
      </c>
      <c r="D968" s="265">
        <v>1048.8</v>
      </c>
      <c r="E968" s="265">
        <v>1048.8</v>
      </c>
      <c r="F968" s="265">
        <f t="shared" si="56"/>
        <v>0</v>
      </c>
      <c r="G968" s="226">
        <v>1048.8</v>
      </c>
      <c r="H968" s="226">
        <v>1048.8</v>
      </c>
      <c r="I968" s="265">
        <f t="shared" si="57"/>
        <v>0</v>
      </c>
    </row>
    <row r="969" spans="1:9" x14ac:dyDescent="0.2">
      <c r="A969" s="202" t="s">
        <v>615</v>
      </c>
      <c r="B969" s="209" t="s">
        <v>870</v>
      </c>
      <c r="C969" s="209" t="s">
        <v>509</v>
      </c>
      <c r="D969" s="265">
        <v>715.7</v>
      </c>
      <c r="E969" s="265">
        <v>715.7</v>
      </c>
      <c r="F969" s="265">
        <f t="shared" si="56"/>
        <v>0</v>
      </c>
      <c r="G969" s="226">
        <v>715.7</v>
      </c>
      <c r="H969" s="226">
        <v>715.7</v>
      </c>
      <c r="I969" s="265">
        <f t="shared" si="57"/>
        <v>0</v>
      </c>
    </row>
    <row r="970" spans="1:9" x14ac:dyDescent="0.2">
      <c r="A970" s="202" t="s">
        <v>752</v>
      </c>
      <c r="B970" s="209" t="s">
        <v>870</v>
      </c>
      <c r="C970" s="209" t="s">
        <v>750</v>
      </c>
      <c r="D970" s="265">
        <v>715.7</v>
      </c>
      <c r="E970" s="265">
        <v>715.7</v>
      </c>
      <c r="F970" s="265">
        <f t="shared" si="56"/>
        <v>0</v>
      </c>
      <c r="G970" s="226">
        <v>715.7</v>
      </c>
      <c r="H970" s="226">
        <v>715.7</v>
      </c>
      <c r="I970" s="265">
        <f t="shared" si="57"/>
        <v>0</v>
      </c>
    </row>
    <row r="971" spans="1:9" x14ac:dyDescent="0.2">
      <c r="A971" s="202" t="s">
        <v>843</v>
      </c>
      <c r="B971" s="209" t="s">
        <v>842</v>
      </c>
      <c r="C971" s="209"/>
      <c r="D971" s="265">
        <v>4500</v>
      </c>
      <c r="E971" s="265">
        <v>4500</v>
      </c>
      <c r="F971" s="265">
        <f t="shared" si="56"/>
        <v>0</v>
      </c>
      <c r="G971" s="226">
        <v>7500</v>
      </c>
      <c r="H971" s="226">
        <v>7500</v>
      </c>
      <c r="I971" s="265">
        <f t="shared" si="57"/>
        <v>0</v>
      </c>
    </row>
    <row r="972" spans="1:9" x14ac:dyDescent="0.2">
      <c r="A972" s="202" t="s">
        <v>553</v>
      </c>
      <c r="B972" s="209" t="s">
        <v>842</v>
      </c>
      <c r="C972" s="209" t="s">
        <v>552</v>
      </c>
      <c r="D972" s="265">
        <v>4500</v>
      </c>
      <c r="E972" s="265">
        <v>4500</v>
      </c>
      <c r="F972" s="265">
        <f t="shared" si="56"/>
        <v>0</v>
      </c>
      <c r="G972" s="226">
        <v>7500</v>
      </c>
      <c r="H972" s="226">
        <v>7500</v>
      </c>
      <c r="I972" s="265">
        <f t="shared" si="57"/>
        <v>0</v>
      </c>
    </row>
    <row r="973" spans="1:9" x14ac:dyDescent="0.2">
      <c r="A973" s="202" t="s">
        <v>659</v>
      </c>
      <c r="B973" s="209" t="s">
        <v>842</v>
      </c>
      <c r="C973" s="209" t="s">
        <v>655</v>
      </c>
      <c r="D973" s="265">
        <v>4500</v>
      </c>
      <c r="E973" s="265">
        <v>4500</v>
      </c>
      <c r="F973" s="265">
        <f t="shared" si="56"/>
        <v>0</v>
      </c>
      <c r="G973" s="226">
        <v>7500</v>
      </c>
      <c r="H973" s="226">
        <v>7500</v>
      </c>
      <c r="I973" s="265">
        <f t="shared" si="57"/>
        <v>0</v>
      </c>
    </row>
    <row r="974" spans="1:9" x14ac:dyDescent="0.2">
      <c r="A974" s="202" t="s">
        <v>593</v>
      </c>
      <c r="B974" s="209" t="s">
        <v>591</v>
      </c>
      <c r="C974" s="209"/>
      <c r="D974" s="265">
        <v>6</v>
      </c>
      <c r="E974" s="265">
        <v>6</v>
      </c>
      <c r="F974" s="265">
        <f t="shared" si="56"/>
        <v>0</v>
      </c>
      <c r="G974" s="226">
        <v>10012</v>
      </c>
      <c r="H974" s="226">
        <v>10012</v>
      </c>
      <c r="I974" s="265">
        <f t="shared" si="57"/>
        <v>0</v>
      </c>
    </row>
    <row r="975" spans="1:9" x14ac:dyDescent="0.2">
      <c r="A975" s="202" t="s">
        <v>1347</v>
      </c>
      <c r="B975" s="209" t="s">
        <v>591</v>
      </c>
      <c r="C975" s="209" t="s">
        <v>535</v>
      </c>
      <c r="D975" s="265">
        <v>6</v>
      </c>
      <c r="E975" s="265">
        <v>6</v>
      </c>
      <c r="F975" s="265">
        <f t="shared" si="56"/>
        <v>0</v>
      </c>
      <c r="G975" s="226">
        <v>8512</v>
      </c>
      <c r="H975" s="226">
        <v>8512</v>
      </c>
      <c r="I975" s="265">
        <f t="shared" si="57"/>
        <v>0</v>
      </c>
    </row>
    <row r="976" spans="1:9" x14ac:dyDescent="0.2">
      <c r="A976" s="202" t="s">
        <v>534</v>
      </c>
      <c r="B976" s="209" t="s">
        <v>591</v>
      </c>
      <c r="C976" s="209" t="s">
        <v>529</v>
      </c>
      <c r="D976" s="265">
        <v>6</v>
      </c>
      <c r="E976" s="265">
        <v>6</v>
      </c>
      <c r="F976" s="265">
        <f t="shared" si="56"/>
        <v>0</v>
      </c>
      <c r="G976" s="226">
        <v>8512</v>
      </c>
      <c r="H976" s="226">
        <v>8512</v>
      </c>
      <c r="I976" s="265">
        <f t="shared" si="57"/>
        <v>0</v>
      </c>
    </row>
    <row r="977" spans="1:9" x14ac:dyDescent="0.2">
      <c r="A977" s="202" t="s">
        <v>553</v>
      </c>
      <c r="B977" s="209" t="s">
        <v>591</v>
      </c>
      <c r="C977" s="209" t="s">
        <v>552</v>
      </c>
      <c r="D977" s="265">
        <v>0</v>
      </c>
      <c r="E977" s="265">
        <v>0</v>
      </c>
      <c r="F977" s="265">
        <f t="shared" si="56"/>
        <v>0</v>
      </c>
      <c r="G977" s="226">
        <v>1500</v>
      </c>
      <c r="H977" s="226">
        <v>1500</v>
      </c>
      <c r="I977" s="265">
        <f t="shared" si="57"/>
        <v>0</v>
      </c>
    </row>
    <row r="978" spans="1:9" x14ac:dyDescent="0.2">
      <c r="A978" s="202" t="s">
        <v>841</v>
      </c>
      <c r="B978" s="209" t="s">
        <v>591</v>
      </c>
      <c r="C978" s="209" t="s">
        <v>840</v>
      </c>
      <c r="D978" s="265">
        <v>0</v>
      </c>
      <c r="E978" s="265">
        <v>0</v>
      </c>
      <c r="F978" s="265">
        <f t="shared" si="56"/>
        <v>0</v>
      </c>
      <c r="G978" s="226">
        <v>1500</v>
      </c>
      <c r="H978" s="226">
        <v>1500</v>
      </c>
      <c r="I978" s="265">
        <f t="shared" si="57"/>
        <v>0</v>
      </c>
    </row>
    <row r="979" spans="1:9" s="239" customFormat="1" x14ac:dyDescent="0.2">
      <c r="A979" s="279" t="s">
        <v>1375</v>
      </c>
      <c r="B979" s="209"/>
      <c r="C979" s="209"/>
      <c r="D979" s="96">
        <v>68889.8</v>
      </c>
      <c r="E979" s="96">
        <f>E930+E957</f>
        <v>68889.8</v>
      </c>
      <c r="F979" s="96">
        <f t="shared" si="56"/>
        <v>0</v>
      </c>
      <c r="G979" s="96">
        <v>78940.3</v>
      </c>
      <c r="H979" s="227">
        <f>H930+H957</f>
        <v>78940.3</v>
      </c>
      <c r="I979" s="283">
        <f t="shared" si="57"/>
        <v>0</v>
      </c>
    </row>
    <row r="980" spans="1:9" x14ac:dyDescent="0.2">
      <c r="A980" s="95" t="s">
        <v>528</v>
      </c>
      <c r="B980" s="212"/>
      <c r="C980" s="212"/>
      <c r="D980" s="96">
        <v>13429030.100000001</v>
      </c>
      <c r="E980" s="96">
        <f>E957+E930+E927</f>
        <v>12564747.399999999</v>
      </c>
      <c r="F980" s="283">
        <f t="shared" si="56"/>
        <v>-864282.70000000298</v>
      </c>
      <c r="G980" s="227">
        <v>13320402.1</v>
      </c>
      <c r="H980" s="227">
        <f>H957+H930+H927</f>
        <v>14535262</v>
      </c>
      <c r="I980" s="283">
        <f t="shared" si="57"/>
        <v>1214859.9000000004</v>
      </c>
    </row>
  </sheetData>
  <mergeCells count="10">
    <mergeCell ref="A8:I8"/>
    <mergeCell ref="A5:I7"/>
    <mergeCell ref="A3:I3"/>
    <mergeCell ref="A2:I2"/>
    <mergeCell ref="D1:I1"/>
    <mergeCell ref="A9:A10"/>
    <mergeCell ref="B9:B10"/>
    <mergeCell ref="C9:C10"/>
    <mergeCell ref="D9:F9"/>
    <mergeCell ref="G9:I9"/>
  </mergeCells>
  <pageMargins left="0.78740157480314965" right="0.39370078740157483" top="0.78740157480314965" bottom="0.78740157480314965" header="0" footer="0"/>
  <pageSetup paperSize="9" scale="50" firstPageNumber="137" fitToHeight="0" orientation="portrait" useFirstPageNumber="1" r:id="rId1"/>
  <headerFooter>
    <oddFooter>Страница &amp;P</oddFooter>
    <evenHeader>&amp;LФинансовое управление Администрации городского округа Мытищи</evenHeader>
    <evenFooter>&amp;L 30.10.2018 17:30:49&amp;R&amp;P/&amp;N</evenFooter>
    <firstHeader>&amp;LФинансовое управление Администрации городского округа Мытищи</firstHeader>
    <firstFooter>&amp;L 30.10.2018 17:30:49&amp;R&amp;P/&amp;N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C1" workbookViewId="0">
      <selection activeCell="G3" sqref="G3:L3"/>
    </sheetView>
  </sheetViews>
  <sheetFormatPr defaultColWidth="9.140625" defaultRowHeight="14.25" x14ac:dyDescent="0.2"/>
  <cols>
    <col min="1" max="1" width="3.7109375" style="151" customWidth="1"/>
    <col min="2" max="2" width="9.140625" style="151" hidden="1" customWidth="1"/>
    <col min="3" max="3" width="12.28515625" style="151" customWidth="1"/>
    <col min="4" max="4" width="16.5703125" style="151" customWidth="1"/>
    <col min="5" max="5" width="2.7109375" style="151" customWidth="1"/>
    <col min="6" max="6" width="6.5703125" style="151" customWidth="1"/>
    <col min="7" max="7" width="6.42578125" style="151" customWidth="1"/>
    <col min="8" max="8" width="6" style="151" customWidth="1"/>
    <col min="9" max="9" width="6.42578125" style="151" customWidth="1"/>
    <col min="10" max="10" width="6.7109375" style="151" customWidth="1"/>
    <col min="11" max="11" width="14.5703125" style="151" customWidth="1"/>
    <col min="12" max="12" width="14.140625" style="151" customWidth="1"/>
    <col min="13" max="13" width="9.140625" style="151" customWidth="1"/>
    <col min="14" max="16384" width="9.140625" style="1"/>
  </cols>
  <sheetData>
    <row r="1" spans="1:15" x14ac:dyDescent="0.2">
      <c r="I1" s="578" t="s">
        <v>77</v>
      </c>
      <c r="J1" s="579"/>
      <c r="K1" s="579"/>
      <c r="L1" s="579"/>
    </row>
    <row r="2" spans="1:15" x14ac:dyDescent="0.2">
      <c r="I2" s="578" t="s">
        <v>1</v>
      </c>
      <c r="J2" s="579"/>
      <c r="K2" s="579"/>
      <c r="L2" s="579"/>
    </row>
    <row r="3" spans="1:15" x14ac:dyDescent="0.2">
      <c r="G3" s="580" t="s">
        <v>1738</v>
      </c>
      <c r="H3" s="581"/>
      <c r="I3" s="581"/>
      <c r="J3" s="581"/>
      <c r="K3" s="581"/>
      <c r="L3" s="581"/>
    </row>
    <row r="5" spans="1:15" ht="15.75" x14ac:dyDescent="0.25">
      <c r="A5" s="582" t="s">
        <v>76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</row>
    <row r="6" spans="1:15" ht="15.75" x14ac:dyDescent="0.25">
      <c r="A6" s="582" t="s">
        <v>79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</row>
    <row r="8" spans="1:15" ht="15" x14ac:dyDescent="0.25">
      <c r="A8" s="570" t="s">
        <v>75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</row>
    <row r="9" spans="1:15" ht="11.25" customHeight="1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0" spans="1:15" ht="39" customHeight="1" thickBot="1" x14ac:dyDescent="0.3">
      <c r="A10" s="571" t="s">
        <v>74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</row>
    <row r="11" spans="1:15" x14ac:dyDescent="0.2">
      <c r="A11" s="572" t="s">
        <v>70</v>
      </c>
      <c r="C11" s="574" t="s">
        <v>69</v>
      </c>
      <c r="D11" s="575"/>
      <c r="E11" s="575"/>
      <c r="F11" s="575"/>
      <c r="G11" s="575"/>
      <c r="H11" s="575"/>
      <c r="I11" s="575"/>
      <c r="J11" s="575"/>
      <c r="K11" s="572" t="s">
        <v>80</v>
      </c>
      <c r="L11" s="572" t="s">
        <v>73</v>
      </c>
    </row>
    <row r="12" spans="1:15" ht="84.95" customHeight="1" thickBot="1" x14ac:dyDescent="0.25">
      <c r="A12" s="573"/>
      <c r="C12" s="576"/>
      <c r="D12" s="577"/>
      <c r="E12" s="577"/>
      <c r="F12" s="577"/>
      <c r="G12" s="577"/>
      <c r="H12" s="577"/>
      <c r="I12" s="577"/>
      <c r="J12" s="577"/>
      <c r="K12" s="573"/>
      <c r="L12" s="573"/>
    </row>
    <row r="13" spans="1:15" ht="30.95" customHeight="1" thickBot="1" x14ac:dyDescent="0.25">
      <c r="A13" s="155" t="s">
        <v>72</v>
      </c>
      <c r="B13" s="156"/>
      <c r="C13" s="599" t="s">
        <v>67</v>
      </c>
      <c r="D13" s="600"/>
      <c r="E13" s="600"/>
      <c r="F13" s="600"/>
      <c r="G13" s="600"/>
      <c r="H13" s="600"/>
      <c r="I13" s="600"/>
      <c r="J13" s="601"/>
      <c r="K13" s="157">
        <v>760000</v>
      </c>
      <c r="L13" s="155" t="s">
        <v>81</v>
      </c>
      <c r="O13" s="158"/>
    </row>
    <row r="14" spans="1:15" ht="15.75" customHeight="1" thickBot="1" x14ac:dyDescent="0.25">
      <c r="A14" s="159"/>
      <c r="B14" s="160"/>
      <c r="C14" s="590" t="s">
        <v>82</v>
      </c>
      <c r="D14" s="591"/>
      <c r="E14" s="591"/>
      <c r="F14" s="591"/>
      <c r="G14" s="591"/>
      <c r="H14" s="591"/>
      <c r="I14" s="591"/>
      <c r="J14" s="592"/>
      <c r="K14" s="161">
        <f>K13</f>
        <v>760000</v>
      </c>
      <c r="L14" s="159"/>
    </row>
    <row r="15" spans="1:15" x14ac:dyDescent="0.2">
      <c r="C15" s="162"/>
      <c r="D15" s="162"/>
      <c r="E15" s="162"/>
      <c r="F15" s="162"/>
      <c r="G15" s="162"/>
      <c r="H15" s="162"/>
      <c r="I15" s="162"/>
      <c r="J15" s="163"/>
      <c r="K15" s="164"/>
      <c r="L15" s="164"/>
    </row>
    <row r="16" spans="1:15" ht="15.75" thickBot="1" x14ac:dyDescent="0.3">
      <c r="A16" s="570" t="s">
        <v>71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0"/>
      <c r="L16" s="570"/>
    </row>
    <row r="17" spans="1:15" ht="12.95" customHeight="1" x14ac:dyDescent="0.2">
      <c r="A17" s="572" t="s">
        <v>70</v>
      </c>
      <c r="B17" s="165" t="s">
        <v>69</v>
      </c>
      <c r="C17" s="593" t="s">
        <v>69</v>
      </c>
      <c r="D17" s="594"/>
      <c r="E17" s="594"/>
      <c r="F17" s="594"/>
      <c r="G17" s="594"/>
      <c r="H17" s="594"/>
      <c r="I17" s="594"/>
      <c r="J17" s="595"/>
      <c r="K17" s="593" t="s">
        <v>83</v>
      </c>
      <c r="L17" s="595"/>
    </row>
    <row r="18" spans="1:15" ht="33.200000000000003" customHeight="1" thickBot="1" x14ac:dyDescent="0.25">
      <c r="A18" s="573"/>
      <c r="B18" s="166"/>
      <c r="C18" s="596"/>
      <c r="D18" s="597"/>
      <c r="E18" s="597"/>
      <c r="F18" s="597"/>
      <c r="G18" s="597"/>
      <c r="H18" s="597"/>
      <c r="I18" s="597"/>
      <c r="J18" s="598"/>
      <c r="K18" s="596"/>
      <c r="L18" s="598"/>
    </row>
    <row r="19" spans="1:15" ht="30" customHeight="1" thickBot="1" x14ac:dyDescent="0.25">
      <c r="A19" s="155">
        <v>1</v>
      </c>
      <c r="B19" s="167" t="s">
        <v>68</v>
      </c>
      <c r="C19" s="599" t="s">
        <v>67</v>
      </c>
      <c r="D19" s="600"/>
      <c r="E19" s="600"/>
      <c r="F19" s="600"/>
      <c r="G19" s="600"/>
      <c r="H19" s="600"/>
      <c r="I19" s="600"/>
      <c r="J19" s="601"/>
      <c r="K19" s="583">
        <v>195000</v>
      </c>
      <c r="L19" s="584"/>
      <c r="O19" s="158"/>
    </row>
    <row r="20" spans="1:15" ht="19.5" hidden="1" customHeight="1" x14ac:dyDescent="0.2">
      <c r="A20" s="168"/>
      <c r="B20" s="169"/>
      <c r="C20" s="170"/>
      <c r="D20" s="170"/>
      <c r="E20" s="170"/>
      <c r="F20" s="170"/>
      <c r="G20" s="170"/>
      <c r="H20" s="171"/>
      <c r="I20" s="171"/>
      <c r="J20" s="156"/>
      <c r="K20" s="172"/>
      <c r="L20" s="172"/>
    </row>
    <row r="21" spans="1:15" ht="15.75" customHeight="1" thickBot="1" x14ac:dyDescent="0.25">
      <c r="A21" s="159"/>
      <c r="B21" s="173" t="s">
        <v>66</v>
      </c>
      <c r="C21" s="585" t="s">
        <v>65</v>
      </c>
      <c r="D21" s="586"/>
      <c r="E21" s="586"/>
      <c r="F21" s="586"/>
      <c r="G21" s="586"/>
      <c r="H21" s="586"/>
      <c r="I21" s="586"/>
      <c r="J21" s="587"/>
      <c r="K21" s="588">
        <f>SUM(K19:L20)</f>
        <v>195000</v>
      </c>
      <c r="L21" s="589"/>
    </row>
  </sheetData>
  <mergeCells count="21">
    <mergeCell ref="K19:L19"/>
    <mergeCell ref="K11:K12"/>
    <mergeCell ref="L11:L12"/>
    <mergeCell ref="C21:J21"/>
    <mergeCell ref="K21:L21"/>
    <mergeCell ref="C14:J14"/>
    <mergeCell ref="A16:L16"/>
    <mergeCell ref="A17:A18"/>
    <mergeCell ref="C17:J18"/>
    <mergeCell ref="K17:L18"/>
    <mergeCell ref="C19:J19"/>
    <mergeCell ref="C13:J13"/>
    <mergeCell ref="A8:L8"/>
    <mergeCell ref="A10:L10"/>
    <mergeCell ref="A11:A12"/>
    <mergeCell ref="C11:J12"/>
    <mergeCell ref="I1:L1"/>
    <mergeCell ref="I2:L2"/>
    <mergeCell ref="G3:L3"/>
    <mergeCell ref="A5:L5"/>
    <mergeCell ref="A6:L6"/>
  </mergeCells>
  <pageMargins left="0.82677165354330717" right="0.74803149606299213" top="0.78740157480314965" bottom="0.78740157480314965" header="0.51181102362204722" footer="0.51181102362204722"/>
  <pageSetup paperSize="9" scale="90" firstPageNumber="148" orientation="portrait" useFirstPageNumber="1" r:id="rId1"/>
  <headerFooter alignWithMargins="0">
    <oddFooter>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="80" zoomScaleNormal="80" workbookViewId="0"/>
  </sheetViews>
  <sheetFormatPr defaultColWidth="9.140625" defaultRowHeight="14.25" x14ac:dyDescent="0.2"/>
  <cols>
    <col min="1" max="1" width="3.7109375" style="151" customWidth="1"/>
    <col min="2" max="2" width="9.140625" style="151" hidden="1" customWidth="1"/>
    <col min="3" max="3" width="12.28515625" style="151" customWidth="1"/>
    <col min="4" max="4" width="16.5703125" style="151" customWidth="1"/>
    <col min="5" max="5" width="2.7109375" style="151" customWidth="1"/>
    <col min="6" max="6" width="6.5703125" style="151" customWidth="1"/>
    <col min="7" max="7" width="6.42578125" style="151" customWidth="1"/>
    <col min="8" max="8" width="2.85546875" style="151" hidden="1" customWidth="1"/>
    <col min="9" max="9" width="6.42578125" style="151" hidden="1" customWidth="1"/>
    <col min="10" max="10" width="6.7109375" style="151" hidden="1" customWidth="1"/>
    <col min="11" max="11" width="15.85546875" style="151" customWidth="1"/>
    <col min="12" max="12" width="14.140625" style="151" customWidth="1"/>
    <col min="13" max="13" width="15" style="151" customWidth="1"/>
    <col min="14" max="14" width="16.140625" style="1" customWidth="1"/>
    <col min="15" max="256" width="9.140625" style="1"/>
    <col min="257" max="257" width="3.7109375" style="1" customWidth="1"/>
    <col min="258" max="258" width="0" style="1" hidden="1" customWidth="1"/>
    <col min="259" max="259" width="12.28515625" style="1" customWidth="1"/>
    <col min="260" max="260" width="16.5703125" style="1" customWidth="1"/>
    <col min="261" max="261" width="2.7109375" style="1" customWidth="1"/>
    <col min="262" max="262" width="6.5703125" style="1" customWidth="1"/>
    <col min="263" max="263" width="6.42578125" style="1" customWidth="1"/>
    <col min="264" max="266" width="0" style="1" hidden="1" customWidth="1"/>
    <col min="267" max="267" width="14.5703125" style="1" customWidth="1"/>
    <col min="268" max="268" width="14.140625" style="1" customWidth="1"/>
    <col min="269" max="269" width="15" style="1" customWidth="1"/>
    <col min="270" max="270" width="12.7109375" style="1" customWidth="1"/>
    <col min="271" max="512" width="9.140625" style="1"/>
    <col min="513" max="513" width="3.7109375" style="1" customWidth="1"/>
    <col min="514" max="514" width="0" style="1" hidden="1" customWidth="1"/>
    <col min="515" max="515" width="12.28515625" style="1" customWidth="1"/>
    <col min="516" max="516" width="16.5703125" style="1" customWidth="1"/>
    <col min="517" max="517" width="2.7109375" style="1" customWidth="1"/>
    <col min="518" max="518" width="6.5703125" style="1" customWidth="1"/>
    <col min="519" max="519" width="6.42578125" style="1" customWidth="1"/>
    <col min="520" max="522" width="0" style="1" hidden="1" customWidth="1"/>
    <col min="523" max="523" width="14.5703125" style="1" customWidth="1"/>
    <col min="524" max="524" width="14.140625" style="1" customWidth="1"/>
    <col min="525" max="525" width="15" style="1" customWidth="1"/>
    <col min="526" max="526" width="12.7109375" style="1" customWidth="1"/>
    <col min="527" max="768" width="9.140625" style="1"/>
    <col min="769" max="769" width="3.7109375" style="1" customWidth="1"/>
    <col min="770" max="770" width="0" style="1" hidden="1" customWidth="1"/>
    <col min="771" max="771" width="12.28515625" style="1" customWidth="1"/>
    <col min="772" max="772" width="16.5703125" style="1" customWidth="1"/>
    <col min="773" max="773" width="2.7109375" style="1" customWidth="1"/>
    <col min="774" max="774" width="6.5703125" style="1" customWidth="1"/>
    <col min="775" max="775" width="6.42578125" style="1" customWidth="1"/>
    <col min="776" max="778" width="0" style="1" hidden="1" customWidth="1"/>
    <col min="779" max="779" width="14.5703125" style="1" customWidth="1"/>
    <col min="780" max="780" width="14.140625" style="1" customWidth="1"/>
    <col min="781" max="781" width="15" style="1" customWidth="1"/>
    <col min="782" max="782" width="12.7109375" style="1" customWidth="1"/>
    <col min="783" max="1024" width="9.140625" style="1"/>
    <col min="1025" max="1025" width="3.7109375" style="1" customWidth="1"/>
    <col min="1026" max="1026" width="0" style="1" hidden="1" customWidth="1"/>
    <col min="1027" max="1027" width="12.28515625" style="1" customWidth="1"/>
    <col min="1028" max="1028" width="16.5703125" style="1" customWidth="1"/>
    <col min="1029" max="1029" width="2.7109375" style="1" customWidth="1"/>
    <col min="1030" max="1030" width="6.5703125" style="1" customWidth="1"/>
    <col min="1031" max="1031" width="6.42578125" style="1" customWidth="1"/>
    <col min="1032" max="1034" width="0" style="1" hidden="1" customWidth="1"/>
    <col min="1035" max="1035" width="14.5703125" style="1" customWidth="1"/>
    <col min="1036" max="1036" width="14.140625" style="1" customWidth="1"/>
    <col min="1037" max="1037" width="15" style="1" customWidth="1"/>
    <col min="1038" max="1038" width="12.7109375" style="1" customWidth="1"/>
    <col min="1039" max="1280" width="9.140625" style="1"/>
    <col min="1281" max="1281" width="3.7109375" style="1" customWidth="1"/>
    <col min="1282" max="1282" width="0" style="1" hidden="1" customWidth="1"/>
    <col min="1283" max="1283" width="12.28515625" style="1" customWidth="1"/>
    <col min="1284" max="1284" width="16.5703125" style="1" customWidth="1"/>
    <col min="1285" max="1285" width="2.7109375" style="1" customWidth="1"/>
    <col min="1286" max="1286" width="6.5703125" style="1" customWidth="1"/>
    <col min="1287" max="1287" width="6.42578125" style="1" customWidth="1"/>
    <col min="1288" max="1290" width="0" style="1" hidden="1" customWidth="1"/>
    <col min="1291" max="1291" width="14.5703125" style="1" customWidth="1"/>
    <col min="1292" max="1292" width="14.140625" style="1" customWidth="1"/>
    <col min="1293" max="1293" width="15" style="1" customWidth="1"/>
    <col min="1294" max="1294" width="12.7109375" style="1" customWidth="1"/>
    <col min="1295" max="1536" width="9.140625" style="1"/>
    <col min="1537" max="1537" width="3.7109375" style="1" customWidth="1"/>
    <col min="1538" max="1538" width="0" style="1" hidden="1" customWidth="1"/>
    <col min="1539" max="1539" width="12.28515625" style="1" customWidth="1"/>
    <col min="1540" max="1540" width="16.5703125" style="1" customWidth="1"/>
    <col min="1541" max="1541" width="2.7109375" style="1" customWidth="1"/>
    <col min="1542" max="1542" width="6.5703125" style="1" customWidth="1"/>
    <col min="1543" max="1543" width="6.42578125" style="1" customWidth="1"/>
    <col min="1544" max="1546" width="0" style="1" hidden="1" customWidth="1"/>
    <col min="1547" max="1547" width="14.5703125" style="1" customWidth="1"/>
    <col min="1548" max="1548" width="14.140625" style="1" customWidth="1"/>
    <col min="1549" max="1549" width="15" style="1" customWidth="1"/>
    <col min="1550" max="1550" width="12.7109375" style="1" customWidth="1"/>
    <col min="1551" max="1792" width="9.140625" style="1"/>
    <col min="1793" max="1793" width="3.7109375" style="1" customWidth="1"/>
    <col min="1794" max="1794" width="0" style="1" hidden="1" customWidth="1"/>
    <col min="1795" max="1795" width="12.28515625" style="1" customWidth="1"/>
    <col min="1796" max="1796" width="16.5703125" style="1" customWidth="1"/>
    <col min="1797" max="1797" width="2.7109375" style="1" customWidth="1"/>
    <col min="1798" max="1798" width="6.5703125" style="1" customWidth="1"/>
    <col min="1799" max="1799" width="6.42578125" style="1" customWidth="1"/>
    <col min="1800" max="1802" width="0" style="1" hidden="1" customWidth="1"/>
    <col min="1803" max="1803" width="14.5703125" style="1" customWidth="1"/>
    <col min="1804" max="1804" width="14.140625" style="1" customWidth="1"/>
    <col min="1805" max="1805" width="15" style="1" customWidth="1"/>
    <col min="1806" max="1806" width="12.7109375" style="1" customWidth="1"/>
    <col min="1807" max="2048" width="9.140625" style="1"/>
    <col min="2049" max="2049" width="3.7109375" style="1" customWidth="1"/>
    <col min="2050" max="2050" width="0" style="1" hidden="1" customWidth="1"/>
    <col min="2051" max="2051" width="12.28515625" style="1" customWidth="1"/>
    <col min="2052" max="2052" width="16.5703125" style="1" customWidth="1"/>
    <col min="2053" max="2053" width="2.7109375" style="1" customWidth="1"/>
    <col min="2054" max="2054" width="6.5703125" style="1" customWidth="1"/>
    <col min="2055" max="2055" width="6.42578125" style="1" customWidth="1"/>
    <col min="2056" max="2058" width="0" style="1" hidden="1" customWidth="1"/>
    <col min="2059" max="2059" width="14.5703125" style="1" customWidth="1"/>
    <col min="2060" max="2060" width="14.140625" style="1" customWidth="1"/>
    <col min="2061" max="2061" width="15" style="1" customWidth="1"/>
    <col min="2062" max="2062" width="12.7109375" style="1" customWidth="1"/>
    <col min="2063" max="2304" width="9.140625" style="1"/>
    <col min="2305" max="2305" width="3.7109375" style="1" customWidth="1"/>
    <col min="2306" max="2306" width="0" style="1" hidden="1" customWidth="1"/>
    <col min="2307" max="2307" width="12.28515625" style="1" customWidth="1"/>
    <col min="2308" max="2308" width="16.5703125" style="1" customWidth="1"/>
    <col min="2309" max="2309" width="2.7109375" style="1" customWidth="1"/>
    <col min="2310" max="2310" width="6.5703125" style="1" customWidth="1"/>
    <col min="2311" max="2311" width="6.42578125" style="1" customWidth="1"/>
    <col min="2312" max="2314" width="0" style="1" hidden="1" customWidth="1"/>
    <col min="2315" max="2315" width="14.5703125" style="1" customWidth="1"/>
    <col min="2316" max="2316" width="14.140625" style="1" customWidth="1"/>
    <col min="2317" max="2317" width="15" style="1" customWidth="1"/>
    <col min="2318" max="2318" width="12.7109375" style="1" customWidth="1"/>
    <col min="2319" max="2560" width="9.140625" style="1"/>
    <col min="2561" max="2561" width="3.7109375" style="1" customWidth="1"/>
    <col min="2562" max="2562" width="0" style="1" hidden="1" customWidth="1"/>
    <col min="2563" max="2563" width="12.28515625" style="1" customWidth="1"/>
    <col min="2564" max="2564" width="16.5703125" style="1" customWidth="1"/>
    <col min="2565" max="2565" width="2.7109375" style="1" customWidth="1"/>
    <col min="2566" max="2566" width="6.5703125" style="1" customWidth="1"/>
    <col min="2567" max="2567" width="6.42578125" style="1" customWidth="1"/>
    <col min="2568" max="2570" width="0" style="1" hidden="1" customWidth="1"/>
    <col min="2571" max="2571" width="14.5703125" style="1" customWidth="1"/>
    <col min="2572" max="2572" width="14.140625" style="1" customWidth="1"/>
    <col min="2573" max="2573" width="15" style="1" customWidth="1"/>
    <col min="2574" max="2574" width="12.7109375" style="1" customWidth="1"/>
    <col min="2575" max="2816" width="9.140625" style="1"/>
    <col min="2817" max="2817" width="3.7109375" style="1" customWidth="1"/>
    <col min="2818" max="2818" width="0" style="1" hidden="1" customWidth="1"/>
    <col min="2819" max="2819" width="12.28515625" style="1" customWidth="1"/>
    <col min="2820" max="2820" width="16.5703125" style="1" customWidth="1"/>
    <col min="2821" max="2821" width="2.7109375" style="1" customWidth="1"/>
    <col min="2822" max="2822" width="6.5703125" style="1" customWidth="1"/>
    <col min="2823" max="2823" width="6.42578125" style="1" customWidth="1"/>
    <col min="2824" max="2826" width="0" style="1" hidden="1" customWidth="1"/>
    <col min="2827" max="2827" width="14.5703125" style="1" customWidth="1"/>
    <col min="2828" max="2828" width="14.140625" style="1" customWidth="1"/>
    <col min="2829" max="2829" width="15" style="1" customWidth="1"/>
    <col min="2830" max="2830" width="12.7109375" style="1" customWidth="1"/>
    <col min="2831" max="3072" width="9.140625" style="1"/>
    <col min="3073" max="3073" width="3.7109375" style="1" customWidth="1"/>
    <col min="3074" max="3074" width="0" style="1" hidden="1" customWidth="1"/>
    <col min="3075" max="3075" width="12.28515625" style="1" customWidth="1"/>
    <col min="3076" max="3076" width="16.5703125" style="1" customWidth="1"/>
    <col min="3077" max="3077" width="2.7109375" style="1" customWidth="1"/>
    <col min="3078" max="3078" width="6.5703125" style="1" customWidth="1"/>
    <col min="3079" max="3079" width="6.42578125" style="1" customWidth="1"/>
    <col min="3080" max="3082" width="0" style="1" hidden="1" customWidth="1"/>
    <col min="3083" max="3083" width="14.5703125" style="1" customWidth="1"/>
    <col min="3084" max="3084" width="14.140625" style="1" customWidth="1"/>
    <col min="3085" max="3085" width="15" style="1" customWidth="1"/>
    <col min="3086" max="3086" width="12.7109375" style="1" customWidth="1"/>
    <col min="3087" max="3328" width="9.140625" style="1"/>
    <col min="3329" max="3329" width="3.7109375" style="1" customWidth="1"/>
    <col min="3330" max="3330" width="0" style="1" hidden="1" customWidth="1"/>
    <col min="3331" max="3331" width="12.28515625" style="1" customWidth="1"/>
    <col min="3332" max="3332" width="16.5703125" style="1" customWidth="1"/>
    <col min="3333" max="3333" width="2.7109375" style="1" customWidth="1"/>
    <col min="3334" max="3334" width="6.5703125" style="1" customWidth="1"/>
    <col min="3335" max="3335" width="6.42578125" style="1" customWidth="1"/>
    <col min="3336" max="3338" width="0" style="1" hidden="1" customWidth="1"/>
    <col min="3339" max="3339" width="14.5703125" style="1" customWidth="1"/>
    <col min="3340" max="3340" width="14.140625" style="1" customWidth="1"/>
    <col min="3341" max="3341" width="15" style="1" customWidth="1"/>
    <col min="3342" max="3342" width="12.7109375" style="1" customWidth="1"/>
    <col min="3343" max="3584" width="9.140625" style="1"/>
    <col min="3585" max="3585" width="3.7109375" style="1" customWidth="1"/>
    <col min="3586" max="3586" width="0" style="1" hidden="1" customWidth="1"/>
    <col min="3587" max="3587" width="12.28515625" style="1" customWidth="1"/>
    <col min="3588" max="3588" width="16.5703125" style="1" customWidth="1"/>
    <col min="3589" max="3589" width="2.7109375" style="1" customWidth="1"/>
    <col min="3590" max="3590" width="6.5703125" style="1" customWidth="1"/>
    <col min="3591" max="3591" width="6.42578125" style="1" customWidth="1"/>
    <col min="3592" max="3594" width="0" style="1" hidden="1" customWidth="1"/>
    <col min="3595" max="3595" width="14.5703125" style="1" customWidth="1"/>
    <col min="3596" max="3596" width="14.140625" style="1" customWidth="1"/>
    <col min="3597" max="3597" width="15" style="1" customWidth="1"/>
    <col min="3598" max="3598" width="12.7109375" style="1" customWidth="1"/>
    <col min="3599" max="3840" width="9.140625" style="1"/>
    <col min="3841" max="3841" width="3.7109375" style="1" customWidth="1"/>
    <col min="3842" max="3842" width="0" style="1" hidden="1" customWidth="1"/>
    <col min="3843" max="3843" width="12.28515625" style="1" customWidth="1"/>
    <col min="3844" max="3844" width="16.5703125" style="1" customWidth="1"/>
    <col min="3845" max="3845" width="2.7109375" style="1" customWidth="1"/>
    <col min="3846" max="3846" width="6.5703125" style="1" customWidth="1"/>
    <col min="3847" max="3847" width="6.42578125" style="1" customWidth="1"/>
    <col min="3848" max="3850" width="0" style="1" hidden="1" customWidth="1"/>
    <col min="3851" max="3851" width="14.5703125" style="1" customWidth="1"/>
    <col min="3852" max="3852" width="14.140625" style="1" customWidth="1"/>
    <col min="3853" max="3853" width="15" style="1" customWidth="1"/>
    <col min="3854" max="3854" width="12.7109375" style="1" customWidth="1"/>
    <col min="3855" max="4096" width="9.140625" style="1"/>
    <col min="4097" max="4097" width="3.7109375" style="1" customWidth="1"/>
    <col min="4098" max="4098" width="0" style="1" hidden="1" customWidth="1"/>
    <col min="4099" max="4099" width="12.28515625" style="1" customWidth="1"/>
    <col min="4100" max="4100" width="16.5703125" style="1" customWidth="1"/>
    <col min="4101" max="4101" width="2.7109375" style="1" customWidth="1"/>
    <col min="4102" max="4102" width="6.5703125" style="1" customWidth="1"/>
    <col min="4103" max="4103" width="6.42578125" style="1" customWidth="1"/>
    <col min="4104" max="4106" width="0" style="1" hidden="1" customWidth="1"/>
    <col min="4107" max="4107" width="14.5703125" style="1" customWidth="1"/>
    <col min="4108" max="4108" width="14.140625" style="1" customWidth="1"/>
    <col min="4109" max="4109" width="15" style="1" customWidth="1"/>
    <col min="4110" max="4110" width="12.7109375" style="1" customWidth="1"/>
    <col min="4111" max="4352" width="9.140625" style="1"/>
    <col min="4353" max="4353" width="3.7109375" style="1" customWidth="1"/>
    <col min="4354" max="4354" width="0" style="1" hidden="1" customWidth="1"/>
    <col min="4355" max="4355" width="12.28515625" style="1" customWidth="1"/>
    <col min="4356" max="4356" width="16.5703125" style="1" customWidth="1"/>
    <col min="4357" max="4357" width="2.7109375" style="1" customWidth="1"/>
    <col min="4358" max="4358" width="6.5703125" style="1" customWidth="1"/>
    <col min="4359" max="4359" width="6.42578125" style="1" customWidth="1"/>
    <col min="4360" max="4362" width="0" style="1" hidden="1" customWidth="1"/>
    <col min="4363" max="4363" width="14.5703125" style="1" customWidth="1"/>
    <col min="4364" max="4364" width="14.140625" style="1" customWidth="1"/>
    <col min="4365" max="4365" width="15" style="1" customWidth="1"/>
    <col min="4366" max="4366" width="12.7109375" style="1" customWidth="1"/>
    <col min="4367" max="4608" width="9.140625" style="1"/>
    <col min="4609" max="4609" width="3.7109375" style="1" customWidth="1"/>
    <col min="4610" max="4610" width="0" style="1" hidden="1" customWidth="1"/>
    <col min="4611" max="4611" width="12.28515625" style="1" customWidth="1"/>
    <col min="4612" max="4612" width="16.5703125" style="1" customWidth="1"/>
    <col min="4613" max="4613" width="2.7109375" style="1" customWidth="1"/>
    <col min="4614" max="4614" width="6.5703125" style="1" customWidth="1"/>
    <col min="4615" max="4615" width="6.42578125" style="1" customWidth="1"/>
    <col min="4616" max="4618" width="0" style="1" hidden="1" customWidth="1"/>
    <col min="4619" max="4619" width="14.5703125" style="1" customWidth="1"/>
    <col min="4620" max="4620" width="14.140625" style="1" customWidth="1"/>
    <col min="4621" max="4621" width="15" style="1" customWidth="1"/>
    <col min="4622" max="4622" width="12.7109375" style="1" customWidth="1"/>
    <col min="4623" max="4864" width="9.140625" style="1"/>
    <col min="4865" max="4865" width="3.7109375" style="1" customWidth="1"/>
    <col min="4866" max="4866" width="0" style="1" hidden="1" customWidth="1"/>
    <col min="4867" max="4867" width="12.28515625" style="1" customWidth="1"/>
    <col min="4868" max="4868" width="16.5703125" style="1" customWidth="1"/>
    <col min="4869" max="4869" width="2.7109375" style="1" customWidth="1"/>
    <col min="4870" max="4870" width="6.5703125" style="1" customWidth="1"/>
    <col min="4871" max="4871" width="6.42578125" style="1" customWidth="1"/>
    <col min="4872" max="4874" width="0" style="1" hidden="1" customWidth="1"/>
    <col min="4875" max="4875" width="14.5703125" style="1" customWidth="1"/>
    <col min="4876" max="4876" width="14.140625" style="1" customWidth="1"/>
    <col min="4877" max="4877" width="15" style="1" customWidth="1"/>
    <col min="4878" max="4878" width="12.7109375" style="1" customWidth="1"/>
    <col min="4879" max="5120" width="9.140625" style="1"/>
    <col min="5121" max="5121" width="3.7109375" style="1" customWidth="1"/>
    <col min="5122" max="5122" width="0" style="1" hidden="1" customWidth="1"/>
    <col min="5123" max="5123" width="12.28515625" style="1" customWidth="1"/>
    <col min="5124" max="5124" width="16.5703125" style="1" customWidth="1"/>
    <col min="5125" max="5125" width="2.7109375" style="1" customWidth="1"/>
    <col min="5126" max="5126" width="6.5703125" style="1" customWidth="1"/>
    <col min="5127" max="5127" width="6.42578125" style="1" customWidth="1"/>
    <col min="5128" max="5130" width="0" style="1" hidden="1" customWidth="1"/>
    <col min="5131" max="5131" width="14.5703125" style="1" customWidth="1"/>
    <col min="5132" max="5132" width="14.140625" style="1" customWidth="1"/>
    <col min="5133" max="5133" width="15" style="1" customWidth="1"/>
    <col min="5134" max="5134" width="12.7109375" style="1" customWidth="1"/>
    <col min="5135" max="5376" width="9.140625" style="1"/>
    <col min="5377" max="5377" width="3.7109375" style="1" customWidth="1"/>
    <col min="5378" max="5378" width="0" style="1" hidden="1" customWidth="1"/>
    <col min="5379" max="5379" width="12.28515625" style="1" customWidth="1"/>
    <col min="5380" max="5380" width="16.5703125" style="1" customWidth="1"/>
    <col min="5381" max="5381" width="2.7109375" style="1" customWidth="1"/>
    <col min="5382" max="5382" width="6.5703125" style="1" customWidth="1"/>
    <col min="5383" max="5383" width="6.42578125" style="1" customWidth="1"/>
    <col min="5384" max="5386" width="0" style="1" hidden="1" customWidth="1"/>
    <col min="5387" max="5387" width="14.5703125" style="1" customWidth="1"/>
    <col min="5388" max="5388" width="14.140625" style="1" customWidth="1"/>
    <col min="5389" max="5389" width="15" style="1" customWidth="1"/>
    <col min="5390" max="5390" width="12.7109375" style="1" customWidth="1"/>
    <col min="5391" max="5632" width="9.140625" style="1"/>
    <col min="5633" max="5633" width="3.7109375" style="1" customWidth="1"/>
    <col min="5634" max="5634" width="0" style="1" hidden="1" customWidth="1"/>
    <col min="5635" max="5635" width="12.28515625" style="1" customWidth="1"/>
    <col min="5636" max="5636" width="16.5703125" style="1" customWidth="1"/>
    <col min="5637" max="5637" width="2.7109375" style="1" customWidth="1"/>
    <col min="5638" max="5638" width="6.5703125" style="1" customWidth="1"/>
    <col min="5639" max="5639" width="6.42578125" style="1" customWidth="1"/>
    <col min="5640" max="5642" width="0" style="1" hidden="1" customWidth="1"/>
    <col min="5643" max="5643" width="14.5703125" style="1" customWidth="1"/>
    <col min="5644" max="5644" width="14.140625" style="1" customWidth="1"/>
    <col min="5645" max="5645" width="15" style="1" customWidth="1"/>
    <col min="5646" max="5646" width="12.7109375" style="1" customWidth="1"/>
    <col min="5647" max="5888" width="9.140625" style="1"/>
    <col min="5889" max="5889" width="3.7109375" style="1" customWidth="1"/>
    <col min="5890" max="5890" width="0" style="1" hidden="1" customWidth="1"/>
    <col min="5891" max="5891" width="12.28515625" style="1" customWidth="1"/>
    <col min="5892" max="5892" width="16.5703125" style="1" customWidth="1"/>
    <col min="5893" max="5893" width="2.7109375" style="1" customWidth="1"/>
    <col min="5894" max="5894" width="6.5703125" style="1" customWidth="1"/>
    <col min="5895" max="5895" width="6.42578125" style="1" customWidth="1"/>
    <col min="5896" max="5898" width="0" style="1" hidden="1" customWidth="1"/>
    <col min="5899" max="5899" width="14.5703125" style="1" customWidth="1"/>
    <col min="5900" max="5900" width="14.140625" style="1" customWidth="1"/>
    <col min="5901" max="5901" width="15" style="1" customWidth="1"/>
    <col min="5902" max="5902" width="12.7109375" style="1" customWidth="1"/>
    <col min="5903" max="6144" width="9.140625" style="1"/>
    <col min="6145" max="6145" width="3.7109375" style="1" customWidth="1"/>
    <col min="6146" max="6146" width="0" style="1" hidden="1" customWidth="1"/>
    <col min="6147" max="6147" width="12.28515625" style="1" customWidth="1"/>
    <col min="6148" max="6148" width="16.5703125" style="1" customWidth="1"/>
    <col min="6149" max="6149" width="2.7109375" style="1" customWidth="1"/>
    <col min="6150" max="6150" width="6.5703125" style="1" customWidth="1"/>
    <col min="6151" max="6151" width="6.42578125" style="1" customWidth="1"/>
    <col min="6152" max="6154" width="0" style="1" hidden="1" customWidth="1"/>
    <col min="6155" max="6155" width="14.5703125" style="1" customWidth="1"/>
    <col min="6156" max="6156" width="14.140625" style="1" customWidth="1"/>
    <col min="6157" max="6157" width="15" style="1" customWidth="1"/>
    <col min="6158" max="6158" width="12.7109375" style="1" customWidth="1"/>
    <col min="6159" max="6400" width="9.140625" style="1"/>
    <col min="6401" max="6401" width="3.7109375" style="1" customWidth="1"/>
    <col min="6402" max="6402" width="0" style="1" hidden="1" customWidth="1"/>
    <col min="6403" max="6403" width="12.28515625" style="1" customWidth="1"/>
    <col min="6404" max="6404" width="16.5703125" style="1" customWidth="1"/>
    <col min="6405" max="6405" width="2.7109375" style="1" customWidth="1"/>
    <col min="6406" max="6406" width="6.5703125" style="1" customWidth="1"/>
    <col min="6407" max="6407" width="6.42578125" style="1" customWidth="1"/>
    <col min="6408" max="6410" width="0" style="1" hidden="1" customWidth="1"/>
    <col min="6411" max="6411" width="14.5703125" style="1" customWidth="1"/>
    <col min="6412" max="6412" width="14.140625" style="1" customWidth="1"/>
    <col min="6413" max="6413" width="15" style="1" customWidth="1"/>
    <col min="6414" max="6414" width="12.7109375" style="1" customWidth="1"/>
    <col min="6415" max="6656" width="9.140625" style="1"/>
    <col min="6657" max="6657" width="3.7109375" style="1" customWidth="1"/>
    <col min="6658" max="6658" width="0" style="1" hidden="1" customWidth="1"/>
    <col min="6659" max="6659" width="12.28515625" style="1" customWidth="1"/>
    <col min="6660" max="6660" width="16.5703125" style="1" customWidth="1"/>
    <col min="6661" max="6661" width="2.7109375" style="1" customWidth="1"/>
    <col min="6662" max="6662" width="6.5703125" style="1" customWidth="1"/>
    <col min="6663" max="6663" width="6.42578125" style="1" customWidth="1"/>
    <col min="6664" max="6666" width="0" style="1" hidden="1" customWidth="1"/>
    <col min="6667" max="6667" width="14.5703125" style="1" customWidth="1"/>
    <col min="6668" max="6668" width="14.140625" style="1" customWidth="1"/>
    <col min="6669" max="6669" width="15" style="1" customWidth="1"/>
    <col min="6670" max="6670" width="12.7109375" style="1" customWidth="1"/>
    <col min="6671" max="6912" width="9.140625" style="1"/>
    <col min="6913" max="6913" width="3.7109375" style="1" customWidth="1"/>
    <col min="6914" max="6914" width="0" style="1" hidden="1" customWidth="1"/>
    <col min="6915" max="6915" width="12.28515625" style="1" customWidth="1"/>
    <col min="6916" max="6916" width="16.5703125" style="1" customWidth="1"/>
    <col min="6917" max="6917" width="2.7109375" style="1" customWidth="1"/>
    <col min="6918" max="6918" width="6.5703125" style="1" customWidth="1"/>
    <col min="6919" max="6919" width="6.42578125" style="1" customWidth="1"/>
    <col min="6920" max="6922" width="0" style="1" hidden="1" customWidth="1"/>
    <col min="6923" max="6923" width="14.5703125" style="1" customWidth="1"/>
    <col min="6924" max="6924" width="14.140625" style="1" customWidth="1"/>
    <col min="6925" max="6925" width="15" style="1" customWidth="1"/>
    <col min="6926" max="6926" width="12.7109375" style="1" customWidth="1"/>
    <col min="6927" max="7168" width="9.140625" style="1"/>
    <col min="7169" max="7169" width="3.7109375" style="1" customWidth="1"/>
    <col min="7170" max="7170" width="0" style="1" hidden="1" customWidth="1"/>
    <col min="7171" max="7171" width="12.28515625" style="1" customWidth="1"/>
    <col min="7172" max="7172" width="16.5703125" style="1" customWidth="1"/>
    <col min="7173" max="7173" width="2.7109375" style="1" customWidth="1"/>
    <col min="7174" max="7174" width="6.5703125" style="1" customWidth="1"/>
    <col min="7175" max="7175" width="6.42578125" style="1" customWidth="1"/>
    <col min="7176" max="7178" width="0" style="1" hidden="1" customWidth="1"/>
    <col min="7179" max="7179" width="14.5703125" style="1" customWidth="1"/>
    <col min="7180" max="7180" width="14.140625" style="1" customWidth="1"/>
    <col min="7181" max="7181" width="15" style="1" customWidth="1"/>
    <col min="7182" max="7182" width="12.7109375" style="1" customWidth="1"/>
    <col min="7183" max="7424" width="9.140625" style="1"/>
    <col min="7425" max="7425" width="3.7109375" style="1" customWidth="1"/>
    <col min="7426" max="7426" width="0" style="1" hidden="1" customWidth="1"/>
    <col min="7427" max="7427" width="12.28515625" style="1" customWidth="1"/>
    <col min="7428" max="7428" width="16.5703125" style="1" customWidth="1"/>
    <col min="7429" max="7429" width="2.7109375" style="1" customWidth="1"/>
    <col min="7430" max="7430" width="6.5703125" style="1" customWidth="1"/>
    <col min="7431" max="7431" width="6.42578125" style="1" customWidth="1"/>
    <col min="7432" max="7434" width="0" style="1" hidden="1" customWidth="1"/>
    <col min="7435" max="7435" width="14.5703125" style="1" customWidth="1"/>
    <col min="7436" max="7436" width="14.140625" style="1" customWidth="1"/>
    <col min="7437" max="7437" width="15" style="1" customWidth="1"/>
    <col min="7438" max="7438" width="12.7109375" style="1" customWidth="1"/>
    <col min="7439" max="7680" width="9.140625" style="1"/>
    <col min="7681" max="7681" width="3.7109375" style="1" customWidth="1"/>
    <col min="7682" max="7682" width="0" style="1" hidden="1" customWidth="1"/>
    <col min="7683" max="7683" width="12.28515625" style="1" customWidth="1"/>
    <col min="7684" max="7684" width="16.5703125" style="1" customWidth="1"/>
    <col min="7685" max="7685" width="2.7109375" style="1" customWidth="1"/>
    <col min="7686" max="7686" width="6.5703125" style="1" customWidth="1"/>
    <col min="7687" max="7687" width="6.42578125" style="1" customWidth="1"/>
    <col min="7688" max="7690" width="0" style="1" hidden="1" customWidth="1"/>
    <col min="7691" max="7691" width="14.5703125" style="1" customWidth="1"/>
    <col min="7692" max="7692" width="14.140625" style="1" customWidth="1"/>
    <col min="7693" max="7693" width="15" style="1" customWidth="1"/>
    <col min="7694" max="7694" width="12.7109375" style="1" customWidth="1"/>
    <col min="7695" max="7936" width="9.140625" style="1"/>
    <col min="7937" max="7937" width="3.7109375" style="1" customWidth="1"/>
    <col min="7938" max="7938" width="0" style="1" hidden="1" customWidth="1"/>
    <col min="7939" max="7939" width="12.28515625" style="1" customWidth="1"/>
    <col min="7940" max="7940" width="16.5703125" style="1" customWidth="1"/>
    <col min="7941" max="7941" width="2.7109375" style="1" customWidth="1"/>
    <col min="7942" max="7942" width="6.5703125" style="1" customWidth="1"/>
    <col min="7943" max="7943" width="6.42578125" style="1" customWidth="1"/>
    <col min="7944" max="7946" width="0" style="1" hidden="1" customWidth="1"/>
    <col min="7947" max="7947" width="14.5703125" style="1" customWidth="1"/>
    <col min="7948" max="7948" width="14.140625" style="1" customWidth="1"/>
    <col min="7949" max="7949" width="15" style="1" customWidth="1"/>
    <col min="7950" max="7950" width="12.7109375" style="1" customWidth="1"/>
    <col min="7951" max="8192" width="9.140625" style="1"/>
    <col min="8193" max="8193" width="3.7109375" style="1" customWidth="1"/>
    <col min="8194" max="8194" width="0" style="1" hidden="1" customWidth="1"/>
    <col min="8195" max="8195" width="12.28515625" style="1" customWidth="1"/>
    <col min="8196" max="8196" width="16.5703125" style="1" customWidth="1"/>
    <col min="8197" max="8197" width="2.7109375" style="1" customWidth="1"/>
    <col min="8198" max="8198" width="6.5703125" style="1" customWidth="1"/>
    <col min="8199" max="8199" width="6.42578125" style="1" customWidth="1"/>
    <col min="8200" max="8202" width="0" style="1" hidden="1" customWidth="1"/>
    <col min="8203" max="8203" width="14.5703125" style="1" customWidth="1"/>
    <col min="8204" max="8204" width="14.140625" style="1" customWidth="1"/>
    <col min="8205" max="8205" width="15" style="1" customWidth="1"/>
    <col min="8206" max="8206" width="12.7109375" style="1" customWidth="1"/>
    <col min="8207" max="8448" width="9.140625" style="1"/>
    <col min="8449" max="8449" width="3.7109375" style="1" customWidth="1"/>
    <col min="8450" max="8450" width="0" style="1" hidden="1" customWidth="1"/>
    <col min="8451" max="8451" width="12.28515625" style="1" customWidth="1"/>
    <col min="8452" max="8452" width="16.5703125" style="1" customWidth="1"/>
    <col min="8453" max="8453" width="2.7109375" style="1" customWidth="1"/>
    <col min="8454" max="8454" width="6.5703125" style="1" customWidth="1"/>
    <col min="8455" max="8455" width="6.42578125" style="1" customWidth="1"/>
    <col min="8456" max="8458" width="0" style="1" hidden="1" customWidth="1"/>
    <col min="8459" max="8459" width="14.5703125" style="1" customWidth="1"/>
    <col min="8460" max="8460" width="14.140625" style="1" customWidth="1"/>
    <col min="8461" max="8461" width="15" style="1" customWidth="1"/>
    <col min="8462" max="8462" width="12.7109375" style="1" customWidth="1"/>
    <col min="8463" max="8704" width="9.140625" style="1"/>
    <col min="8705" max="8705" width="3.7109375" style="1" customWidth="1"/>
    <col min="8706" max="8706" width="0" style="1" hidden="1" customWidth="1"/>
    <col min="8707" max="8707" width="12.28515625" style="1" customWidth="1"/>
    <col min="8708" max="8708" width="16.5703125" style="1" customWidth="1"/>
    <col min="8709" max="8709" width="2.7109375" style="1" customWidth="1"/>
    <col min="8710" max="8710" width="6.5703125" style="1" customWidth="1"/>
    <col min="8711" max="8711" width="6.42578125" style="1" customWidth="1"/>
    <col min="8712" max="8714" width="0" style="1" hidden="1" customWidth="1"/>
    <col min="8715" max="8715" width="14.5703125" style="1" customWidth="1"/>
    <col min="8716" max="8716" width="14.140625" style="1" customWidth="1"/>
    <col min="8717" max="8717" width="15" style="1" customWidth="1"/>
    <col min="8718" max="8718" width="12.7109375" style="1" customWidth="1"/>
    <col min="8719" max="8960" width="9.140625" style="1"/>
    <col min="8961" max="8961" width="3.7109375" style="1" customWidth="1"/>
    <col min="8962" max="8962" width="0" style="1" hidden="1" customWidth="1"/>
    <col min="8963" max="8963" width="12.28515625" style="1" customWidth="1"/>
    <col min="8964" max="8964" width="16.5703125" style="1" customWidth="1"/>
    <col min="8965" max="8965" width="2.7109375" style="1" customWidth="1"/>
    <col min="8966" max="8966" width="6.5703125" style="1" customWidth="1"/>
    <col min="8967" max="8967" width="6.42578125" style="1" customWidth="1"/>
    <col min="8968" max="8970" width="0" style="1" hidden="1" customWidth="1"/>
    <col min="8971" max="8971" width="14.5703125" style="1" customWidth="1"/>
    <col min="8972" max="8972" width="14.140625" style="1" customWidth="1"/>
    <col min="8973" max="8973" width="15" style="1" customWidth="1"/>
    <col min="8974" max="8974" width="12.7109375" style="1" customWidth="1"/>
    <col min="8975" max="9216" width="9.140625" style="1"/>
    <col min="9217" max="9217" width="3.7109375" style="1" customWidth="1"/>
    <col min="9218" max="9218" width="0" style="1" hidden="1" customWidth="1"/>
    <col min="9219" max="9219" width="12.28515625" style="1" customWidth="1"/>
    <col min="9220" max="9220" width="16.5703125" style="1" customWidth="1"/>
    <col min="9221" max="9221" width="2.7109375" style="1" customWidth="1"/>
    <col min="9222" max="9222" width="6.5703125" style="1" customWidth="1"/>
    <col min="9223" max="9223" width="6.42578125" style="1" customWidth="1"/>
    <col min="9224" max="9226" width="0" style="1" hidden="1" customWidth="1"/>
    <col min="9227" max="9227" width="14.5703125" style="1" customWidth="1"/>
    <col min="9228" max="9228" width="14.140625" style="1" customWidth="1"/>
    <col min="9229" max="9229" width="15" style="1" customWidth="1"/>
    <col min="9230" max="9230" width="12.7109375" style="1" customWidth="1"/>
    <col min="9231" max="9472" width="9.140625" style="1"/>
    <col min="9473" max="9473" width="3.7109375" style="1" customWidth="1"/>
    <col min="9474" max="9474" width="0" style="1" hidden="1" customWidth="1"/>
    <col min="9475" max="9475" width="12.28515625" style="1" customWidth="1"/>
    <col min="9476" max="9476" width="16.5703125" style="1" customWidth="1"/>
    <col min="9477" max="9477" width="2.7109375" style="1" customWidth="1"/>
    <col min="9478" max="9478" width="6.5703125" style="1" customWidth="1"/>
    <col min="9479" max="9479" width="6.42578125" style="1" customWidth="1"/>
    <col min="9480" max="9482" width="0" style="1" hidden="1" customWidth="1"/>
    <col min="9483" max="9483" width="14.5703125" style="1" customWidth="1"/>
    <col min="9484" max="9484" width="14.140625" style="1" customWidth="1"/>
    <col min="9485" max="9485" width="15" style="1" customWidth="1"/>
    <col min="9486" max="9486" width="12.7109375" style="1" customWidth="1"/>
    <col min="9487" max="9728" width="9.140625" style="1"/>
    <col min="9729" max="9729" width="3.7109375" style="1" customWidth="1"/>
    <col min="9730" max="9730" width="0" style="1" hidden="1" customWidth="1"/>
    <col min="9731" max="9731" width="12.28515625" style="1" customWidth="1"/>
    <col min="9732" max="9732" width="16.5703125" style="1" customWidth="1"/>
    <col min="9733" max="9733" width="2.7109375" style="1" customWidth="1"/>
    <col min="9734" max="9734" width="6.5703125" style="1" customWidth="1"/>
    <col min="9735" max="9735" width="6.42578125" style="1" customWidth="1"/>
    <col min="9736" max="9738" width="0" style="1" hidden="1" customWidth="1"/>
    <col min="9739" max="9739" width="14.5703125" style="1" customWidth="1"/>
    <col min="9740" max="9740" width="14.140625" style="1" customWidth="1"/>
    <col min="9741" max="9741" width="15" style="1" customWidth="1"/>
    <col min="9742" max="9742" width="12.7109375" style="1" customWidth="1"/>
    <col min="9743" max="9984" width="9.140625" style="1"/>
    <col min="9985" max="9985" width="3.7109375" style="1" customWidth="1"/>
    <col min="9986" max="9986" width="0" style="1" hidden="1" customWidth="1"/>
    <col min="9987" max="9987" width="12.28515625" style="1" customWidth="1"/>
    <col min="9988" max="9988" width="16.5703125" style="1" customWidth="1"/>
    <col min="9989" max="9989" width="2.7109375" style="1" customWidth="1"/>
    <col min="9990" max="9990" width="6.5703125" style="1" customWidth="1"/>
    <col min="9991" max="9991" width="6.42578125" style="1" customWidth="1"/>
    <col min="9992" max="9994" width="0" style="1" hidden="1" customWidth="1"/>
    <col min="9995" max="9995" width="14.5703125" style="1" customWidth="1"/>
    <col min="9996" max="9996" width="14.140625" style="1" customWidth="1"/>
    <col min="9997" max="9997" width="15" style="1" customWidth="1"/>
    <col min="9998" max="9998" width="12.7109375" style="1" customWidth="1"/>
    <col min="9999" max="10240" width="9.140625" style="1"/>
    <col min="10241" max="10241" width="3.7109375" style="1" customWidth="1"/>
    <col min="10242" max="10242" width="0" style="1" hidden="1" customWidth="1"/>
    <col min="10243" max="10243" width="12.28515625" style="1" customWidth="1"/>
    <col min="10244" max="10244" width="16.5703125" style="1" customWidth="1"/>
    <col min="10245" max="10245" width="2.7109375" style="1" customWidth="1"/>
    <col min="10246" max="10246" width="6.5703125" style="1" customWidth="1"/>
    <col min="10247" max="10247" width="6.42578125" style="1" customWidth="1"/>
    <col min="10248" max="10250" width="0" style="1" hidden="1" customWidth="1"/>
    <col min="10251" max="10251" width="14.5703125" style="1" customWidth="1"/>
    <col min="10252" max="10252" width="14.140625" style="1" customWidth="1"/>
    <col min="10253" max="10253" width="15" style="1" customWidth="1"/>
    <col min="10254" max="10254" width="12.7109375" style="1" customWidth="1"/>
    <col min="10255" max="10496" width="9.140625" style="1"/>
    <col min="10497" max="10497" width="3.7109375" style="1" customWidth="1"/>
    <col min="10498" max="10498" width="0" style="1" hidden="1" customWidth="1"/>
    <col min="10499" max="10499" width="12.28515625" style="1" customWidth="1"/>
    <col min="10500" max="10500" width="16.5703125" style="1" customWidth="1"/>
    <col min="10501" max="10501" width="2.7109375" style="1" customWidth="1"/>
    <col min="10502" max="10502" width="6.5703125" style="1" customWidth="1"/>
    <col min="10503" max="10503" width="6.42578125" style="1" customWidth="1"/>
    <col min="10504" max="10506" width="0" style="1" hidden="1" customWidth="1"/>
    <col min="10507" max="10507" width="14.5703125" style="1" customWidth="1"/>
    <col min="10508" max="10508" width="14.140625" style="1" customWidth="1"/>
    <col min="10509" max="10509" width="15" style="1" customWidth="1"/>
    <col min="10510" max="10510" width="12.7109375" style="1" customWidth="1"/>
    <col min="10511" max="10752" width="9.140625" style="1"/>
    <col min="10753" max="10753" width="3.7109375" style="1" customWidth="1"/>
    <col min="10754" max="10754" width="0" style="1" hidden="1" customWidth="1"/>
    <col min="10755" max="10755" width="12.28515625" style="1" customWidth="1"/>
    <col min="10756" max="10756" width="16.5703125" style="1" customWidth="1"/>
    <col min="10757" max="10757" width="2.7109375" style="1" customWidth="1"/>
    <col min="10758" max="10758" width="6.5703125" style="1" customWidth="1"/>
    <col min="10759" max="10759" width="6.42578125" style="1" customWidth="1"/>
    <col min="10760" max="10762" width="0" style="1" hidden="1" customWidth="1"/>
    <col min="10763" max="10763" width="14.5703125" style="1" customWidth="1"/>
    <col min="10764" max="10764" width="14.140625" style="1" customWidth="1"/>
    <col min="10765" max="10765" width="15" style="1" customWidth="1"/>
    <col min="10766" max="10766" width="12.7109375" style="1" customWidth="1"/>
    <col min="10767" max="11008" width="9.140625" style="1"/>
    <col min="11009" max="11009" width="3.7109375" style="1" customWidth="1"/>
    <col min="11010" max="11010" width="0" style="1" hidden="1" customWidth="1"/>
    <col min="11011" max="11011" width="12.28515625" style="1" customWidth="1"/>
    <col min="11012" max="11012" width="16.5703125" style="1" customWidth="1"/>
    <col min="11013" max="11013" width="2.7109375" style="1" customWidth="1"/>
    <col min="11014" max="11014" width="6.5703125" style="1" customWidth="1"/>
    <col min="11015" max="11015" width="6.42578125" style="1" customWidth="1"/>
    <col min="11016" max="11018" width="0" style="1" hidden="1" customWidth="1"/>
    <col min="11019" max="11019" width="14.5703125" style="1" customWidth="1"/>
    <col min="11020" max="11020" width="14.140625" style="1" customWidth="1"/>
    <col min="11021" max="11021" width="15" style="1" customWidth="1"/>
    <col min="11022" max="11022" width="12.7109375" style="1" customWidth="1"/>
    <col min="11023" max="11264" width="9.140625" style="1"/>
    <col min="11265" max="11265" width="3.7109375" style="1" customWidth="1"/>
    <col min="11266" max="11266" width="0" style="1" hidden="1" customWidth="1"/>
    <col min="11267" max="11267" width="12.28515625" style="1" customWidth="1"/>
    <col min="11268" max="11268" width="16.5703125" style="1" customWidth="1"/>
    <col min="11269" max="11269" width="2.7109375" style="1" customWidth="1"/>
    <col min="11270" max="11270" width="6.5703125" style="1" customWidth="1"/>
    <col min="11271" max="11271" width="6.42578125" style="1" customWidth="1"/>
    <col min="11272" max="11274" width="0" style="1" hidden="1" customWidth="1"/>
    <col min="11275" max="11275" width="14.5703125" style="1" customWidth="1"/>
    <col min="11276" max="11276" width="14.140625" style="1" customWidth="1"/>
    <col min="11277" max="11277" width="15" style="1" customWidth="1"/>
    <col min="11278" max="11278" width="12.7109375" style="1" customWidth="1"/>
    <col min="11279" max="11520" width="9.140625" style="1"/>
    <col min="11521" max="11521" width="3.7109375" style="1" customWidth="1"/>
    <col min="11522" max="11522" width="0" style="1" hidden="1" customWidth="1"/>
    <col min="11523" max="11523" width="12.28515625" style="1" customWidth="1"/>
    <col min="11524" max="11524" width="16.5703125" style="1" customWidth="1"/>
    <col min="11525" max="11525" width="2.7109375" style="1" customWidth="1"/>
    <col min="11526" max="11526" width="6.5703125" style="1" customWidth="1"/>
    <col min="11527" max="11527" width="6.42578125" style="1" customWidth="1"/>
    <col min="11528" max="11530" width="0" style="1" hidden="1" customWidth="1"/>
    <col min="11531" max="11531" width="14.5703125" style="1" customWidth="1"/>
    <col min="11532" max="11532" width="14.140625" style="1" customWidth="1"/>
    <col min="11533" max="11533" width="15" style="1" customWidth="1"/>
    <col min="11534" max="11534" width="12.7109375" style="1" customWidth="1"/>
    <col min="11535" max="11776" width="9.140625" style="1"/>
    <col min="11777" max="11777" width="3.7109375" style="1" customWidth="1"/>
    <col min="11778" max="11778" width="0" style="1" hidden="1" customWidth="1"/>
    <col min="11779" max="11779" width="12.28515625" style="1" customWidth="1"/>
    <col min="11780" max="11780" width="16.5703125" style="1" customWidth="1"/>
    <col min="11781" max="11781" width="2.7109375" style="1" customWidth="1"/>
    <col min="11782" max="11782" width="6.5703125" style="1" customWidth="1"/>
    <col min="11783" max="11783" width="6.42578125" style="1" customWidth="1"/>
    <col min="11784" max="11786" width="0" style="1" hidden="1" customWidth="1"/>
    <col min="11787" max="11787" width="14.5703125" style="1" customWidth="1"/>
    <col min="11788" max="11788" width="14.140625" style="1" customWidth="1"/>
    <col min="11789" max="11789" width="15" style="1" customWidth="1"/>
    <col min="11790" max="11790" width="12.7109375" style="1" customWidth="1"/>
    <col min="11791" max="12032" width="9.140625" style="1"/>
    <col min="12033" max="12033" width="3.7109375" style="1" customWidth="1"/>
    <col min="12034" max="12034" width="0" style="1" hidden="1" customWidth="1"/>
    <col min="12035" max="12035" width="12.28515625" style="1" customWidth="1"/>
    <col min="12036" max="12036" width="16.5703125" style="1" customWidth="1"/>
    <col min="12037" max="12037" width="2.7109375" style="1" customWidth="1"/>
    <col min="12038" max="12038" width="6.5703125" style="1" customWidth="1"/>
    <col min="12039" max="12039" width="6.42578125" style="1" customWidth="1"/>
    <col min="12040" max="12042" width="0" style="1" hidden="1" customWidth="1"/>
    <col min="12043" max="12043" width="14.5703125" style="1" customWidth="1"/>
    <col min="12044" max="12044" width="14.140625" style="1" customWidth="1"/>
    <col min="12045" max="12045" width="15" style="1" customWidth="1"/>
    <col min="12046" max="12046" width="12.7109375" style="1" customWidth="1"/>
    <col min="12047" max="12288" width="9.140625" style="1"/>
    <col min="12289" max="12289" width="3.7109375" style="1" customWidth="1"/>
    <col min="12290" max="12290" width="0" style="1" hidden="1" customWidth="1"/>
    <col min="12291" max="12291" width="12.28515625" style="1" customWidth="1"/>
    <col min="12292" max="12292" width="16.5703125" style="1" customWidth="1"/>
    <col min="12293" max="12293" width="2.7109375" style="1" customWidth="1"/>
    <col min="12294" max="12294" width="6.5703125" style="1" customWidth="1"/>
    <col min="12295" max="12295" width="6.42578125" style="1" customWidth="1"/>
    <col min="12296" max="12298" width="0" style="1" hidden="1" customWidth="1"/>
    <col min="12299" max="12299" width="14.5703125" style="1" customWidth="1"/>
    <col min="12300" max="12300" width="14.140625" style="1" customWidth="1"/>
    <col min="12301" max="12301" width="15" style="1" customWidth="1"/>
    <col min="12302" max="12302" width="12.7109375" style="1" customWidth="1"/>
    <col min="12303" max="12544" width="9.140625" style="1"/>
    <col min="12545" max="12545" width="3.7109375" style="1" customWidth="1"/>
    <col min="12546" max="12546" width="0" style="1" hidden="1" customWidth="1"/>
    <col min="12547" max="12547" width="12.28515625" style="1" customWidth="1"/>
    <col min="12548" max="12548" width="16.5703125" style="1" customWidth="1"/>
    <col min="12549" max="12549" width="2.7109375" style="1" customWidth="1"/>
    <col min="12550" max="12550" width="6.5703125" style="1" customWidth="1"/>
    <col min="12551" max="12551" width="6.42578125" style="1" customWidth="1"/>
    <col min="12552" max="12554" width="0" style="1" hidden="1" customWidth="1"/>
    <col min="12555" max="12555" width="14.5703125" style="1" customWidth="1"/>
    <col min="12556" max="12556" width="14.140625" style="1" customWidth="1"/>
    <col min="12557" max="12557" width="15" style="1" customWidth="1"/>
    <col min="12558" max="12558" width="12.7109375" style="1" customWidth="1"/>
    <col min="12559" max="12800" width="9.140625" style="1"/>
    <col min="12801" max="12801" width="3.7109375" style="1" customWidth="1"/>
    <col min="12802" max="12802" width="0" style="1" hidden="1" customWidth="1"/>
    <col min="12803" max="12803" width="12.28515625" style="1" customWidth="1"/>
    <col min="12804" max="12804" width="16.5703125" style="1" customWidth="1"/>
    <col min="12805" max="12805" width="2.7109375" style="1" customWidth="1"/>
    <col min="12806" max="12806" width="6.5703125" style="1" customWidth="1"/>
    <col min="12807" max="12807" width="6.42578125" style="1" customWidth="1"/>
    <col min="12808" max="12810" width="0" style="1" hidden="1" customWidth="1"/>
    <col min="12811" max="12811" width="14.5703125" style="1" customWidth="1"/>
    <col min="12812" max="12812" width="14.140625" style="1" customWidth="1"/>
    <col min="12813" max="12813" width="15" style="1" customWidth="1"/>
    <col min="12814" max="12814" width="12.7109375" style="1" customWidth="1"/>
    <col min="12815" max="13056" width="9.140625" style="1"/>
    <col min="13057" max="13057" width="3.7109375" style="1" customWidth="1"/>
    <col min="13058" max="13058" width="0" style="1" hidden="1" customWidth="1"/>
    <col min="13059" max="13059" width="12.28515625" style="1" customWidth="1"/>
    <col min="13060" max="13060" width="16.5703125" style="1" customWidth="1"/>
    <col min="13061" max="13061" width="2.7109375" style="1" customWidth="1"/>
    <col min="13062" max="13062" width="6.5703125" style="1" customWidth="1"/>
    <col min="13063" max="13063" width="6.42578125" style="1" customWidth="1"/>
    <col min="13064" max="13066" width="0" style="1" hidden="1" customWidth="1"/>
    <col min="13067" max="13067" width="14.5703125" style="1" customWidth="1"/>
    <col min="13068" max="13068" width="14.140625" style="1" customWidth="1"/>
    <col min="13069" max="13069" width="15" style="1" customWidth="1"/>
    <col min="13070" max="13070" width="12.7109375" style="1" customWidth="1"/>
    <col min="13071" max="13312" width="9.140625" style="1"/>
    <col min="13313" max="13313" width="3.7109375" style="1" customWidth="1"/>
    <col min="13314" max="13314" width="0" style="1" hidden="1" customWidth="1"/>
    <col min="13315" max="13315" width="12.28515625" style="1" customWidth="1"/>
    <col min="13316" max="13316" width="16.5703125" style="1" customWidth="1"/>
    <col min="13317" max="13317" width="2.7109375" style="1" customWidth="1"/>
    <col min="13318" max="13318" width="6.5703125" style="1" customWidth="1"/>
    <col min="13319" max="13319" width="6.42578125" style="1" customWidth="1"/>
    <col min="13320" max="13322" width="0" style="1" hidden="1" customWidth="1"/>
    <col min="13323" max="13323" width="14.5703125" style="1" customWidth="1"/>
    <col min="13324" max="13324" width="14.140625" style="1" customWidth="1"/>
    <col min="13325" max="13325" width="15" style="1" customWidth="1"/>
    <col min="13326" max="13326" width="12.7109375" style="1" customWidth="1"/>
    <col min="13327" max="13568" width="9.140625" style="1"/>
    <col min="13569" max="13569" width="3.7109375" style="1" customWidth="1"/>
    <col min="13570" max="13570" width="0" style="1" hidden="1" customWidth="1"/>
    <col min="13571" max="13571" width="12.28515625" style="1" customWidth="1"/>
    <col min="13572" max="13572" width="16.5703125" style="1" customWidth="1"/>
    <col min="13573" max="13573" width="2.7109375" style="1" customWidth="1"/>
    <col min="13574" max="13574" width="6.5703125" style="1" customWidth="1"/>
    <col min="13575" max="13575" width="6.42578125" style="1" customWidth="1"/>
    <col min="13576" max="13578" width="0" style="1" hidden="1" customWidth="1"/>
    <col min="13579" max="13579" width="14.5703125" style="1" customWidth="1"/>
    <col min="13580" max="13580" width="14.140625" style="1" customWidth="1"/>
    <col min="13581" max="13581" width="15" style="1" customWidth="1"/>
    <col min="13582" max="13582" width="12.7109375" style="1" customWidth="1"/>
    <col min="13583" max="13824" width="9.140625" style="1"/>
    <col min="13825" max="13825" width="3.7109375" style="1" customWidth="1"/>
    <col min="13826" max="13826" width="0" style="1" hidden="1" customWidth="1"/>
    <col min="13827" max="13827" width="12.28515625" style="1" customWidth="1"/>
    <col min="13828" max="13828" width="16.5703125" style="1" customWidth="1"/>
    <col min="13829" max="13829" width="2.7109375" style="1" customWidth="1"/>
    <col min="13830" max="13830" width="6.5703125" style="1" customWidth="1"/>
    <col min="13831" max="13831" width="6.42578125" style="1" customWidth="1"/>
    <col min="13832" max="13834" width="0" style="1" hidden="1" customWidth="1"/>
    <col min="13835" max="13835" width="14.5703125" style="1" customWidth="1"/>
    <col min="13836" max="13836" width="14.140625" style="1" customWidth="1"/>
    <col min="13837" max="13837" width="15" style="1" customWidth="1"/>
    <col min="13838" max="13838" width="12.7109375" style="1" customWidth="1"/>
    <col min="13839" max="14080" width="9.140625" style="1"/>
    <col min="14081" max="14081" width="3.7109375" style="1" customWidth="1"/>
    <col min="14082" max="14082" width="0" style="1" hidden="1" customWidth="1"/>
    <col min="14083" max="14083" width="12.28515625" style="1" customWidth="1"/>
    <col min="14084" max="14084" width="16.5703125" style="1" customWidth="1"/>
    <col min="14085" max="14085" width="2.7109375" style="1" customWidth="1"/>
    <col min="14086" max="14086" width="6.5703125" style="1" customWidth="1"/>
    <col min="14087" max="14087" width="6.42578125" style="1" customWidth="1"/>
    <col min="14088" max="14090" width="0" style="1" hidden="1" customWidth="1"/>
    <col min="14091" max="14091" width="14.5703125" style="1" customWidth="1"/>
    <col min="14092" max="14092" width="14.140625" style="1" customWidth="1"/>
    <col min="14093" max="14093" width="15" style="1" customWidth="1"/>
    <col min="14094" max="14094" width="12.7109375" style="1" customWidth="1"/>
    <col min="14095" max="14336" width="9.140625" style="1"/>
    <col min="14337" max="14337" width="3.7109375" style="1" customWidth="1"/>
    <col min="14338" max="14338" width="0" style="1" hidden="1" customWidth="1"/>
    <col min="14339" max="14339" width="12.28515625" style="1" customWidth="1"/>
    <col min="14340" max="14340" width="16.5703125" style="1" customWidth="1"/>
    <col min="14341" max="14341" width="2.7109375" style="1" customWidth="1"/>
    <col min="14342" max="14342" width="6.5703125" style="1" customWidth="1"/>
    <col min="14343" max="14343" width="6.42578125" style="1" customWidth="1"/>
    <col min="14344" max="14346" width="0" style="1" hidden="1" customWidth="1"/>
    <col min="14347" max="14347" width="14.5703125" style="1" customWidth="1"/>
    <col min="14348" max="14348" width="14.140625" style="1" customWidth="1"/>
    <col min="14349" max="14349" width="15" style="1" customWidth="1"/>
    <col min="14350" max="14350" width="12.7109375" style="1" customWidth="1"/>
    <col min="14351" max="14592" width="9.140625" style="1"/>
    <col min="14593" max="14593" width="3.7109375" style="1" customWidth="1"/>
    <col min="14594" max="14594" width="0" style="1" hidden="1" customWidth="1"/>
    <col min="14595" max="14595" width="12.28515625" style="1" customWidth="1"/>
    <col min="14596" max="14596" width="16.5703125" style="1" customWidth="1"/>
    <col min="14597" max="14597" width="2.7109375" style="1" customWidth="1"/>
    <col min="14598" max="14598" width="6.5703125" style="1" customWidth="1"/>
    <col min="14599" max="14599" width="6.42578125" style="1" customWidth="1"/>
    <col min="14600" max="14602" width="0" style="1" hidden="1" customWidth="1"/>
    <col min="14603" max="14603" width="14.5703125" style="1" customWidth="1"/>
    <col min="14604" max="14604" width="14.140625" style="1" customWidth="1"/>
    <col min="14605" max="14605" width="15" style="1" customWidth="1"/>
    <col min="14606" max="14606" width="12.7109375" style="1" customWidth="1"/>
    <col min="14607" max="14848" width="9.140625" style="1"/>
    <col min="14849" max="14849" width="3.7109375" style="1" customWidth="1"/>
    <col min="14850" max="14850" width="0" style="1" hidden="1" customWidth="1"/>
    <col min="14851" max="14851" width="12.28515625" style="1" customWidth="1"/>
    <col min="14852" max="14852" width="16.5703125" style="1" customWidth="1"/>
    <col min="14853" max="14853" width="2.7109375" style="1" customWidth="1"/>
    <col min="14854" max="14854" width="6.5703125" style="1" customWidth="1"/>
    <col min="14855" max="14855" width="6.42578125" style="1" customWidth="1"/>
    <col min="14856" max="14858" width="0" style="1" hidden="1" customWidth="1"/>
    <col min="14859" max="14859" width="14.5703125" style="1" customWidth="1"/>
    <col min="14860" max="14860" width="14.140625" style="1" customWidth="1"/>
    <col min="14861" max="14861" width="15" style="1" customWidth="1"/>
    <col min="14862" max="14862" width="12.7109375" style="1" customWidth="1"/>
    <col min="14863" max="15104" width="9.140625" style="1"/>
    <col min="15105" max="15105" width="3.7109375" style="1" customWidth="1"/>
    <col min="15106" max="15106" width="0" style="1" hidden="1" customWidth="1"/>
    <col min="15107" max="15107" width="12.28515625" style="1" customWidth="1"/>
    <col min="15108" max="15108" width="16.5703125" style="1" customWidth="1"/>
    <col min="15109" max="15109" width="2.7109375" style="1" customWidth="1"/>
    <col min="15110" max="15110" width="6.5703125" style="1" customWidth="1"/>
    <col min="15111" max="15111" width="6.42578125" style="1" customWidth="1"/>
    <col min="15112" max="15114" width="0" style="1" hidden="1" customWidth="1"/>
    <col min="15115" max="15115" width="14.5703125" style="1" customWidth="1"/>
    <col min="15116" max="15116" width="14.140625" style="1" customWidth="1"/>
    <col min="15117" max="15117" width="15" style="1" customWidth="1"/>
    <col min="15118" max="15118" width="12.7109375" style="1" customWidth="1"/>
    <col min="15119" max="15360" width="9.140625" style="1"/>
    <col min="15361" max="15361" width="3.7109375" style="1" customWidth="1"/>
    <col min="15362" max="15362" width="0" style="1" hidden="1" customWidth="1"/>
    <col min="15363" max="15363" width="12.28515625" style="1" customWidth="1"/>
    <col min="15364" max="15364" width="16.5703125" style="1" customWidth="1"/>
    <col min="15365" max="15365" width="2.7109375" style="1" customWidth="1"/>
    <col min="15366" max="15366" width="6.5703125" style="1" customWidth="1"/>
    <col min="15367" max="15367" width="6.42578125" style="1" customWidth="1"/>
    <col min="15368" max="15370" width="0" style="1" hidden="1" customWidth="1"/>
    <col min="15371" max="15371" width="14.5703125" style="1" customWidth="1"/>
    <col min="15372" max="15372" width="14.140625" style="1" customWidth="1"/>
    <col min="15373" max="15373" width="15" style="1" customWidth="1"/>
    <col min="15374" max="15374" width="12.7109375" style="1" customWidth="1"/>
    <col min="15375" max="15616" width="9.140625" style="1"/>
    <col min="15617" max="15617" width="3.7109375" style="1" customWidth="1"/>
    <col min="15618" max="15618" width="0" style="1" hidden="1" customWidth="1"/>
    <col min="15619" max="15619" width="12.28515625" style="1" customWidth="1"/>
    <col min="15620" max="15620" width="16.5703125" style="1" customWidth="1"/>
    <col min="15621" max="15621" width="2.7109375" style="1" customWidth="1"/>
    <col min="15622" max="15622" width="6.5703125" style="1" customWidth="1"/>
    <col min="15623" max="15623" width="6.42578125" style="1" customWidth="1"/>
    <col min="15624" max="15626" width="0" style="1" hidden="1" customWidth="1"/>
    <col min="15627" max="15627" width="14.5703125" style="1" customWidth="1"/>
    <col min="15628" max="15628" width="14.140625" style="1" customWidth="1"/>
    <col min="15629" max="15629" width="15" style="1" customWidth="1"/>
    <col min="15630" max="15630" width="12.7109375" style="1" customWidth="1"/>
    <col min="15631" max="15872" width="9.140625" style="1"/>
    <col min="15873" max="15873" width="3.7109375" style="1" customWidth="1"/>
    <col min="15874" max="15874" width="0" style="1" hidden="1" customWidth="1"/>
    <col min="15875" max="15875" width="12.28515625" style="1" customWidth="1"/>
    <col min="15876" max="15876" width="16.5703125" style="1" customWidth="1"/>
    <col min="15877" max="15877" width="2.7109375" style="1" customWidth="1"/>
    <col min="15878" max="15878" width="6.5703125" style="1" customWidth="1"/>
    <col min="15879" max="15879" width="6.42578125" style="1" customWidth="1"/>
    <col min="15880" max="15882" width="0" style="1" hidden="1" customWidth="1"/>
    <col min="15883" max="15883" width="14.5703125" style="1" customWidth="1"/>
    <col min="15884" max="15884" width="14.140625" style="1" customWidth="1"/>
    <col min="15885" max="15885" width="15" style="1" customWidth="1"/>
    <col min="15886" max="15886" width="12.7109375" style="1" customWidth="1"/>
    <col min="15887" max="16128" width="9.140625" style="1"/>
    <col min="16129" max="16129" width="3.7109375" style="1" customWidth="1"/>
    <col min="16130" max="16130" width="0" style="1" hidden="1" customWidth="1"/>
    <col min="16131" max="16131" width="12.28515625" style="1" customWidth="1"/>
    <col min="16132" max="16132" width="16.5703125" style="1" customWidth="1"/>
    <col min="16133" max="16133" width="2.7109375" style="1" customWidth="1"/>
    <col min="16134" max="16134" width="6.5703125" style="1" customWidth="1"/>
    <col min="16135" max="16135" width="6.42578125" style="1" customWidth="1"/>
    <col min="16136" max="16138" width="0" style="1" hidden="1" customWidth="1"/>
    <col min="16139" max="16139" width="14.5703125" style="1" customWidth="1"/>
    <col min="16140" max="16140" width="14.140625" style="1" customWidth="1"/>
    <col min="16141" max="16141" width="15" style="1" customWidth="1"/>
    <col min="16142" max="16142" width="12.7109375" style="1" customWidth="1"/>
    <col min="16143" max="16384" width="9.140625" style="1"/>
  </cols>
  <sheetData>
    <row r="1" spans="1:23" x14ac:dyDescent="0.2">
      <c r="K1" s="578" t="s">
        <v>84</v>
      </c>
      <c r="L1" s="579"/>
      <c r="M1" s="579"/>
      <c r="N1" s="579"/>
    </row>
    <row r="2" spans="1:23" x14ac:dyDescent="0.2">
      <c r="K2" s="578" t="s">
        <v>1</v>
      </c>
      <c r="L2" s="579"/>
      <c r="M2" s="579"/>
      <c r="N2" s="579"/>
    </row>
    <row r="3" spans="1:23" x14ac:dyDescent="0.2">
      <c r="I3" s="580" t="s">
        <v>78</v>
      </c>
      <c r="J3" s="581"/>
      <c r="K3" s="581"/>
      <c r="L3" s="581"/>
      <c r="M3" s="581"/>
      <c r="N3" s="581"/>
    </row>
    <row r="5" spans="1:23" ht="15.75" x14ac:dyDescent="0.25">
      <c r="A5" s="582" t="s">
        <v>76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R5" s="151"/>
      <c r="S5" s="151"/>
      <c r="T5" s="602"/>
      <c r="U5" s="603"/>
      <c r="V5" s="603"/>
      <c r="W5" s="603"/>
    </row>
    <row r="6" spans="1:23" ht="15.75" x14ac:dyDescent="0.25">
      <c r="A6" s="582" t="s">
        <v>89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R6" s="151"/>
      <c r="S6" s="151"/>
      <c r="T6" s="602"/>
      <c r="U6" s="603"/>
      <c r="V6" s="603"/>
      <c r="W6" s="603"/>
    </row>
    <row r="7" spans="1:23" ht="15" x14ac:dyDescent="0.2">
      <c r="R7" s="604"/>
      <c r="S7" s="605"/>
      <c r="T7" s="605"/>
      <c r="U7" s="605"/>
      <c r="V7" s="605"/>
      <c r="W7" s="605"/>
    </row>
    <row r="8" spans="1:23" ht="15.2" customHeight="1" x14ac:dyDescent="0.25">
      <c r="A8" s="570" t="s">
        <v>75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R8" s="151"/>
      <c r="S8" s="151"/>
      <c r="T8" s="151"/>
      <c r="U8" s="151"/>
      <c r="V8" s="151"/>
      <c r="W8" s="151"/>
    </row>
    <row r="9" spans="1:23" ht="11.25" customHeight="1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0" spans="1:23" ht="29.25" customHeight="1" thickBot="1" x14ac:dyDescent="0.3">
      <c r="A10" s="571" t="s">
        <v>74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</row>
    <row r="11" spans="1:23" ht="15" x14ac:dyDescent="0.2">
      <c r="A11" s="572" t="s">
        <v>70</v>
      </c>
      <c r="C11" s="574" t="s">
        <v>69</v>
      </c>
      <c r="D11" s="575"/>
      <c r="E11" s="575"/>
      <c r="F11" s="575"/>
      <c r="G11" s="575"/>
      <c r="H11" s="575"/>
      <c r="I11" s="575"/>
      <c r="J11" s="575"/>
      <c r="K11" s="572" t="s">
        <v>85</v>
      </c>
      <c r="L11" s="572" t="s">
        <v>73</v>
      </c>
      <c r="M11" s="572" t="s">
        <v>90</v>
      </c>
      <c r="N11" s="572" t="s">
        <v>73</v>
      </c>
      <c r="Q11" s="151"/>
      <c r="R11" s="151"/>
      <c r="S11" s="602"/>
      <c r="T11" s="603"/>
      <c r="U11" s="603"/>
      <c r="V11" s="603"/>
    </row>
    <row r="12" spans="1:23" ht="82.35" customHeight="1" thickBot="1" x14ac:dyDescent="0.25">
      <c r="A12" s="573"/>
      <c r="C12" s="576"/>
      <c r="D12" s="577"/>
      <c r="E12" s="577"/>
      <c r="F12" s="577"/>
      <c r="G12" s="577"/>
      <c r="H12" s="577"/>
      <c r="I12" s="577"/>
      <c r="J12" s="577"/>
      <c r="K12" s="573"/>
      <c r="L12" s="573"/>
      <c r="M12" s="573"/>
      <c r="N12" s="573"/>
      <c r="Q12" s="151"/>
      <c r="R12" s="151"/>
      <c r="S12" s="602"/>
      <c r="T12" s="603"/>
      <c r="U12" s="603"/>
      <c r="V12" s="603"/>
    </row>
    <row r="13" spans="1:23" ht="51.75" customHeight="1" thickBot="1" x14ac:dyDescent="0.25">
      <c r="A13" s="155" t="s">
        <v>72</v>
      </c>
      <c r="B13" s="156"/>
      <c r="C13" s="599" t="s">
        <v>67</v>
      </c>
      <c r="D13" s="600"/>
      <c r="E13" s="600"/>
      <c r="F13" s="600"/>
      <c r="G13" s="600"/>
      <c r="H13" s="600"/>
      <c r="I13" s="600"/>
      <c r="J13" s="601"/>
      <c r="K13" s="157">
        <v>600000</v>
      </c>
      <c r="L13" s="155" t="s">
        <v>86</v>
      </c>
      <c r="M13" s="157">
        <v>760000</v>
      </c>
      <c r="N13" s="155" t="s">
        <v>91</v>
      </c>
      <c r="O13" s="158"/>
      <c r="Q13" s="604"/>
      <c r="R13" s="605"/>
      <c r="S13" s="605"/>
      <c r="T13" s="605"/>
      <c r="U13" s="605"/>
      <c r="V13" s="605"/>
    </row>
    <row r="14" spans="1:23" ht="30" customHeight="1" thickBot="1" x14ac:dyDescent="0.25">
      <c r="A14" s="159"/>
      <c r="B14" s="160"/>
      <c r="C14" s="590" t="s">
        <v>87</v>
      </c>
      <c r="D14" s="591"/>
      <c r="E14" s="591"/>
      <c r="F14" s="591"/>
      <c r="G14" s="591"/>
      <c r="H14" s="591"/>
      <c r="I14" s="591"/>
      <c r="J14" s="592"/>
      <c r="K14" s="161">
        <f>K13</f>
        <v>600000</v>
      </c>
      <c r="L14" s="159"/>
      <c r="M14" s="161">
        <f>M13</f>
        <v>760000</v>
      </c>
      <c r="N14" s="159"/>
    </row>
    <row r="15" spans="1:23" x14ac:dyDescent="0.2">
      <c r="C15" s="162"/>
      <c r="D15" s="162"/>
      <c r="E15" s="162"/>
      <c r="F15" s="162"/>
      <c r="G15" s="162"/>
      <c r="H15" s="162"/>
      <c r="I15" s="162"/>
      <c r="J15" s="163"/>
      <c r="K15" s="164"/>
      <c r="L15" s="164"/>
    </row>
    <row r="16" spans="1:23" ht="15.75" thickBot="1" x14ac:dyDescent="0.3">
      <c r="A16" s="570" t="s">
        <v>71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0"/>
      <c r="L16" s="570"/>
    </row>
    <row r="17" spans="1:15" ht="12.95" customHeight="1" x14ac:dyDescent="0.2">
      <c r="A17" s="572" t="s">
        <v>70</v>
      </c>
      <c r="B17" s="165" t="s">
        <v>69</v>
      </c>
      <c r="C17" s="593" t="s">
        <v>69</v>
      </c>
      <c r="D17" s="594"/>
      <c r="E17" s="594"/>
      <c r="F17" s="594"/>
      <c r="G17" s="594"/>
      <c r="H17" s="594"/>
      <c r="I17" s="594"/>
      <c r="J17" s="595"/>
      <c r="K17" s="593" t="s">
        <v>88</v>
      </c>
      <c r="L17" s="595"/>
      <c r="M17" s="593" t="s">
        <v>92</v>
      </c>
      <c r="N17" s="595"/>
    </row>
    <row r="18" spans="1:15" ht="57.2" customHeight="1" thickBot="1" x14ac:dyDescent="0.25">
      <c r="A18" s="573"/>
      <c r="B18" s="166"/>
      <c r="C18" s="596"/>
      <c r="D18" s="597"/>
      <c r="E18" s="597"/>
      <c r="F18" s="597"/>
      <c r="G18" s="597"/>
      <c r="H18" s="597"/>
      <c r="I18" s="597"/>
      <c r="J18" s="598"/>
      <c r="K18" s="596"/>
      <c r="L18" s="598"/>
      <c r="M18" s="596"/>
      <c r="N18" s="598"/>
    </row>
    <row r="19" spans="1:15" ht="56.25" customHeight="1" thickBot="1" x14ac:dyDescent="0.25">
      <c r="A19" s="155">
        <v>1</v>
      </c>
      <c r="B19" s="167" t="s">
        <v>68</v>
      </c>
      <c r="C19" s="599" t="s">
        <v>67</v>
      </c>
      <c r="D19" s="600"/>
      <c r="E19" s="600"/>
      <c r="F19" s="600"/>
      <c r="G19" s="600"/>
      <c r="H19" s="600"/>
      <c r="I19" s="600"/>
      <c r="J19" s="601"/>
      <c r="K19" s="583">
        <v>300000</v>
      </c>
      <c r="L19" s="584"/>
      <c r="M19" s="583">
        <v>760000</v>
      </c>
      <c r="N19" s="584"/>
      <c r="O19" s="158"/>
    </row>
    <row r="20" spans="1:15" ht="44.25" customHeight="1" thickBot="1" x14ac:dyDescent="0.25">
      <c r="A20" s="159"/>
      <c r="B20" s="173" t="s">
        <v>66</v>
      </c>
      <c r="C20" s="585" t="s">
        <v>65</v>
      </c>
      <c r="D20" s="586"/>
      <c r="E20" s="586"/>
      <c r="F20" s="586"/>
      <c r="G20" s="586"/>
      <c r="H20" s="586"/>
      <c r="I20" s="586"/>
      <c r="J20" s="587"/>
      <c r="K20" s="588">
        <f>SUM(K19:L19)</f>
        <v>300000</v>
      </c>
      <c r="L20" s="589"/>
      <c r="M20" s="588">
        <f>SUM(M19:N19)</f>
        <v>760000</v>
      </c>
      <c r="N20" s="589"/>
    </row>
  </sheetData>
  <mergeCells count="32">
    <mergeCell ref="C20:J20"/>
    <mergeCell ref="K20:L20"/>
    <mergeCell ref="M20:N20"/>
    <mergeCell ref="Q13:V13"/>
    <mergeCell ref="C14:J14"/>
    <mergeCell ref="A16:L16"/>
    <mergeCell ref="C19:J19"/>
    <mergeCell ref="K19:L19"/>
    <mergeCell ref="M19:N19"/>
    <mergeCell ref="A17:A18"/>
    <mergeCell ref="C17:J18"/>
    <mergeCell ref="K17:L18"/>
    <mergeCell ref="M17:N18"/>
    <mergeCell ref="C13:J13"/>
    <mergeCell ref="R7:W7"/>
    <mergeCell ref="A8:N8"/>
    <mergeCell ref="A10:N10"/>
    <mergeCell ref="A11:A12"/>
    <mergeCell ref="C11:J12"/>
    <mergeCell ref="K11:K12"/>
    <mergeCell ref="L11:L12"/>
    <mergeCell ref="M11:M12"/>
    <mergeCell ref="N11:N12"/>
    <mergeCell ref="S11:V11"/>
    <mergeCell ref="S12:V12"/>
    <mergeCell ref="A6:N6"/>
    <mergeCell ref="T6:W6"/>
    <mergeCell ref="K1:N1"/>
    <mergeCell ref="K2:N2"/>
    <mergeCell ref="I3:N3"/>
    <mergeCell ref="A5:N5"/>
    <mergeCell ref="T5:W5"/>
  </mergeCells>
  <pageMargins left="0.82677165354330717" right="0.74803149606299213" top="0.78740157480314965" bottom="0.78740157480314965" header="0.51181102362204722" footer="0.51181102362204722"/>
  <pageSetup paperSize="9" scale="85" firstPageNumber="200" orientation="portrait" useFirstPageNumber="1" r:id="rId1"/>
  <headerFooter alignWithMargins="0">
    <oddFooter>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11</vt:i4>
      </vt:variant>
    </vt:vector>
  </HeadingPairs>
  <TitlesOfParts>
    <vt:vector size="27" baseType="lpstr">
      <vt:lpstr>Доходы </vt:lpstr>
      <vt:lpstr>Адм. дох</vt:lpstr>
      <vt:lpstr>Ведомственная 2020</vt:lpstr>
      <vt:lpstr>Ведомственная 2021-2022</vt:lpstr>
      <vt:lpstr>Субвенции 2020</vt:lpstr>
      <vt:lpstr>Субвенции 2021-2022</vt:lpstr>
      <vt:lpstr>Источники 2020</vt:lpstr>
      <vt:lpstr>Источники 2021-2022</vt:lpstr>
      <vt:lpstr>Адм. источ.</vt:lpstr>
      <vt:lpstr>Функциональная 2020</vt:lpstr>
      <vt:lpstr>Функциональная 2021-2022</vt:lpstr>
      <vt:lpstr>Целевые 2020</vt:lpstr>
      <vt:lpstr>Целевые 2021-2022</vt:lpstr>
      <vt:lpstr>Заимствования 2020</vt:lpstr>
      <vt:lpstr>Заимствования 2020-2021</vt:lpstr>
      <vt:lpstr>Лист1</vt:lpstr>
      <vt:lpstr>'Адм. дох'!Заголовки_для_печати</vt:lpstr>
      <vt:lpstr>'Ведомственная 2020'!Заголовки_для_печати</vt:lpstr>
      <vt:lpstr>'Ведомственная 2021-2022'!Заголовки_для_печати</vt:lpstr>
      <vt:lpstr>'Доходы '!Заголовки_для_печати</vt:lpstr>
      <vt:lpstr>'Субвенции 2020'!Заголовки_для_печати</vt:lpstr>
      <vt:lpstr>'Субвенции 2021-2022'!Заголовки_для_печати</vt:lpstr>
      <vt:lpstr>'Функциональная 2020'!Заголовки_для_печати</vt:lpstr>
      <vt:lpstr>'Функциональная 2021-2022'!Заголовки_для_печати</vt:lpstr>
      <vt:lpstr>'Целевые 2020'!Заголовки_для_печати</vt:lpstr>
      <vt:lpstr>'Целевые 2021-2022'!Заголовки_для_печати</vt:lpstr>
      <vt:lpstr>'Доходы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Панина Ольга Владимировна</cp:lastModifiedBy>
  <cp:lastPrinted>2020-08-20T07:41:09Z</cp:lastPrinted>
  <dcterms:created xsi:type="dcterms:W3CDTF">2019-10-22T11:50:51Z</dcterms:created>
  <dcterms:modified xsi:type="dcterms:W3CDTF">2020-08-24T13:15:58Z</dcterms:modified>
</cp:coreProperties>
</file>